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worksheets/sheet11.xml" ContentType="application/vnd.openxmlformats-officedocument.spreadsheetml.worksheet+xml"/>
  <Override PartName="/xl/drawings/drawing7.xml" ContentType="application/vnd.openxmlformats-officedocument.drawing+xml"/>
  <Override PartName="/xl/worksheets/sheet12.xml" ContentType="application/vnd.openxmlformats-officedocument.spreadsheetml.worksheet+xml"/>
  <Override PartName="/xl/drawings/drawing8.xml" ContentType="application/vnd.openxmlformats-officedocument.drawing+xml"/>
  <Override PartName="/xl/worksheets/sheet13.xml" ContentType="application/vnd.openxmlformats-officedocument.spreadsheetml.workshee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drawings/drawing10.xml" ContentType="application/vnd.openxmlformats-officedocument.drawing+xml"/>
  <Override PartName="/xl/worksheets/sheet15.xml" ContentType="application/vnd.openxmlformats-officedocument.spreadsheetml.worksheet+xml"/>
  <Override PartName="/xl/drawings/drawing11.xml" ContentType="application/vnd.openxmlformats-officedocument.drawing+xml"/>
  <Override PartName="/xl/worksheets/sheet16.xml" ContentType="application/vnd.openxmlformats-officedocument.spreadsheetml.worksheet+xml"/>
  <Override PartName="/xl/drawings/drawing12.xml" ContentType="application/vnd.openxmlformats-officedocument.drawing+xml"/>
  <Override PartName="/xl/worksheets/sheet17.xml" ContentType="application/vnd.openxmlformats-officedocument.spreadsheetml.worksheet+xml"/>
  <Override PartName="/xl/drawings/drawing13.xml" ContentType="application/vnd.openxmlformats-officedocument.drawing+xml"/>
  <Override PartName="/xl/worksheets/sheet18.xml" ContentType="application/vnd.openxmlformats-officedocument.spreadsheetml.worksheet+xml"/>
  <Override PartName="/xl/drawings/drawing14.xml" ContentType="application/vnd.openxmlformats-officedocument.drawing+xml"/>
  <Override PartName="/xl/worksheets/sheet19.xml" ContentType="application/vnd.openxmlformats-officedocument.spreadsheetml.worksheet+xml"/>
  <Override PartName="/xl/drawings/drawing15.xml" ContentType="application/vnd.openxmlformats-officedocument.drawing+xml"/>
  <Override PartName="/xl/worksheets/sheet20.xml" ContentType="application/vnd.openxmlformats-officedocument.spreadsheetml.worksheet+xml"/>
  <Override PartName="/xl/drawings/drawing16.xml" ContentType="application/vnd.openxmlformats-officedocument.drawing+xml"/>
  <Override PartName="/xl/worksheets/sheet21.xml" ContentType="application/vnd.openxmlformats-officedocument.spreadsheetml.worksheet+xml"/>
  <Override PartName="/xl/drawings/drawing17.xml" ContentType="application/vnd.openxmlformats-officedocument.drawing+xml"/>
  <Override PartName="/xl/worksheets/sheet22.xml" ContentType="application/vnd.openxmlformats-officedocument.spreadsheetml.worksheet+xml"/>
  <Override PartName="/xl/drawings/drawing18.xml" ContentType="application/vnd.openxmlformats-officedocument.drawing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drawings/drawing19.xml" ContentType="application/vnd.openxmlformats-officedocument.drawing+xml"/>
  <Override PartName="/xl/worksheets/sheet25.xml" ContentType="application/vnd.openxmlformats-officedocument.spreadsheetml.worksheet+xml"/>
  <Override PartName="/xl/drawings/drawing20.xml" ContentType="application/vnd.openxmlformats-officedocument.drawing+xml"/>
  <Override PartName="/xl/worksheets/sheet26.xml" ContentType="application/vnd.openxmlformats-officedocument.spreadsheetml.worksheet+xml"/>
  <Override PartName="/xl/drawings/drawing21.xml" ContentType="application/vnd.openxmlformats-officedocument.drawing+xml"/>
  <Override PartName="/xl/worksheets/sheet27.xml" ContentType="application/vnd.openxmlformats-officedocument.spreadsheetml.worksheet+xml"/>
  <Override PartName="/xl/drawings/drawing22.xml" ContentType="application/vnd.openxmlformats-officedocument.drawing+xml"/>
  <Override PartName="/xl/worksheets/sheet28.xml" ContentType="application/vnd.openxmlformats-officedocument.spreadsheetml.worksheet+xml"/>
  <Override PartName="/xl/drawings/drawing23.xml" ContentType="application/vnd.openxmlformats-officedocument.drawing+xml"/>
  <Override PartName="/xl/worksheets/sheet29.xml" ContentType="application/vnd.openxmlformats-officedocument.spreadsheetml.worksheet+xml"/>
  <Override PartName="/xl/drawings/drawing24.xml" ContentType="application/vnd.openxmlformats-officedocument.drawing+xml"/>
  <Override PartName="/xl/worksheets/sheet30.xml" ContentType="application/vnd.openxmlformats-officedocument.spreadsheetml.worksheet+xml"/>
  <Override PartName="/xl/drawings/drawing25.xml" ContentType="application/vnd.openxmlformats-officedocument.drawing+xml"/>
  <Override PartName="/xl/worksheets/sheet31.xml" ContentType="application/vnd.openxmlformats-officedocument.spreadsheetml.worksheet+xml"/>
  <Override PartName="/xl/drawings/drawing26.xml" ContentType="application/vnd.openxmlformats-officedocument.drawing+xml"/>
  <Override PartName="/xl/worksheets/sheet32.xml" ContentType="application/vnd.openxmlformats-officedocument.spreadsheetml.worksheet+xml"/>
  <Override PartName="/xl/drawings/drawing27.xml" ContentType="application/vnd.openxmlformats-officedocument.drawing+xml"/>
  <Override PartName="/xl/worksheets/sheet33.xml" ContentType="application/vnd.openxmlformats-officedocument.spreadsheetml.worksheet+xml"/>
  <Override PartName="/xl/drawings/drawing28.xml" ContentType="application/vnd.openxmlformats-officedocument.drawing+xml"/>
  <Override PartName="/xl/comments/comment1.xml" ContentType="application/vnd.openxmlformats-officedocument.spreadsheetml.comments+xml"/>
  <Override PartName="/xl/worksheets/sheet34.xml" ContentType="application/vnd.openxmlformats-officedocument.spreadsheetml.worksheet+xml"/>
  <Override PartName="/xl/drawings/drawing29.xml" ContentType="application/vnd.openxmlformats-officedocument.drawing+xml"/>
  <Override PartName="/xl/worksheets/sheet35.xml" ContentType="application/vnd.openxmlformats-officedocument.spreadsheetml.worksheet+xml"/>
  <Override PartName="/xl/drawings/drawing30.xml" ContentType="application/vnd.openxmlformats-officedocument.drawing+xml"/>
  <Override PartName="/xl/worksheets/sheet36.xml" ContentType="application/vnd.openxmlformats-officedocument.spreadsheetml.worksheet+xml"/>
  <Override PartName="/xl/drawings/drawing31.xml" ContentType="application/vnd.openxmlformats-officedocument.drawing+xml"/>
  <Override PartName="/xl/worksheets/sheet37.xml" ContentType="application/vnd.openxmlformats-officedocument.spreadsheetml.worksheet+xml"/>
  <Override PartName="/xl/drawings/drawing32.xml" ContentType="application/vnd.openxmlformats-officedocument.drawing+xml"/>
  <Override PartName="/xl/worksheets/sheet38.xml" ContentType="application/vnd.openxmlformats-officedocument.spreadsheetml.worksheet+xml"/>
  <Override PartName="/xl/drawings/drawing33.xml" ContentType="application/vnd.openxmlformats-officedocument.drawing+xml"/>
  <Override PartName="/xl/worksheets/sheet39.xml" ContentType="application/vnd.openxmlformats-officedocument.spreadsheetml.worksheet+xml"/>
  <Override PartName="/xl/drawings/drawing34.xml" ContentType="application/vnd.openxmlformats-officedocument.drawing+xml"/>
  <Override PartName="/xl/worksheets/sheet40.xml" ContentType="application/vnd.openxmlformats-officedocument.spreadsheetml.worksheet+xml"/>
  <Override PartName="/xl/drawings/drawing35.xml" ContentType="application/vnd.openxmlformats-officedocument.drawing+xml"/>
  <Override PartName="/xl/worksheets/sheet41.xml" ContentType="application/vnd.openxmlformats-officedocument.spreadsheetml.worksheet+xml"/>
  <Override PartName="/xl/drawings/drawing36.xml" ContentType="application/vnd.openxmlformats-officedocument.drawing+xml"/>
  <Override PartName="/xl/worksheets/sheet42.xml" ContentType="application/vnd.openxmlformats-officedocument.spreadsheetml.worksheet+xml"/>
  <Override PartName="/xl/drawings/drawing37.xml" ContentType="application/vnd.openxmlformats-officedocument.drawing+xml"/>
  <Override PartName="/xl/worksheets/sheet43.xml" ContentType="application/vnd.openxmlformats-officedocument.spreadsheetml.worksheet+xml"/>
  <Override PartName="/xl/drawings/drawing38.xml" ContentType="application/vnd.openxmlformats-officedocument.drawing+xml"/>
  <Override PartName="/xl/worksheets/sheet44.xml" ContentType="application/vnd.openxmlformats-officedocument.spreadsheetml.worksheet+xml"/>
  <Override PartName="/xl/drawings/drawing39.xml" ContentType="application/vnd.openxmlformats-officedocument.drawing+xml"/>
  <Override PartName="/xl/worksheets/sheet45.xml" ContentType="application/vnd.openxmlformats-officedocument.spreadsheetml.worksheet+xml"/>
  <Override PartName="/xl/drawings/drawing40.xml" ContentType="application/vnd.openxmlformats-officedocument.drawing+xml"/>
  <Override PartName="/xl/worksheets/sheet46.xml" ContentType="application/vnd.openxmlformats-officedocument.spreadsheetml.worksheet+xml"/>
  <Override PartName="/xl/drawings/drawing41.xml" ContentType="application/vnd.openxmlformats-officedocument.drawing+xml"/>
  <Override PartName="/xl/worksheets/sheet47.xml" ContentType="application/vnd.openxmlformats-officedocument.spreadsheetml.worksheet+xml"/>
  <Override PartName="/xl/drawings/drawing42.xml" ContentType="application/vnd.openxmlformats-officedocument.drawing+xml"/>
  <Override PartName="/xl/worksheets/sheet48.xml" ContentType="application/vnd.openxmlformats-officedocument.spreadsheetml.worksheet+xml"/>
  <Override PartName="/xl/drawings/drawing43.xml" ContentType="application/vnd.openxmlformats-officedocument.drawing+xml"/>
  <Override PartName="/xl/worksheets/sheet49.xml" ContentType="application/vnd.openxmlformats-officedocument.spreadsheetml.worksheet+xml"/>
  <Override PartName="/xl/drawings/drawing44.xml" ContentType="application/vnd.openxmlformats-officedocument.drawing+xml"/>
  <Override PartName="/xl/worksheets/sheet50.xml" ContentType="application/vnd.openxmlformats-officedocument.spreadsheetml.worksheet+xml"/>
  <Override PartName="/xl/drawings/drawing45.xml" ContentType="application/vnd.openxmlformats-officedocument.drawing+xml"/>
  <Override PartName="/xl/worksheets/sheet51.xml" ContentType="application/vnd.openxmlformats-officedocument.spreadsheetml.worksheet+xml"/>
  <Override PartName="/xl/drawings/drawing46.xml" ContentType="application/vnd.openxmlformats-officedocument.drawing+xml"/>
  <Override PartName="/xl/worksheets/sheet52.xml" ContentType="application/vnd.openxmlformats-officedocument.spreadsheetml.worksheet+xml"/>
  <Override PartName="/xl/drawings/drawing47.xml" ContentType="application/vnd.openxmlformats-officedocument.drawing+xml"/>
  <Override PartName="/xl/worksheets/sheet53.xml" ContentType="application/vnd.openxmlformats-officedocument.spreadsheetml.worksheet+xml"/>
  <Override PartName="/xl/drawings/drawing48.xml" ContentType="application/vnd.openxmlformats-officedocument.drawing+xml"/>
  <Override PartName="/xl/worksheets/sheet54.xml" ContentType="application/vnd.openxmlformats-officedocument.spreadsheetml.worksheet+xml"/>
  <Override PartName="/xl/drawings/drawing49.xml" ContentType="application/vnd.openxmlformats-officedocument.drawing+xml"/>
  <Override PartName="/xl/worksheets/sheet55.xml" ContentType="application/vnd.openxmlformats-officedocument.spreadsheetml.worksheet+xml"/>
  <Override PartName="/xl/comments/comment2.xml" ContentType="application/vnd.openxmlformats-officedocument.spreadsheetml.comments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640" windowWidth="30240" windowHeight="17640" tabRatio="845" firstSheet="0" activeTab="7" autoFilterDateGrouping="1"/>
  </bookViews>
  <sheets>
    <sheet xmlns:r="http://schemas.openxmlformats.org/officeDocument/2006/relationships" name="JOB TOTAL" sheetId="1" state="visible" r:id="rId1"/>
    <sheet xmlns:r="http://schemas.openxmlformats.org/officeDocument/2006/relationships" name="Quote Price Schedule" sheetId="2" state="hidden" r:id="rId2"/>
    <sheet xmlns:r="http://schemas.openxmlformats.org/officeDocument/2006/relationships" name="SPIRAL DUCT" sheetId="3" state="hidden" r:id="rId3"/>
    <sheet xmlns:r="http://schemas.openxmlformats.org/officeDocument/2006/relationships" name="SUPPLY DUCT " sheetId="4" state="hidden" r:id="rId4"/>
    <sheet xmlns:r="http://schemas.openxmlformats.org/officeDocument/2006/relationships" name="EXTRACT DUCT" sheetId="5" state="hidden" r:id="rId5"/>
    <sheet xmlns:r="http://schemas.openxmlformats.org/officeDocument/2006/relationships" name="AHU TEST" sheetId="6" state="hidden" r:id="rId6"/>
    <sheet xmlns:r="http://schemas.openxmlformats.org/officeDocument/2006/relationships" name="CONTRACT" sheetId="7" state="hidden" r:id="rId7"/>
    <sheet xmlns:r="http://schemas.openxmlformats.org/officeDocument/2006/relationships" name="CANOPY - Main Kitchen (1)" sheetId="8" state="visible" r:id="rId8"/>
    <sheet xmlns:r="http://schemas.openxmlformats.org/officeDocument/2006/relationships" name="CANOPY (14)" sheetId="9" state="hidden" r:id="rId9"/>
    <sheet xmlns:r="http://schemas.openxmlformats.org/officeDocument/2006/relationships" name="CANOPY (13)" sheetId="10" state="hidden" r:id="rId10"/>
    <sheet xmlns:r="http://schemas.openxmlformats.org/officeDocument/2006/relationships" name="CANOPY (12)" sheetId="11" state="hidden" r:id="rId11"/>
    <sheet xmlns:r="http://schemas.openxmlformats.org/officeDocument/2006/relationships" name="CANOPY (11)" sheetId="12" state="hidden" r:id="rId12"/>
    <sheet xmlns:r="http://schemas.openxmlformats.org/officeDocument/2006/relationships" name="CANOPY (10)" sheetId="13" state="hidden" r:id="rId13"/>
    <sheet xmlns:r="http://schemas.openxmlformats.org/officeDocument/2006/relationships" name="CANOPY (9)" sheetId="14" state="hidden" r:id="rId14"/>
    <sheet xmlns:r="http://schemas.openxmlformats.org/officeDocument/2006/relationships" name="CANOPY (8)" sheetId="15" state="hidden" r:id="rId15"/>
    <sheet xmlns:r="http://schemas.openxmlformats.org/officeDocument/2006/relationships" name="CANOPY (7)" sheetId="16" state="hidden" r:id="rId16"/>
    <sheet xmlns:r="http://schemas.openxmlformats.org/officeDocument/2006/relationships" name="CANOPY (6)" sheetId="17" state="hidden" r:id="rId17"/>
    <sheet xmlns:r="http://schemas.openxmlformats.org/officeDocument/2006/relationships" name="CANOPY (5)" sheetId="18" state="hidden" r:id="rId18"/>
    <sheet xmlns:r="http://schemas.openxmlformats.org/officeDocument/2006/relationships" name="CANOPY (4)" sheetId="19" state="hidden" r:id="rId19"/>
    <sheet xmlns:r="http://schemas.openxmlformats.org/officeDocument/2006/relationships" name="CANOPY (3)" sheetId="20" state="hidden" r:id="rId20"/>
    <sheet xmlns:r="http://schemas.openxmlformats.org/officeDocument/2006/relationships" name="CANOPY (2)" sheetId="21" state="hidden" r:id="rId21"/>
    <sheet xmlns:r="http://schemas.openxmlformats.org/officeDocument/2006/relationships" name="CANOPY" sheetId="22" state="hidden" r:id="rId22"/>
    <sheet xmlns:r="http://schemas.openxmlformats.org/officeDocument/2006/relationships" name="CalcStorage" sheetId="23" state="hidden" r:id="rId23"/>
    <sheet xmlns:r="http://schemas.openxmlformats.org/officeDocument/2006/relationships" name="FIRE SUPPRESSION (2)" sheetId="24" state="hidden" r:id="rId24"/>
    <sheet xmlns:r="http://schemas.openxmlformats.org/officeDocument/2006/relationships" name="FIRE SUPP - Main Kitchen (1)" sheetId="25" state="visible" r:id="rId25"/>
    <sheet xmlns:r="http://schemas.openxmlformats.org/officeDocument/2006/relationships" name="FIRE SUPPRESSION (6)" sheetId="26" state="hidden" r:id="rId26"/>
    <sheet xmlns:r="http://schemas.openxmlformats.org/officeDocument/2006/relationships" name="FIRE SUPPRESSION (3)" sheetId="27" state="hidden" r:id="rId27"/>
    <sheet xmlns:r="http://schemas.openxmlformats.org/officeDocument/2006/relationships" name="FIRE SUPPRESSION (4)" sheetId="28" state="hidden" r:id="rId28"/>
    <sheet xmlns:r="http://schemas.openxmlformats.org/officeDocument/2006/relationships" name="FIRE SUPPRESSION" sheetId="29" state="hidden" r:id="rId29"/>
    <sheet xmlns:r="http://schemas.openxmlformats.org/officeDocument/2006/relationships" name="SDU" sheetId="30" state="hidden" r:id="rId30"/>
    <sheet xmlns:r="http://schemas.openxmlformats.org/officeDocument/2006/relationships" name="SDU (2)" sheetId="31" state="hidden" r:id="rId31"/>
    <sheet xmlns:r="http://schemas.openxmlformats.org/officeDocument/2006/relationships" name="VENT CLG" sheetId="32" state="hidden" r:id="rId32"/>
    <sheet xmlns:r="http://schemas.openxmlformats.org/officeDocument/2006/relationships" name="MARVEL" sheetId="33" state="hidden" r:id="rId33"/>
    <sheet xmlns:r="http://schemas.openxmlformats.org/officeDocument/2006/relationships" name="EBOX - Main Kitchen (1)" sheetId="34" state="visible" r:id="rId34"/>
    <sheet xmlns:r="http://schemas.openxmlformats.org/officeDocument/2006/relationships" name="EDGE BOX (14)" sheetId="35" state="hidden" r:id="rId35"/>
    <sheet xmlns:r="http://schemas.openxmlformats.org/officeDocument/2006/relationships" name="EDGE BOX (13)" sheetId="36" state="hidden" r:id="rId36"/>
    <sheet xmlns:r="http://schemas.openxmlformats.org/officeDocument/2006/relationships" name="EDGE BOX (12)" sheetId="37" state="hidden" r:id="rId37"/>
    <sheet xmlns:r="http://schemas.openxmlformats.org/officeDocument/2006/relationships" name="EDGE BOX (11)" sheetId="38" state="hidden" r:id="rId38"/>
    <sheet xmlns:r="http://schemas.openxmlformats.org/officeDocument/2006/relationships" name="EDGE BOX (10)" sheetId="39" state="hidden" r:id="rId39"/>
    <sheet xmlns:r="http://schemas.openxmlformats.org/officeDocument/2006/relationships" name="EDGE BOX (9)" sheetId="40" state="hidden" r:id="rId40"/>
    <sheet xmlns:r="http://schemas.openxmlformats.org/officeDocument/2006/relationships" name="EDGE BOX (8)" sheetId="41" state="hidden" r:id="rId41"/>
    <sheet xmlns:r="http://schemas.openxmlformats.org/officeDocument/2006/relationships" name="EDGE BOX (7)" sheetId="42" state="hidden" r:id="rId42"/>
    <sheet xmlns:r="http://schemas.openxmlformats.org/officeDocument/2006/relationships" name="EDGE BOX (6)" sheetId="43" state="hidden" r:id="rId43"/>
    <sheet xmlns:r="http://schemas.openxmlformats.org/officeDocument/2006/relationships" name="EDGE BOX (5)" sheetId="44" state="hidden" r:id="rId44"/>
    <sheet xmlns:r="http://schemas.openxmlformats.org/officeDocument/2006/relationships" name="EDGE BOX (4)" sheetId="45" state="hidden" r:id="rId45"/>
    <sheet xmlns:r="http://schemas.openxmlformats.org/officeDocument/2006/relationships" name="EDGE BOX (3)" sheetId="46" state="hidden" r:id="rId46"/>
    <sheet xmlns:r="http://schemas.openxmlformats.org/officeDocument/2006/relationships" name="EDGE BOX (2)" sheetId="47" state="hidden" r:id="rId47"/>
    <sheet xmlns:r="http://schemas.openxmlformats.org/officeDocument/2006/relationships" name="EDGE BOX" sheetId="48" state="hidden" r:id="rId48"/>
    <sheet xmlns:r="http://schemas.openxmlformats.org/officeDocument/2006/relationships" name="AEROLYS" sheetId="49" state="hidden" r:id="rId49"/>
    <sheet xmlns:r="http://schemas.openxmlformats.org/officeDocument/2006/relationships" name="POLLUSTOP" sheetId="50" state="hidden" r:id="rId50"/>
    <sheet xmlns:r="http://schemas.openxmlformats.org/officeDocument/2006/relationships" name="POLLU-LITE" sheetId="51" state="hidden" r:id="rId51"/>
    <sheet xmlns:r="http://schemas.openxmlformats.org/officeDocument/2006/relationships" name="RECOAIR" sheetId="52" state="hidden" r:id="rId52"/>
    <sheet xmlns:r="http://schemas.openxmlformats.org/officeDocument/2006/relationships" name="REACTAWAY " sheetId="53" state="hidden" r:id="rId53"/>
    <sheet xmlns:r="http://schemas.openxmlformats.org/officeDocument/2006/relationships" name="INFECTAWAY" sheetId="54" state="hidden" r:id="rId54"/>
    <sheet xmlns:r="http://schemas.openxmlformats.org/officeDocument/2006/relationships" name="Base Costs" sheetId="55" state="hidden" r:id="rId55"/>
    <sheet xmlns:r="http://schemas.openxmlformats.org/officeDocument/2006/relationships" name="CC" sheetId="56" state="hidden" r:id="rId56"/>
    <sheet xmlns:r="http://schemas.openxmlformats.org/officeDocument/2006/relationships" name="CCBASE" sheetId="57" state="hidden" r:id="rId57"/>
    <sheet xmlns:r="http://schemas.openxmlformats.org/officeDocument/2006/relationships" name="Lists" sheetId="58" state="visible" r:id="rId58"/>
  </sheets>
  <externalReferences>
    <externalReference xmlns:r="http://schemas.openxmlformats.org/officeDocument/2006/relationships" r:id="rId59"/>
    <externalReference xmlns:r="http://schemas.openxmlformats.org/officeDocument/2006/relationships" r:id="rId60"/>
    <externalReference xmlns:r="http://schemas.openxmlformats.org/officeDocument/2006/relationships" r:id="rId61"/>
    <externalReference xmlns:r="http://schemas.openxmlformats.org/officeDocument/2006/relationships" r:id="rId62"/>
  </externalReferences>
  <definedNames>
    <definedName name="FanSize">'Base Costs'!$I$4:$I$10</definedName>
    <definedName name="SIZE">'Base Costs'!$I$4:$I$10</definedName>
    <definedName name="SELECTPLANTHIRE" localSheetId="0">'JOB TOTAL'!$S$1:$S$8</definedName>
    <definedName name="_xlnm.Print_Area" localSheetId="0">'JOB TOTAL'!$B$1:$O$28</definedName>
    <definedName name="_xlnm.Print_Area" localSheetId="5">'AHU TEST'!$B$1:$K$74</definedName>
    <definedName name="_xlnm.Print_Area" localSheetId="6">'CONTRACT'!$B$1:$K$74</definedName>
    <definedName name="SELECTPLANTHIRE" localSheetId="7">'[1]CANOPY (15)'!$Q$1:$Q$8</definedName>
    <definedName name="_xlnm.Print_Area" localSheetId="7">'CANOPY - Main Kitchen (1)'!$A$1:$O$206</definedName>
    <definedName name="SELECTPLANTHIRE" localSheetId="8">'CANOPY (14)'!$Q$1:$Q$8</definedName>
    <definedName name="_xlnm.Print_Area" localSheetId="8">'CANOPY (14)'!$A$1:$O$206</definedName>
    <definedName name="SELECTPLANTHIRE" localSheetId="9">'CANOPY (13)'!$Q$1:$Q$8</definedName>
    <definedName name="_xlnm.Print_Area" localSheetId="9">'CANOPY (13)'!$A$1:$O$206</definedName>
    <definedName name="SELECTPLANTHIRE" localSheetId="10">'CANOPY (12)'!$Q$1:$Q$8</definedName>
    <definedName name="_xlnm.Print_Area" localSheetId="10">'CANOPY (12)'!$A$1:$O$206</definedName>
    <definedName name="SELECTPLANTHIRE" localSheetId="11">'CANOPY (11)'!$Q$1:$Q$8</definedName>
    <definedName name="_xlnm.Print_Area" localSheetId="11">'CANOPY (11)'!$A$1:$O$206</definedName>
    <definedName name="SELECTPLANTHIRE" localSheetId="12">'CANOPY (10)'!$Q$1:$Q$8</definedName>
    <definedName name="_xlnm.Print_Area" localSheetId="12">'CANOPY (10)'!$A$1:$O$206</definedName>
    <definedName name="SELECTPLANTHIRE" localSheetId="13">'CANOPY (9)'!$Q$1:$Q$8</definedName>
    <definedName name="_xlnm.Print_Area" localSheetId="13">'CANOPY (9)'!$A$1:$O$206</definedName>
    <definedName name="SELECTPLANTHIRE" localSheetId="14">'CANOPY (8)'!$Q$1:$Q$8</definedName>
    <definedName name="_xlnm.Print_Area" localSheetId="14">'CANOPY (8)'!$A$1:$O$206</definedName>
    <definedName name="SELECTPLANTHIRE" localSheetId="15">'CANOPY (7)'!$Q$1:$Q$8</definedName>
    <definedName name="_xlnm.Print_Area" localSheetId="15">'CANOPY (7)'!$A$1:$O$206</definedName>
    <definedName name="SELECTPLANTHIRE" localSheetId="16">'CANOPY (6)'!$Q$1:$Q$8</definedName>
    <definedName name="_xlnm.Print_Area" localSheetId="16">'CANOPY (6)'!$A$1:$O$206</definedName>
    <definedName name="SELECTPLANTHIRE" localSheetId="17">'CANOPY (5)'!$Q$1:$Q$8</definedName>
    <definedName name="_xlnm.Print_Area" localSheetId="17">'CANOPY (5)'!$A$1:$O$206</definedName>
    <definedName name="SELECTPLANTHIRE" localSheetId="18">'CANOPY (4)'!$Q$1:$Q$8</definedName>
    <definedName name="_xlnm.Print_Area" localSheetId="18">'CANOPY (4)'!$A$1:$O$206</definedName>
    <definedName name="SELECTPLANTHIRE" localSheetId="19">'CANOPY (3)'!$Q$1:$Q$8</definedName>
    <definedName name="_xlnm.Print_Area" localSheetId="19">'CANOPY (3)'!$A$1:$O$206</definedName>
    <definedName name="SELECTPLANTHIRE" localSheetId="20">'CANOPY (2)'!$Q$1:$Q$8</definedName>
    <definedName name="_xlnm.Print_Area" localSheetId="20">'CANOPY (2)'!$A$1:$O$206</definedName>
    <definedName name="SELECTPLANTHIRE" localSheetId="21">CANOPY!$Q$1:$Q$8</definedName>
    <definedName name="_xlnm.Print_Area" localSheetId="21">'CANOPY'!$A$1:$O$206</definedName>
    <definedName name="SELECTPLANTHIRE" localSheetId="23">'FIRE SUPPRESSION (2)'!$Q$1:$Q$8</definedName>
    <definedName name="_xlnm.Print_Area" localSheetId="23">'FIRE SUPPRESSION (2)'!$A$1:$O$206</definedName>
    <definedName name="SELECTPLANTHIRE" localSheetId="24">'[2]FIRE SUPPRESSION (5)'!$Q$1:$Q$8</definedName>
    <definedName name="_xlnm.Print_Area" localSheetId="24">'FIRE SUPP - Main Kitchen (1)'!$A$1:$O$206</definedName>
    <definedName name="SELECTPLANTHIRE" localSheetId="25">'FIRE SUPPRESSION (6)'!$Q$1:$Q$8</definedName>
    <definedName name="_xlnm.Print_Area" localSheetId="25">'FIRE SUPPRESSION (6)'!$A$1:$O$206</definedName>
    <definedName name="SELECTPLANTHIRE" localSheetId="26">'FIRE SUPPRESSION (3)'!$Q$1:$Q$8</definedName>
    <definedName name="_xlnm.Print_Area" localSheetId="26">'FIRE SUPPRESSION (3)'!$A$1:$O$206</definedName>
    <definedName name="SELECTPLANTHIRE" localSheetId="27">'FIRE SUPPRESSION (4)'!$Q$1:$Q$8</definedName>
    <definedName name="_xlnm.Print_Area" localSheetId="27">'FIRE SUPPRESSION (4)'!$A$1:$O$206</definedName>
    <definedName name="SELECTPLANTHIRE" localSheetId="28">'FIRE SUPPRESSION'!$Q$1:$Q$8</definedName>
    <definedName name="_xlnm.Print_Area" localSheetId="28">'FIRE SUPPRESSION'!$A$1:$O$206</definedName>
    <definedName name="SELECTPLANTHIRE" localSheetId="29">'[3]UV CANOPY'!$T$1:$T$13</definedName>
    <definedName name="_xlnm.Print_Area" localSheetId="29">'SDU'!$B$1:$AD$110</definedName>
    <definedName name="SELECTPLANTHIRE" localSheetId="30">'[3]UV CANOPY'!$T$1:$T$13</definedName>
    <definedName name="_xlnm.Print_Area" localSheetId="30">'SDU (2)'!$B$1:$K$96</definedName>
    <definedName name="_xlnm.Print_Area" localSheetId="31">'VENT CLG'!$B$1:$K$63</definedName>
    <definedName name="_xlnm.Print_Area" localSheetId="32">'MARVEL'!$B$1:$K$68</definedName>
    <definedName name="SELECTPLANTHIRE" localSheetId="33">'[4]EDGE BOX (15)'!$S$1:$S$8</definedName>
    <definedName name="_xlnm.Print_Area" localSheetId="33">'EBOX - Main Kitchen (1)'!$C$1:$O$49</definedName>
    <definedName name="SELECTPLANTHIRE" localSheetId="34">'EDGE BOX (14)'!$S$1:$S$8</definedName>
    <definedName name="_xlnm.Print_Area" localSheetId="34">'EDGE BOX (14)'!$C$1:$O$49</definedName>
    <definedName name="SELECTPLANTHIRE" localSheetId="35">'EDGE BOX (13)'!$S$1:$S$8</definedName>
    <definedName name="_xlnm.Print_Area" localSheetId="35">'EDGE BOX (13)'!$C$1:$O$49</definedName>
    <definedName name="SELECTPLANTHIRE" localSheetId="36">'EDGE BOX (12)'!$S$1:$S$8</definedName>
    <definedName name="_xlnm.Print_Area" localSheetId="36">'EDGE BOX (12)'!$C$1:$O$49</definedName>
    <definedName name="SELECTPLANTHIRE" localSheetId="37">'EDGE BOX (11)'!$S$1:$S$8</definedName>
    <definedName name="_xlnm.Print_Area" localSheetId="37">'EDGE BOX (11)'!$C$1:$O$49</definedName>
    <definedName name="SELECTPLANTHIRE" localSheetId="38">'EDGE BOX (10)'!$S$1:$S$8</definedName>
    <definedName name="_xlnm.Print_Area" localSheetId="38">'EDGE BOX (10)'!$C$1:$O$49</definedName>
    <definedName name="SELECTPLANTHIRE" localSheetId="39">'EDGE BOX (9)'!$S$1:$S$8</definedName>
    <definedName name="_xlnm.Print_Area" localSheetId="39">'EDGE BOX (9)'!$C$1:$O$49</definedName>
    <definedName name="SELECTPLANTHIRE" localSheetId="40">'EDGE BOX (8)'!$S$1:$S$8</definedName>
    <definedName name="_xlnm.Print_Area" localSheetId="40">'EDGE BOX (8)'!$C$1:$O$49</definedName>
    <definedName name="SELECTPLANTHIRE" localSheetId="41">'EDGE BOX (7)'!$S$1:$S$8</definedName>
    <definedName name="_xlnm.Print_Area" localSheetId="41">'EDGE BOX (7)'!$C$1:$O$49</definedName>
    <definedName name="SELECTPLANTHIRE" localSheetId="42">'EDGE BOX (6)'!$S$1:$S$8</definedName>
    <definedName name="_xlnm.Print_Area" localSheetId="42">'EDGE BOX (6)'!$C$1:$O$49</definedName>
    <definedName name="SELECTPLANTHIRE" localSheetId="43">'EDGE BOX (5)'!$S$1:$S$8</definedName>
    <definedName name="_xlnm.Print_Area" localSheetId="43">'EDGE BOX (5)'!$C$1:$O$49</definedName>
    <definedName name="SELECTPLANTHIRE" localSheetId="44">'EDGE BOX (4)'!$S$1:$S$8</definedName>
    <definedName name="_xlnm.Print_Area" localSheetId="44">'EDGE BOX (4)'!$C$1:$O$49</definedName>
    <definedName name="SELECTPLANTHIRE" localSheetId="45">'EDGE BOX (3)'!$S$1:$S$8</definedName>
    <definedName name="_xlnm.Print_Area" localSheetId="45">'EDGE BOX (3)'!$C$1:$O$49</definedName>
    <definedName name="SELECTPLANTHIRE" localSheetId="46">'EDGE BOX (2)'!$S$1:$S$8</definedName>
    <definedName name="_xlnm.Print_Area" localSheetId="46">'EDGE BOX (2)'!$C$1:$O$49</definedName>
    <definedName name="SELECTPLANTHIRE" localSheetId="47">'EDGE BOX'!$S$1:$S$8</definedName>
    <definedName name="_xlnm.Print_Area" localSheetId="47">'EDGE BOX'!$C$1:$O$49</definedName>
    <definedName name="_xlnm.Print_Area" localSheetId="48">'AEROLYS'!$A$1:$L$69</definedName>
    <definedName name="_xlnm.Print_Area" localSheetId="49">'POLLUSTOP'!$B$1:$L$90</definedName>
    <definedName name="SELECTPLANTHIRE" localSheetId="50">'POLLU-LITE'!$S$1:$S$8</definedName>
    <definedName name="_xlnm.Print_Area" localSheetId="50">'POLLU-LITE'!$C$1:$O$38</definedName>
    <definedName name="SELECTPLANTHIRE" localSheetId="51">RECOAIR!$S$1:$S$8</definedName>
    <definedName name="_xlnm.Print_Area" localSheetId="51">'RECOAIR'!$C$1:$O$48</definedName>
    <definedName name="SELECTPLANTHIRE" localSheetId="52">'REACTAWAY '!$S$1:$S$8</definedName>
    <definedName name="_xlnm.Print_Area" localSheetId="52">'REACTAWAY '!$C$1:$O$47</definedName>
    <definedName name="SELECTPLANTHIRE" localSheetId="53">INFECTAWAY!$T$1:$T$8</definedName>
    <definedName name="_xlnm.Print_Area" localSheetId="53">'INFECTAWAY'!$D$1:$P$47</definedName>
  </definedNames>
  <calcPr calcId="191029" fullCalcOnLoad="1"/>
</workbook>
</file>

<file path=xl/styles.xml><?xml version="1.0" encoding="utf-8"?>
<styleSheet xmlns="http://schemas.openxmlformats.org/spreadsheetml/2006/main">
  <numFmts count="13">
    <numFmt numFmtId="164" formatCode="_-&quot;£&quot;* #,##0.00_-;\-&quot;£&quot;* #,##0.00_-;_-&quot;£&quot;* &quot;-&quot;??_-;_-@_-"/>
    <numFmt numFmtId="165" formatCode="&quot;£&quot;#,##0"/>
    <numFmt numFmtId="166" formatCode="0.0%"/>
    <numFmt numFmtId="167" formatCode="&quot;£&quot;#,##0.00"/>
    <numFmt numFmtId="168" formatCode="&quot;£&quot;#,##0;[Red]\-&quot;£&quot;#,##0"/>
    <numFmt numFmtId="169" formatCode="[$-F800]dddd\,\ mmmm\ dd\,\ yyyy"/>
    <numFmt numFmtId="170" formatCode="_-&quot;£&quot;* #,##0.00_-;\-&quot;£&quot;* #,##0.00_-;_-&quot;£&quot;* &quot;-&quot;????_-;_-@_-"/>
    <numFmt numFmtId="171" formatCode="_-[$£-809]* #,##0.00_-;\-[$£-809]* #,##0.00_-;_-[$£-809]* &quot;-&quot;??_-;_-@_-"/>
    <numFmt numFmtId="172" formatCode="_-&quot;£&quot;* #,##0_-;\-&quot;£&quot;* #,##0_-;_-&quot;£&quot;* &quot;-&quot;??_-;_-@_-"/>
    <numFmt numFmtId="173" formatCode="0.0"/>
    <numFmt numFmtId="174" formatCode="#,##0.00_ ;\-#,##0.00\ "/>
    <numFmt numFmtId="175" formatCode="#,##0_ ;\-#,##0\ "/>
    <numFmt numFmtId="176" formatCode="&quot;£&quot;#,##0.00;[Red]\-&quot;£&quot;#,##0.00"/>
  </numFmts>
  <fonts count="112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rgb="FFFF0000"/>
      <sz val="10"/>
    </font>
    <font>
      <name val="Calibri"/>
      <family val="2"/>
      <b val="1"/>
      <color theme="1" tint="0.249977111117893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 tint="0.1499984740745262"/>
      <sz val="11"/>
      <scheme val="minor"/>
    </font>
    <font>
      <name val="Calibri"/>
      <family val="2"/>
      <color theme="1" tint="0.1499984740745262"/>
      <sz val="11"/>
      <scheme val="minor"/>
    </font>
    <font>
      <name val="Calibri"/>
      <family val="2"/>
      <b val="1"/>
      <color theme="1" tint="0.3499862666707358"/>
      <sz val="11"/>
      <scheme val="minor"/>
    </font>
    <font>
      <name val="Calibri"/>
      <family val="2"/>
      <b val="1"/>
      <color theme="8" tint="-0.249977111117893"/>
      <sz val="11"/>
      <scheme val="minor"/>
    </font>
    <font>
      <name val="Calibri"/>
      <family val="2"/>
      <b val="1"/>
      <color theme="8" tint="-0.499984740745262"/>
      <sz val="11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b val="1"/>
      <color theme="1" tint="0.249977111117893"/>
      <sz val="14"/>
      <scheme val="minor"/>
    </font>
    <font>
      <name val="Calibri"/>
      <family val="2"/>
      <b val="1"/>
      <color rgb="FFC00000"/>
      <sz val="11"/>
      <scheme val="minor"/>
    </font>
    <font>
      <name val="Calibri"/>
      <family val="2"/>
      <b val="1"/>
      <color theme="8" tint="0.7999816888943144"/>
      <sz val="11"/>
      <scheme val="minor"/>
    </font>
    <font>
      <name val="Calibri"/>
      <family val="2"/>
      <color theme="8" tint="0.7999816888943144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i val="1"/>
      <color theme="1" tint="0.1499984740745262"/>
      <sz val="11"/>
      <scheme val="minor"/>
    </font>
    <font>
      <name val="Calibri"/>
      <family val="2"/>
      <color theme="8" tint="-0.499984740745262"/>
      <sz val="11"/>
      <scheme val="min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i val="1"/>
      <color theme="1" tint="0.249977111117893"/>
      <sz val="11"/>
      <scheme val="minor"/>
    </font>
    <font>
      <name val="Calibri"/>
      <family val="2"/>
      <b val="1"/>
      <i val="1"/>
      <sz val="11"/>
      <scheme val="minor"/>
    </font>
    <font>
      <name val="Calibri"/>
      <family val="2"/>
      <color theme="1" tint="0.249977111117893"/>
      <sz val="14"/>
      <scheme val="minor"/>
    </font>
    <font>
      <name val="Calibri"/>
      <family val="2"/>
      <i val="1"/>
      <color theme="1" tint="0.3499862666707358"/>
      <sz val="11"/>
      <scheme val="minor"/>
    </font>
    <font>
      <name val="Calibri"/>
      <family val="2"/>
      <b val="1"/>
      <color theme="8" tint="-0.499984740745262"/>
      <sz val="14"/>
      <scheme val="minor"/>
    </font>
    <font>
      <name val="Calibri"/>
      <family val="2"/>
      <b val="1"/>
      <i val="1"/>
      <color theme="1" tint="0.249977111117893"/>
      <sz val="11"/>
      <scheme val="minor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Arial"/>
      <family val="2"/>
      <b val="1"/>
      <color theme="1"/>
      <sz val="10"/>
    </font>
    <font>
      <name val="Arial"/>
      <family val="2"/>
      <color theme="0"/>
      <sz val="11"/>
    </font>
    <font>
      <name val="Arial"/>
      <family val="2"/>
      <b val="1"/>
      <color theme="0"/>
      <sz val="11"/>
    </font>
    <font>
      <name val="Arial"/>
      <family val="2"/>
      <color theme="1"/>
      <sz val="10"/>
    </font>
    <font>
      <name val="Arial"/>
      <family val="2"/>
      <b val="1"/>
      <color theme="0"/>
      <sz val="12"/>
    </font>
    <font>
      <name val="Arial"/>
      <family val="2"/>
      <color theme="0"/>
      <sz val="12"/>
    </font>
    <font>
      <name val="Calibri"/>
      <family val="2"/>
      <color rgb="FFFF0000"/>
      <sz val="11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7A37"/>
      <sz val="11"/>
      <scheme val="minor"/>
    </font>
    <font>
      <name val="Calibri"/>
      <family val="2"/>
      <b val="1"/>
      <color rgb="FFC40000"/>
      <sz val="11"/>
      <scheme val="minor"/>
    </font>
    <font>
      <name val="Calibri"/>
      <family val="2"/>
      <b val="1"/>
      <color rgb="FF8439BD"/>
      <sz val="11"/>
      <scheme val="minor"/>
    </font>
    <font>
      <name val="Arial"/>
      <family val="2"/>
      <color rgb="FFFF0000"/>
      <sz val="10"/>
    </font>
    <font>
      <name val="Arial"/>
      <family val="2"/>
      <b val="1"/>
      <color rgb="FF8439BD"/>
      <sz val="10"/>
    </font>
    <font>
      <name val="Calibri"/>
      <family val="2"/>
      <color rgb="FFC40000"/>
      <sz val="11"/>
      <scheme val="minor"/>
    </font>
    <font>
      <name val="Calibri"/>
      <family val="2"/>
      <color rgb="FF007A37"/>
      <sz val="11"/>
      <scheme val="minor"/>
    </font>
    <font>
      <name val="Calibri"/>
      <family val="2"/>
      <color rgb="FF8439BD"/>
      <sz val="11"/>
      <scheme val="minor"/>
    </font>
    <font>
      <name val="Arial"/>
      <family val="2"/>
      <b val="1"/>
      <color rgb="FF00B0F0"/>
      <sz val="10"/>
    </font>
    <font>
      <name val="Arial"/>
      <family val="2"/>
      <sz val="9"/>
    </font>
    <font>
      <name val="Calibri"/>
      <family val="2"/>
      <color theme="1" tint="0.1499984740745262"/>
      <sz val="14"/>
      <scheme val="minor"/>
    </font>
    <font>
      <name val="Arial"/>
      <family val="2"/>
      <i val="1"/>
      <sz val="10"/>
    </font>
    <font>
      <name val="Arial"/>
      <family val="2"/>
      <b val="1"/>
      <color theme="0" tint="-0.1499984740745262"/>
      <sz val="10"/>
    </font>
    <font>
      <name val="Arial"/>
      <family val="2"/>
      <color theme="0" tint="-0.1499984740745262"/>
      <sz val="9"/>
    </font>
    <font>
      <name val="Arial"/>
      <family val="2"/>
      <color theme="0" tint="-0.1499984740745262"/>
      <sz val="10"/>
    </font>
    <font>
      <name val="Arial"/>
      <family val="2"/>
      <b val="1"/>
      <sz val="11"/>
    </font>
    <font>
      <name val="Arial"/>
      <family val="2"/>
      <b val="1"/>
      <color theme="8" tint="-0.499984740745262"/>
      <sz val="14"/>
    </font>
    <font>
      <name val="Arial"/>
      <family val="2"/>
      <b val="1"/>
      <sz val="14"/>
    </font>
    <font>
      <name val="Arial"/>
      <family val="2"/>
      <b val="1"/>
      <color theme="8" tint="-0.499984740745262"/>
      <sz val="12"/>
    </font>
    <font>
      <name val="Arial"/>
      <family val="2"/>
      <b val="1"/>
      <color rgb="FFC00000"/>
      <sz val="12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i val="1"/>
      <sz val="10"/>
    </font>
    <font>
      <name val="Calibri"/>
      <family val="2"/>
      <color theme="0"/>
      <sz val="11"/>
      <scheme val="minor"/>
    </font>
    <font>
      <name val="Calibri"/>
      <family val="2"/>
      <b val="1"/>
      <color theme="1" tint="0.249977111117893"/>
      <sz val="11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b val="1"/>
      <color theme="1" tint="0.3499862666707358"/>
      <sz val="11"/>
      <scheme val="minor"/>
    </font>
    <font>
      <name val="Calibri"/>
      <family val="2"/>
      <i val="1"/>
      <color theme="1" tint="0.249977111117893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C00000"/>
      <sz val="11"/>
      <scheme val="minor"/>
    </font>
    <font>
      <name val="Calibri"/>
      <family val="2"/>
      <b val="1"/>
      <color theme="1" tint="0.1499984740745262"/>
      <sz val="11"/>
      <scheme val="minor"/>
    </font>
    <font>
      <name val="Calibri"/>
      <family val="2"/>
      <color theme="1" tint="0.1499984740745262"/>
      <sz val="11"/>
      <scheme val="minor"/>
    </font>
    <font>
      <name val="Calibri"/>
      <family val="2"/>
      <b val="1"/>
      <color theme="8" tint="-0.499984740745262"/>
      <sz val="11"/>
      <scheme val="minor"/>
    </font>
    <font>
      <name val="Calibri"/>
      <family val="2"/>
      <b val="1"/>
      <color theme="8" tint="0.7999816888943144"/>
      <sz val="11"/>
      <scheme val="minor"/>
    </font>
    <font>
      <name val="Calibri"/>
      <family val="2"/>
      <b val="1"/>
      <color theme="8" tint="-0.249977111117893"/>
      <sz val="11"/>
      <scheme val="minor"/>
    </font>
    <font>
      <name val="Calibri"/>
      <family val="2"/>
      <color theme="8" tint="0.7999816888943144"/>
      <sz val="11"/>
      <scheme val="minor"/>
    </font>
    <font>
      <name val="Arial"/>
      <family val="2"/>
      <color rgb="FF7030A0"/>
      <sz val="10"/>
    </font>
    <font>
      <name val="Calibri"/>
      <family val="2"/>
      <b val="1"/>
      <color rgb="FFFF0000"/>
      <sz val="8"/>
      <scheme val="minor"/>
    </font>
    <font>
      <name val="Calibri"/>
      <family val="2"/>
      <b val="1"/>
      <color rgb="FFFF0000"/>
      <sz val="14"/>
      <scheme val="minor"/>
    </font>
    <font>
      <name val="Arial"/>
      <family val="2"/>
      <b val="1"/>
      <color rgb="FFC00000"/>
      <sz val="10"/>
    </font>
    <font>
      <name val="Arial"/>
      <family val="2"/>
      <color rgb="FFC00000"/>
      <sz val="10"/>
    </font>
    <font>
      <name val="Calibri"/>
      <family val="2"/>
      <i val="1"/>
      <color rgb="FFFF0000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color theme="0" tint="-0.499984740745262"/>
      <sz val="11"/>
      <scheme val="minor"/>
    </font>
    <font>
      <name val="Calibri"/>
      <family val="2"/>
      <b val="1"/>
      <sz val="12"/>
      <scheme val="minor"/>
    </font>
    <font>
      <name val="Arial"/>
      <family val="2"/>
      <b val="1"/>
      <color theme="9" tint="-0.249977111117893"/>
      <sz val="10"/>
    </font>
    <font>
      <name val="Arial"/>
      <family val="2"/>
      <b val="1"/>
      <color theme="6" tint="-0.499984740745262"/>
      <sz val="10"/>
    </font>
    <font>
      <name val="Calibri"/>
      <family val="2"/>
      <color theme="9" tint="-0.249977111117893"/>
      <sz val="11"/>
      <scheme val="minor"/>
    </font>
    <font>
      <name val="Calibri"/>
      <family val="2"/>
      <color rgb="FFC00000"/>
      <sz val="11"/>
      <scheme val="minor"/>
    </font>
    <font>
      <name val="Calibri"/>
      <family val="2"/>
      <b val="1"/>
      <sz val="12"/>
    </font>
    <font>
      <name val="Arial"/>
      <family val="2"/>
      <b val="1"/>
      <color rgb="FF00B050"/>
      <sz val="10"/>
    </font>
    <font>
      <name val="Arial"/>
      <family val="2"/>
      <b val="1"/>
      <color theme="9" tint="-0.499984740745262"/>
      <sz val="10"/>
    </font>
    <font>
      <name val="Arial"/>
      <family val="2"/>
      <b val="1"/>
      <color rgb="FF0070C0"/>
      <sz val="10"/>
    </font>
    <font>
      <name val="Calibri"/>
      <family val="2"/>
      <b val="1"/>
      <sz val="10"/>
      <scheme val="minor"/>
    </font>
    <font>
      <name val="Calibri"/>
      <family val="2"/>
      <color theme="1" tint="0.249977111117893"/>
      <sz val="10"/>
      <scheme val="minor"/>
    </font>
    <font>
      <name val="Calibri"/>
      <family val="2"/>
      <b val="1"/>
      <color theme="8" tint="0.7999816888943144"/>
      <sz val="10"/>
      <scheme val="minor"/>
    </font>
    <font>
      <name val="Arial"/>
      <family val="2"/>
      <b val="1"/>
      <color rgb="FF92D050"/>
      <sz val="10"/>
    </font>
    <font>
      <name val="Arial"/>
      <family val="2"/>
      <b val="1"/>
      <color theme="6"/>
      <sz val="10"/>
    </font>
    <font>
      <name val="Calibri"/>
      <family val="2"/>
      <b val="1"/>
      <color rgb="FF7030A0"/>
      <sz val="11"/>
      <scheme val="minor"/>
    </font>
    <font>
      <name val="Calibri"/>
      <family val="2"/>
      <color theme="1" tint="0.1499984740745262"/>
      <sz val="10"/>
      <scheme val="minor"/>
    </font>
    <font>
      <name val="Calibri"/>
      <family val="2"/>
      <sz val="10"/>
      <scheme val="minor"/>
    </font>
    <font>
      <name val="Calibri"/>
      <family val="2"/>
      <b val="1"/>
      <color theme="1" tint="0.1499984740745262"/>
      <sz val="10"/>
      <scheme val="minor"/>
    </font>
    <font>
      <name val="Calibri"/>
      <family val="2"/>
      <b val="1"/>
      <color theme="1" tint="0.249977111117893"/>
      <sz val="12"/>
      <scheme val="minor"/>
    </font>
    <font>
      <name val="Arial"/>
      <family val="2"/>
      <b val="1"/>
      <color rgb="FFFF0000"/>
      <sz val="12"/>
    </font>
  </fonts>
  <fills count="30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5999938962981048"/>
        <bgColor auto="1"/>
      </patternFill>
    </fill>
    <fill>
      <patternFill patternType="solid">
        <fgColor theme="8" tint="0.5999938962981048"/>
        <bgColor theme="0"/>
      </patternFill>
    </fill>
    <fill>
      <patternFill patternType="solid">
        <fgColor theme="8" tint="0.5999633777886288"/>
        <bgColor theme="8" tint="0.3999450666829432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7" tint="0.7999816888943144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67" fillId="0" borderId="0"/>
    <xf numFmtId="9" fontId="67" fillId="0" borderId="0"/>
    <xf numFmtId="0" fontId="67" fillId="0" borderId="0"/>
    <xf numFmtId="164" fontId="67" fillId="0" borderId="0"/>
    <xf numFmtId="9" fontId="67" fillId="0" borderId="0"/>
  </cellStyleXfs>
  <cellXfs count="1176">
    <xf numFmtId="0" fontId="0" fillId="0" borderId="0" pivotButton="0" quotePrefix="0" xfId="0"/>
    <xf numFmtId="164" fontId="8" fillId="5" borderId="0" applyAlignment="1" pivotButton="0" quotePrefix="0" xfId="0">
      <alignment horizontal="center" vertical="center" wrapText="1"/>
    </xf>
    <xf numFmtId="0" fontId="8" fillId="5" borderId="0" applyAlignment="1" pivotButton="0" quotePrefix="0" xfId="0">
      <alignment horizontal="center" vertical="center" wrapText="1"/>
    </xf>
    <xf numFmtId="2" fontId="8" fillId="5" borderId="0" applyAlignment="1" pivotButton="0" quotePrefix="0" xfId="0">
      <alignment horizontal="center" vertical="center" wrapText="1"/>
    </xf>
    <xf numFmtId="165" fontId="8" fillId="5" borderId="0" applyAlignment="1" pivotButton="0" quotePrefix="0" xfId="0">
      <alignment horizontal="center" vertical="center" wrapText="1"/>
    </xf>
    <xf numFmtId="164" fontId="8" fillId="5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 wrapText="1"/>
    </xf>
    <xf numFmtId="0" fontId="10" fillId="5" borderId="0" applyAlignment="1" pivotButton="0" quotePrefix="0" xfId="0">
      <alignment vertical="center" wrapText="1"/>
    </xf>
    <xf numFmtId="0" fontId="8" fillId="0" borderId="0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 wrapText="1"/>
    </xf>
    <xf numFmtId="0" fontId="10" fillId="5" borderId="0" applyAlignment="1" pivotButton="0" quotePrefix="0" xfId="0">
      <alignment horizontal="center" vertical="center" wrapText="1"/>
    </xf>
    <xf numFmtId="164" fontId="8" fillId="0" borderId="0" applyAlignment="1" pivotButton="0" quotePrefix="0" xfId="0">
      <alignment horizontal="center" vertical="center" wrapText="1"/>
    </xf>
    <xf numFmtId="2" fontId="8" fillId="0" borderId="0" applyAlignment="1" pivotButton="0" quotePrefix="0" xfId="0">
      <alignment horizontal="center" vertical="center" wrapText="1"/>
    </xf>
    <xf numFmtId="165" fontId="8" fillId="0" borderId="0" applyAlignment="1" pivotButton="0" quotePrefix="0" xfId="0">
      <alignment horizontal="center" vertical="center" wrapText="1"/>
    </xf>
    <xf numFmtId="164" fontId="8" fillId="0" borderId="0" applyAlignment="1" pivotButton="0" quotePrefix="0" xfId="0">
      <alignment horizontal="center" vertical="center"/>
    </xf>
    <xf numFmtId="9" fontId="9" fillId="6" borderId="0" applyAlignment="1" pivotButton="0" quotePrefix="0" xfId="0">
      <alignment horizontal="center" vertical="center"/>
    </xf>
    <xf numFmtId="0" fontId="8" fillId="2" borderId="0" applyAlignment="1" pivotButton="0" quotePrefix="0" xfId="0">
      <alignment vertical="top" wrapText="1"/>
    </xf>
    <xf numFmtId="0" fontId="8" fillId="2" borderId="0" applyAlignment="1" pivotButton="0" quotePrefix="0" xfId="0">
      <alignment horizontal="center" vertical="top" wrapText="1"/>
    </xf>
    <xf numFmtId="0" fontId="15" fillId="2" borderId="0" pivotButton="0" quotePrefix="0" xfId="0"/>
    <xf numFmtId="2" fontId="8" fillId="2" borderId="0" applyAlignment="1" pivotButton="0" quotePrefix="0" xfId="0">
      <alignment horizontal="center" vertical="top" wrapText="1"/>
    </xf>
    <xf numFmtId="165" fontId="8" fillId="2" borderId="0" applyAlignment="1" pivotButton="0" quotePrefix="0" xfId="0">
      <alignment horizontal="center" vertical="top" wrapText="1"/>
    </xf>
    <xf numFmtId="165" fontId="8" fillId="2" borderId="0" applyAlignment="1" pivotButton="0" quotePrefix="0" xfId="0">
      <alignment horizontal="center"/>
    </xf>
    <xf numFmtId="0" fontId="8" fillId="6" borderId="0" applyAlignment="1" pivotButton="0" quotePrefix="0" xfId="0">
      <alignment horizontal="center" vertical="top" wrapText="1"/>
    </xf>
    <xf numFmtId="0" fontId="15" fillId="6" borderId="0" pivotButton="0" quotePrefix="0" xfId="0"/>
    <xf numFmtId="0" fontId="9" fillId="6" borderId="0" applyAlignment="1" pivotButton="0" quotePrefix="0" xfId="0">
      <alignment vertical="top" wrapText="1"/>
    </xf>
    <xf numFmtId="164" fontId="9" fillId="6" borderId="0" applyAlignment="1" pivotButton="0" quotePrefix="0" xfId="0">
      <alignment horizontal="center" vertical="center"/>
    </xf>
    <xf numFmtId="0" fontId="16" fillId="3" borderId="0" applyAlignment="1" pivotButton="0" quotePrefix="0" xfId="0">
      <alignment vertical="center"/>
    </xf>
    <xf numFmtId="1" fontId="10" fillId="5" borderId="0" applyAlignment="1" pivotButton="0" quotePrefix="0" xfId="0">
      <alignment horizontal="center" vertical="center" wrapText="1"/>
    </xf>
    <xf numFmtId="0" fontId="15" fillId="3" borderId="0" applyAlignment="1" pivotButton="0" quotePrefix="0" xfId="0">
      <alignment vertical="center" wrapText="1"/>
    </xf>
    <xf numFmtId="1" fontId="15" fillId="3" borderId="0" applyAlignment="1" pivotButton="0" quotePrefix="0" xfId="0">
      <alignment horizontal="center" vertical="center"/>
    </xf>
    <xf numFmtId="0" fontId="8" fillId="3" borderId="0" applyAlignment="1" pivotButton="0" quotePrefix="0" xfId="0">
      <alignment vertical="center" wrapText="1"/>
    </xf>
    <xf numFmtId="1" fontId="8" fillId="3" borderId="0" applyAlignment="1" pivotButton="0" quotePrefix="0" xfId="0">
      <alignment horizontal="center" vertical="center" wrapText="1"/>
    </xf>
    <xf numFmtId="0" fontId="15" fillId="3" borderId="0" applyAlignment="1" pivotButton="0" quotePrefix="0" xfId="0">
      <alignment vertical="center"/>
    </xf>
    <xf numFmtId="1" fontId="14" fillId="4" borderId="1" applyAlignment="1" pivotButton="0" quotePrefix="0" xfId="0">
      <alignment horizontal="center" vertical="center" wrapText="1"/>
    </xf>
    <xf numFmtId="1" fontId="9" fillId="0" borderId="0" applyAlignment="1" pivotButton="0" quotePrefix="0" xfId="0">
      <alignment horizontal="center" vertical="center" wrapText="1"/>
    </xf>
    <xf numFmtId="0" fontId="12" fillId="5" borderId="0" applyAlignment="1" pivotButton="0" quotePrefix="0" xfId="0">
      <alignment vertical="center" wrapText="1"/>
    </xf>
    <xf numFmtId="166" fontId="17" fillId="2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9" fillId="6" borderId="0" applyAlignment="1" pivotButton="0" quotePrefix="0" xfId="0">
      <alignment horizontal="center" vertical="center"/>
    </xf>
    <xf numFmtId="9" fontId="9" fillId="6" borderId="0" applyAlignment="1" pivotButton="0" quotePrefix="0" xfId="2">
      <alignment horizontal="center" vertical="center" wrapText="1"/>
    </xf>
    <xf numFmtId="0" fontId="11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167" fontId="10" fillId="2" borderId="0" applyAlignment="1" pivotButton="0" quotePrefix="0" xfId="0">
      <alignment vertical="center"/>
    </xf>
    <xf numFmtId="165" fontId="11" fillId="2" borderId="0" applyAlignment="1" pivotButton="0" quotePrefix="0" xfId="0">
      <alignment vertical="center"/>
    </xf>
    <xf numFmtId="166" fontId="11" fillId="2" borderId="0" applyAlignment="1" pivotButton="0" quotePrefix="0" xfId="0">
      <alignment vertical="center"/>
    </xf>
    <xf numFmtId="165" fontId="10" fillId="2" borderId="0" applyAlignment="1" pivotButton="0" quotePrefix="0" xfId="0">
      <alignment horizontal="center" vertical="center"/>
    </xf>
    <xf numFmtId="164" fontId="11" fillId="2" borderId="0" applyAlignment="1" pivotButton="0" quotePrefix="0" xfId="0">
      <alignment vertical="center"/>
    </xf>
    <xf numFmtId="1" fontId="11" fillId="2" borderId="0" applyAlignment="1" pivotButton="0" quotePrefix="0" xfId="0">
      <alignment horizontal="center" vertical="center"/>
    </xf>
    <xf numFmtId="167" fontId="11" fillId="2" borderId="0" applyAlignment="1" pivotButton="0" quotePrefix="0" xfId="0">
      <alignment vertical="center"/>
    </xf>
    <xf numFmtId="0" fontId="23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 wrapText="1"/>
    </xf>
    <xf numFmtId="0" fontId="11" fillId="2" borderId="0" applyAlignment="1" pivotButton="0" quotePrefix="0" xfId="0">
      <alignment horizontal="center" vertical="center"/>
    </xf>
    <xf numFmtId="168" fontId="11" fillId="2" borderId="0" applyAlignment="1" pivotButton="0" quotePrefix="0" xfId="0">
      <alignment vertical="center"/>
    </xf>
    <xf numFmtId="164" fontId="11" fillId="2" borderId="0" applyAlignment="1" pivotButton="0" quotePrefix="0" xfId="1">
      <alignment vertical="center"/>
    </xf>
    <xf numFmtId="0" fontId="12" fillId="5" borderId="0" applyAlignment="1" pivotButton="0" quotePrefix="0" xfId="0">
      <alignment horizontal="center" vertical="center" wrapText="1"/>
    </xf>
    <xf numFmtId="0" fontId="11" fillId="2" borderId="0" applyAlignment="1" pivotButton="0" quotePrefix="0" xfId="3">
      <alignment vertical="center"/>
    </xf>
    <xf numFmtId="0" fontId="11" fillId="2" borderId="0" applyAlignment="1" pivotButton="0" quotePrefix="0" xfId="3">
      <alignment horizontal="center" vertical="center"/>
    </xf>
    <xf numFmtId="0" fontId="9" fillId="6" borderId="0" applyAlignment="1" pivotButton="0" quotePrefix="0" xfId="3">
      <alignment horizontal="left" vertical="center" wrapText="1"/>
    </xf>
    <xf numFmtId="0" fontId="8" fillId="6" borderId="0" applyAlignment="1" pivotButton="0" quotePrefix="0" xfId="3">
      <alignment horizontal="center" vertical="center" wrapText="1"/>
    </xf>
    <xf numFmtId="0" fontId="15" fillId="6" borderId="0" applyAlignment="1" pivotButton="0" quotePrefix="0" xfId="3">
      <alignment horizontal="center" vertical="center"/>
    </xf>
    <xf numFmtId="0" fontId="21" fillId="6" borderId="0" applyAlignment="1" pivotButton="0" quotePrefix="0" xfId="3">
      <alignment horizontal="center" vertical="center"/>
    </xf>
    <xf numFmtId="164" fontId="9" fillId="6" borderId="0" applyAlignment="1" pivotButton="0" quotePrefix="0" xfId="3">
      <alignment horizontal="center" vertical="center" wrapText="1"/>
    </xf>
    <xf numFmtId="167" fontId="22" fillId="2" borderId="0" applyAlignment="1" pivotButton="0" quotePrefix="0" xfId="3">
      <alignment vertical="center"/>
    </xf>
    <xf numFmtId="167" fontId="11" fillId="2" borderId="0" applyAlignment="1" pivotButton="0" quotePrefix="0" xfId="3">
      <alignment vertical="center"/>
    </xf>
    <xf numFmtId="0" fontId="12" fillId="2" borderId="0" applyAlignment="1" pivotButton="0" quotePrefix="0" xfId="3">
      <alignment horizontal="center" vertical="center" wrapText="1"/>
    </xf>
    <xf numFmtId="9" fontId="12" fillId="2" borderId="0" applyAlignment="1" pivotButton="0" quotePrefix="0" xfId="0">
      <alignment horizontal="center" vertical="center" wrapText="1"/>
    </xf>
    <xf numFmtId="164" fontId="22" fillId="2" borderId="0" applyAlignment="1" pivotButton="0" quotePrefix="0" xfId="0">
      <alignment vertical="center"/>
    </xf>
    <xf numFmtId="0" fontId="22" fillId="2" borderId="0" applyAlignment="1" pivotButton="0" quotePrefix="0" xfId="3">
      <alignment vertical="center" wrapText="1"/>
    </xf>
    <xf numFmtId="0" fontId="11" fillId="2" borderId="0" applyAlignment="1" pivotButton="0" quotePrefix="0" xfId="3">
      <alignment vertical="center" wrapText="1"/>
    </xf>
    <xf numFmtId="0" fontId="11" fillId="2" borderId="0" applyAlignment="1" pivotButton="0" quotePrefix="0" xfId="3">
      <alignment horizontal="center" vertical="center" wrapText="1"/>
    </xf>
    <xf numFmtId="167" fontId="11" fillId="2" borderId="0" applyAlignment="1" pivotButton="0" quotePrefix="0" xfId="3">
      <alignment vertical="center" wrapText="1"/>
    </xf>
    <xf numFmtId="9" fontId="11" fillId="2" borderId="0" applyAlignment="1" pivotButton="0" quotePrefix="0" xfId="3">
      <alignment vertical="center" wrapText="1"/>
    </xf>
    <xf numFmtId="0" fontId="8" fillId="5" borderId="0" applyAlignment="1" pivotButton="0" quotePrefix="0" xfId="3">
      <alignment horizontal="center" vertical="center" wrapText="1"/>
    </xf>
    <xf numFmtId="167" fontId="11" fillId="3" borderId="0" applyAlignment="1" pivotButton="0" quotePrefix="0" xfId="3">
      <alignment vertical="center"/>
    </xf>
    <xf numFmtId="165" fontId="11" fillId="2" borderId="0" applyAlignment="1" pivotButton="0" quotePrefix="0" xfId="3">
      <alignment vertical="center"/>
    </xf>
    <xf numFmtId="165" fontId="10" fillId="2" borderId="0" applyAlignment="1" pivotButton="0" quotePrefix="0" xfId="3">
      <alignment vertical="center"/>
    </xf>
    <xf numFmtId="164" fontId="12" fillId="0" borderId="0" applyAlignment="1" pivotButton="0" quotePrefix="0" xfId="0">
      <alignment vertical="center"/>
    </xf>
    <xf numFmtId="164" fontId="2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12" fillId="3" borderId="0" applyAlignment="1" pivotButton="0" quotePrefix="0" xfId="3">
      <alignment vertical="center" wrapText="1"/>
    </xf>
    <xf numFmtId="0" fontId="22" fillId="3" borderId="0" applyAlignment="1" pivotButton="0" quotePrefix="0" xfId="3">
      <alignment vertical="center"/>
    </xf>
    <xf numFmtId="167" fontId="22" fillId="3" borderId="0" applyAlignment="1" pivotButton="0" quotePrefix="0" xfId="3">
      <alignment vertical="center"/>
    </xf>
    <xf numFmtId="0" fontId="12" fillId="4" borderId="1" applyAlignment="1" pivotButton="0" quotePrefix="0" xfId="3">
      <alignment vertical="center" wrapText="1"/>
    </xf>
    <xf numFmtId="0" fontId="9" fillId="6" borderId="0" applyAlignment="1" pivotButton="0" quotePrefix="0" xfId="3">
      <alignment vertical="center" wrapText="1"/>
    </xf>
    <xf numFmtId="0" fontId="9" fillId="6" borderId="0" applyAlignment="1" pivotButton="0" quotePrefix="0" xfId="3">
      <alignment horizontal="center" vertical="center" wrapText="1"/>
    </xf>
    <xf numFmtId="0" fontId="17" fillId="2" borderId="1" applyAlignment="1" pivotButton="0" quotePrefix="0" xfId="3">
      <alignment horizontal="center" vertical="center" wrapText="1"/>
    </xf>
    <xf numFmtId="0" fontId="11" fillId="3" borderId="0" applyAlignment="1" pivotButton="0" quotePrefix="0" xfId="3">
      <alignment vertical="center"/>
    </xf>
    <xf numFmtId="0" fontId="11" fillId="3" borderId="0" applyAlignment="1" pivotButton="0" quotePrefix="0" xfId="3">
      <alignment horizontal="center" vertical="center"/>
    </xf>
    <xf numFmtId="167" fontId="14" fillId="4" borderId="1" applyAlignment="1" pivotButton="0" quotePrefix="0" xfId="3">
      <alignment vertical="center"/>
    </xf>
    <xf numFmtId="0" fontId="19" fillId="3" borderId="0" applyAlignment="1" pivotButton="0" quotePrefix="0" xfId="3">
      <alignment horizontal="center" vertical="center" wrapText="1"/>
    </xf>
    <xf numFmtId="0" fontId="14" fillId="3" borderId="6" applyAlignment="1" pivotButton="0" quotePrefix="0" xfId="3">
      <alignment vertical="center" wrapText="1"/>
    </xf>
    <xf numFmtId="0" fontId="18" fillId="3" borderId="6" applyAlignment="1" pivotButton="0" quotePrefix="0" xfId="3">
      <alignment horizontal="center" vertical="center" wrapText="1"/>
    </xf>
    <xf numFmtId="164" fontId="9" fillId="2" borderId="0" applyAlignment="1" pivotButton="0" quotePrefix="0" xfId="0">
      <alignment horizontal="center" vertical="center"/>
    </xf>
    <xf numFmtId="0" fontId="24" fillId="5" borderId="1" applyAlignment="1" pivotButton="0" quotePrefix="0" xfId="3">
      <alignment horizontal="center" vertical="center" wrapText="1"/>
    </xf>
    <xf numFmtId="9" fontId="14" fillId="2" borderId="0" applyAlignment="1" pivotButton="0" quotePrefix="0" xfId="0">
      <alignment horizontal="center" vertical="center" wrapText="1"/>
    </xf>
    <xf numFmtId="0" fontId="15" fillId="2" borderId="0" applyAlignment="1" pivotButton="0" quotePrefix="0" xfId="0">
      <alignment vertical="center"/>
    </xf>
    <xf numFmtId="0" fontId="8" fillId="2" borderId="0" applyAlignment="1" pivotButton="0" quotePrefix="0" xfId="0">
      <alignment vertical="center"/>
    </xf>
    <xf numFmtId="167" fontId="8" fillId="2" borderId="0" applyAlignment="1" pivotButton="0" quotePrefix="0" xfId="0">
      <alignment vertical="center"/>
    </xf>
    <xf numFmtId="165" fontId="15" fillId="2" borderId="0" applyAlignment="1" pivotButton="0" quotePrefix="0" xfId="0">
      <alignment vertical="center"/>
    </xf>
    <xf numFmtId="166" fontId="15" fillId="2" borderId="0" applyAlignment="1" pivotButton="0" quotePrefix="0" xfId="0">
      <alignment vertical="center"/>
    </xf>
    <xf numFmtId="0" fontId="22" fillId="2" borderId="0" applyAlignment="1" pivotButton="0" quotePrefix="0" xfId="0">
      <alignment vertical="center"/>
    </xf>
    <xf numFmtId="165" fontId="12" fillId="2" borderId="0" applyAlignment="1" pivotButton="0" quotePrefix="0" xfId="0">
      <alignment vertical="center"/>
    </xf>
    <xf numFmtId="164" fontId="8" fillId="2" borderId="0" applyAlignment="1" pivotButton="0" quotePrefix="0" xfId="0">
      <alignment vertical="center"/>
    </xf>
    <xf numFmtId="167" fontId="15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12" fillId="2" borderId="0" applyAlignment="1" pivotButton="0" quotePrefix="0" xfId="0">
      <alignment vertical="center" wrapText="1"/>
    </xf>
    <xf numFmtId="164" fontId="12" fillId="2" borderId="0" applyAlignment="1" pivotButton="0" quotePrefix="0" xfId="0">
      <alignment horizontal="right" vertical="center"/>
    </xf>
    <xf numFmtId="164" fontId="22" fillId="2" borderId="0" applyAlignment="1" pivotButton="0" quotePrefix="0" xfId="0">
      <alignment horizontal="right" vertical="center"/>
    </xf>
    <xf numFmtId="168" fontId="15" fillId="2" borderId="0" applyAlignment="1" pivotButton="0" quotePrefix="0" xfId="0">
      <alignment vertical="center"/>
    </xf>
    <xf numFmtId="164" fontId="15" fillId="2" borderId="0" applyAlignment="1" pivotButton="0" quotePrefix="0" xfId="1">
      <alignment vertical="center"/>
    </xf>
    <xf numFmtId="169" fontId="15" fillId="2" borderId="0" applyAlignment="1" pivotButton="0" quotePrefix="0" xfId="0">
      <alignment vertical="center"/>
    </xf>
    <xf numFmtId="0" fontId="25" fillId="2" borderId="0" applyAlignment="1" pivotButton="0" quotePrefix="0" xfId="0">
      <alignment vertical="top" wrapText="1"/>
    </xf>
    <xf numFmtId="0" fontId="25" fillId="2" borderId="0" applyAlignment="1" pivotButton="0" quotePrefix="0" xfId="0">
      <alignment horizontal="center" vertical="top" wrapText="1"/>
    </xf>
    <xf numFmtId="0" fontId="26" fillId="2" borderId="0" applyAlignment="1" pivotButton="0" quotePrefix="0" xfId="0">
      <alignment vertical="top" wrapText="1"/>
    </xf>
    <xf numFmtId="0" fontId="25" fillId="2" borderId="0" pivotButton="0" quotePrefix="0" xfId="0"/>
    <xf numFmtId="167" fontId="25" fillId="2" borderId="0" pivotButton="0" quotePrefix="0" xfId="0"/>
    <xf numFmtId="0" fontId="26" fillId="2" borderId="0" pivotButton="0" quotePrefix="0" xfId="0"/>
    <xf numFmtId="0" fontId="26" fillId="2" borderId="0" applyAlignment="1" pivotButton="0" quotePrefix="0" xfId="0">
      <alignment horizontal="center"/>
    </xf>
    <xf numFmtId="167" fontId="26" fillId="2" borderId="0" pivotButton="0" quotePrefix="0" xfId="0"/>
    <xf numFmtId="0" fontId="28" fillId="2" borderId="0" applyAlignment="1" pivotButton="0" quotePrefix="0" xfId="0">
      <alignment horizontal="center" vertical="top" wrapText="1"/>
    </xf>
    <xf numFmtId="167" fontId="25" fillId="2" borderId="0" applyAlignment="1" pivotButton="0" quotePrefix="0" xfId="0">
      <alignment horizontal="center"/>
    </xf>
    <xf numFmtId="0" fontId="29" fillId="2" borderId="0" applyAlignment="1" pivotButton="0" quotePrefix="0" xfId="0">
      <alignment vertical="center"/>
    </xf>
    <xf numFmtId="165" fontId="29" fillId="2" borderId="0" applyAlignment="1" pivotButton="0" quotePrefix="0" xfId="0">
      <alignment vertical="center"/>
    </xf>
    <xf numFmtId="166" fontId="29" fillId="2" borderId="0" applyAlignment="1" pivotButton="0" quotePrefix="0" xfId="0">
      <alignment vertical="center"/>
    </xf>
    <xf numFmtId="164" fontId="15" fillId="2" borderId="0" applyAlignment="1" pivotButton="0" quotePrefix="0" xfId="4">
      <alignment horizontal="center" vertical="center"/>
    </xf>
    <xf numFmtId="0" fontId="15" fillId="2" borderId="0" applyAlignment="1" pivotButton="0" quotePrefix="0" xfId="3">
      <alignment horizontal="center" vertical="center"/>
    </xf>
    <xf numFmtId="165" fontId="10" fillId="2" borderId="0" applyAlignment="1" pivotButton="0" quotePrefix="0" xfId="3">
      <alignment horizontal="left" vertical="center"/>
    </xf>
    <xf numFmtId="0" fontId="10" fillId="2" borderId="0" applyAlignment="1" pivotButton="0" quotePrefix="0" xfId="3">
      <alignment horizontal="left" vertical="center"/>
    </xf>
    <xf numFmtId="0" fontId="8" fillId="2" borderId="0" applyAlignment="1" pivotButton="0" quotePrefix="0" xfId="3">
      <alignment horizontal="center" vertical="center"/>
    </xf>
    <xf numFmtId="2" fontId="15" fillId="2" borderId="0" applyAlignment="1" pivotButton="0" quotePrefix="0" xfId="3">
      <alignment horizontal="center" vertical="center"/>
    </xf>
    <xf numFmtId="0" fontId="8" fillId="2" borderId="0" applyAlignment="1" pivotButton="0" quotePrefix="0" xfId="3">
      <alignment horizontal="left" vertical="center" wrapText="1"/>
    </xf>
    <xf numFmtId="0" fontId="8" fillId="2" borderId="0" applyAlignment="1" pivotButton="0" quotePrefix="0" xfId="3">
      <alignment horizontal="right" vertical="center"/>
    </xf>
    <xf numFmtId="0" fontId="15" fillId="2" borderId="0" applyAlignment="1" pivotButton="0" quotePrefix="0" xfId="3">
      <alignment horizontal="left" vertical="center"/>
    </xf>
    <xf numFmtId="0" fontId="15" fillId="2" borderId="0" applyAlignment="1" pivotButton="0" quotePrefix="0" xfId="3">
      <alignment horizontal="right" vertical="center"/>
    </xf>
    <xf numFmtId="165" fontId="15" fillId="2" borderId="0" applyAlignment="1" pivotButton="0" quotePrefix="0" xfId="3">
      <alignment horizontal="center" vertical="center"/>
    </xf>
    <xf numFmtId="0" fontId="8" fillId="2" borderId="0" applyAlignment="1" pivotButton="0" quotePrefix="0" xfId="3">
      <alignment horizontal="center" vertical="center" wrapText="1"/>
    </xf>
    <xf numFmtId="0" fontId="8" fillId="2" borderId="0" applyAlignment="1" pivotButton="0" quotePrefix="0" xfId="3">
      <alignment horizontal="left" vertical="center"/>
    </xf>
    <xf numFmtId="2" fontId="8" fillId="2" borderId="0" applyAlignment="1" pivotButton="0" quotePrefix="0" xfId="3">
      <alignment horizontal="right" vertical="center"/>
    </xf>
    <xf numFmtId="165" fontId="15" fillId="2" borderId="0" applyAlignment="1" pivotButton="0" quotePrefix="0" xfId="3">
      <alignment horizontal="left" vertical="center"/>
    </xf>
    <xf numFmtId="164" fontId="8" fillId="2" borderId="0" applyAlignment="1" pivotButton="0" quotePrefix="0" xfId="4">
      <alignment horizontal="center" vertical="center"/>
    </xf>
    <xf numFmtId="0" fontId="15" fillId="2" borderId="0" applyAlignment="1" pivotButton="0" quotePrefix="0" xfId="3">
      <alignment horizontal="left" vertical="center" wrapText="1"/>
    </xf>
    <xf numFmtId="164" fontId="8" fillId="5" borderId="0" applyAlignment="1" pivotButton="0" quotePrefix="0" xfId="4">
      <alignment horizontal="center" vertical="center"/>
    </xf>
    <xf numFmtId="164" fontId="8" fillId="6" borderId="0" applyAlignment="1" pivotButton="0" quotePrefix="0" xfId="4">
      <alignment horizontal="center" vertical="center" wrapText="1"/>
    </xf>
    <xf numFmtId="9" fontId="9" fillId="6" borderId="0" applyAlignment="1" pivotButton="0" quotePrefix="0" xfId="3">
      <alignment horizontal="center" vertical="center" wrapText="1"/>
    </xf>
    <xf numFmtId="164" fontId="15" fillId="2" borderId="0" applyAlignment="1" pivotButton="0" quotePrefix="0" xfId="4">
      <alignment horizontal="center" vertical="center" wrapText="1"/>
    </xf>
    <xf numFmtId="164" fontId="8" fillId="2" borderId="0" applyAlignment="1" pivotButton="0" quotePrefix="0" xfId="1">
      <alignment horizontal="center" vertical="center" wrapText="1"/>
    </xf>
    <xf numFmtId="164" fontId="8" fillId="2" borderId="0" applyAlignment="1" pivotButton="0" quotePrefix="0" xfId="0">
      <alignment horizontal="center" vertical="center"/>
    </xf>
    <xf numFmtId="0" fontId="9" fillId="6" borderId="0" applyAlignment="1" pivotButton="0" quotePrefix="0" xfId="3">
      <alignment horizontal="left" vertical="center"/>
    </xf>
    <xf numFmtId="9" fontId="15" fillId="2" borderId="0" applyAlignment="1" pivotButton="0" quotePrefix="0" xfId="3">
      <alignment horizontal="center" vertical="center" wrapText="1"/>
    </xf>
    <xf numFmtId="164" fontId="8" fillId="2" borderId="0" applyAlignment="1" pivotButton="0" quotePrefix="0" xfId="4">
      <alignment horizontal="center" vertical="center" wrapText="1"/>
    </xf>
    <xf numFmtId="165" fontId="8" fillId="2" borderId="0" applyAlignment="1" pivotButton="0" quotePrefix="0" xfId="3">
      <alignment horizontal="center" vertical="center"/>
    </xf>
    <xf numFmtId="165" fontId="8" fillId="2" borderId="0" applyAlignment="1" pivotButton="0" quotePrefix="0" xfId="3">
      <alignment horizontal="left" vertical="center"/>
    </xf>
    <xf numFmtId="164" fontId="9" fillId="6" borderId="0" applyAlignment="1" pivotButton="0" quotePrefix="0" xfId="1">
      <alignment horizontal="center" vertical="center" wrapText="1"/>
    </xf>
    <xf numFmtId="9" fontId="17" fillId="2" borderId="0" applyAlignment="1" pivotButton="0" quotePrefix="0" xfId="2">
      <alignment horizontal="center" vertical="center" wrapText="1"/>
    </xf>
    <xf numFmtId="0" fontId="14" fillId="3" borderId="0" applyAlignment="1" pivotButton="0" quotePrefix="0" xfId="0">
      <alignment horizontal="center" vertical="center"/>
    </xf>
    <xf numFmtId="0" fontId="14" fillId="3" borderId="0" applyAlignment="1" pivotButton="0" quotePrefix="0" xfId="0">
      <alignment vertical="center"/>
    </xf>
    <xf numFmtId="1" fontId="24" fillId="3" borderId="0" applyAlignment="1" pivotButton="0" quotePrefix="0" xfId="0">
      <alignment horizontal="center" vertical="center"/>
    </xf>
    <xf numFmtId="0" fontId="22" fillId="2" borderId="0" applyAlignment="1" pivotButton="0" quotePrefix="0" xfId="0">
      <alignment horizontal="center"/>
    </xf>
    <xf numFmtId="0" fontId="24" fillId="3" borderId="0" applyAlignment="1" pivotButton="0" quotePrefix="0" xfId="0">
      <alignment vertical="top"/>
    </xf>
    <xf numFmtId="164" fontId="24" fillId="3" borderId="0" applyAlignment="1" pivotButton="0" quotePrefix="0" xfId="4">
      <alignment horizontal="center" vertical="top" wrapText="1"/>
    </xf>
    <xf numFmtId="164" fontId="24" fillId="3" borderId="0" applyAlignment="1" pivotButton="0" quotePrefix="0" xfId="4">
      <alignment horizontal="center"/>
    </xf>
    <xf numFmtId="2" fontId="24" fillId="3" borderId="0" applyAlignment="1" pivotButton="0" quotePrefix="0" xfId="0">
      <alignment horizontal="center"/>
    </xf>
    <xf numFmtId="164" fontId="22" fillId="2" borderId="0" pivotButton="0" quotePrefix="0" xfId="4"/>
    <xf numFmtId="0" fontId="22" fillId="2" borderId="0" pivotButton="0" quotePrefix="0" xfId="0"/>
    <xf numFmtId="166" fontId="22" fillId="2" borderId="0" pivotButton="0" quotePrefix="0" xfId="0"/>
    <xf numFmtId="0" fontId="12" fillId="2" borderId="0" applyAlignment="1" pivotButton="0" quotePrefix="0" xfId="0">
      <alignment horizontal="left" vertical="top"/>
    </xf>
    <xf numFmtId="0" fontId="22" fillId="2" borderId="0" applyAlignment="1" pivotButton="0" quotePrefix="0" xfId="0">
      <alignment vertical="top"/>
    </xf>
    <xf numFmtId="164" fontId="22" fillId="2" borderId="0" applyAlignment="1" pivotButton="0" quotePrefix="0" xfId="4">
      <alignment horizontal="center" vertical="top" wrapText="1"/>
    </xf>
    <xf numFmtId="165" fontId="22" fillId="2" borderId="0" applyAlignment="1" pivotButton="0" quotePrefix="0" xfId="0">
      <alignment horizontal="center"/>
    </xf>
    <xf numFmtId="164" fontId="22" fillId="2" borderId="0" applyAlignment="1" pivotButton="0" quotePrefix="0" xfId="4">
      <alignment horizontal="center"/>
    </xf>
    <xf numFmtId="165" fontId="12" fillId="2" borderId="0" pivotButton="0" quotePrefix="0" xfId="0"/>
    <xf numFmtId="0" fontId="12" fillId="2" borderId="0" pivotButton="0" quotePrefix="0" xfId="0"/>
    <xf numFmtId="0" fontId="12" fillId="2" borderId="0" applyAlignment="1" pivotButton="0" quotePrefix="0" xfId="0">
      <alignment horizontal="center"/>
    </xf>
    <xf numFmtId="2" fontId="22" fillId="2" borderId="0" applyAlignment="1" pivotButton="0" quotePrefix="0" xfId="0">
      <alignment horizontal="center"/>
    </xf>
    <xf numFmtId="0" fontId="12" fillId="2" borderId="0" applyAlignment="1" pivotButton="0" quotePrefix="0" xfId="0">
      <alignment vertical="top" wrapText="1"/>
    </xf>
    <xf numFmtId="0" fontId="12" fillId="2" borderId="0" applyAlignment="1" pivotButton="0" quotePrefix="0" xfId="0">
      <alignment horizontal="center" vertical="top"/>
    </xf>
    <xf numFmtId="0" fontId="22" fillId="2" borderId="0" applyAlignment="1" pivotButton="0" quotePrefix="0" xfId="0">
      <alignment horizontal="left"/>
    </xf>
    <xf numFmtId="1" fontId="22" fillId="2" borderId="0" applyAlignment="1" pivotButton="0" quotePrefix="0" xfId="0">
      <alignment horizontal="center"/>
    </xf>
    <xf numFmtId="0" fontId="12" fillId="2" borderId="0" applyAlignment="1" pivotButton="0" quotePrefix="0" xfId="0">
      <alignment horizontal="left"/>
    </xf>
    <xf numFmtId="2" fontId="12" fillId="2" borderId="0" applyAlignment="1" pivotButton="0" quotePrefix="0" xfId="0">
      <alignment horizontal="center" vertical="top"/>
    </xf>
    <xf numFmtId="165" fontId="22" fillId="2" borderId="0" applyAlignment="1" pivotButton="0" quotePrefix="0" xfId="0">
      <alignment horizontal="left"/>
    </xf>
    <xf numFmtId="164" fontId="12" fillId="2" borderId="0" applyAlignment="1" pivotButton="0" quotePrefix="0" xfId="4">
      <alignment horizontal="center"/>
    </xf>
    <xf numFmtId="164" fontId="12" fillId="2" borderId="0" pivotButton="0" quotePrefix="0" xfId="4"/>
    <xf numFmtId="166" fontId="12" fillId="2" borderId="0" pivotButton="0" quotePrefix="0" xfId="0"/>
    <xf numFmtId="0" fontId="22" fillId="2" borderId="0" applyAlignment="1" pivotButton="0" quotePrefix="0" xfId="0">
      <alignment horizontal="center" vertical="top" wrapText="1"/>
    </xf>
    <xf numFmtId="0" fontId="12" fillId="2" borderId="0" applyAlignment="1" pivotButton="0" quotePrefix="0" xfId="0">
      <alignment horizontal="center" vertical="top" wrapText="1"/>
    </xf>
    <xf numFmtId="0" fontId="9" fillId="6" borderId="0" applyAlignment="1" pivotButton="0" quotePrefix="0" xfId="0">
      <alignment horizontal="center" vertical="top" wrapText="1"/>
    </xf>
    <xf numFmtId="164" fontId="9" fillId="6" borderId="0" applyAlignment="1" pivotButton="0" quotePrefix="0" xfId="4">
      <alignment horizontal="center" vertical="top" wrapText="1"/>
    </xf>
    <xf numFmtId="0" fontId="22" fillId="2" borderId="0" applyAlignment="1" pivotButton="0" quotePrefix="0" xfId="0">
      <alignment vertical="top" wrapText="1"/>
    </xf>
    <xf numFmtId="9" fontId="22" fillId="2" borderId="0" applyAlignment="1" pivotButton="0" quotePrefix="0" xfId="0">
      <alignment horizontal="center" vertical="top" wrapText="1"/>
    </xf>
    <xf numFmtId="0" fontId="12" fillId="6" borderId="0" applyAlignment="1" pivotButton="0" quotePrefix="0" xfId="0">
      <alignment horizontal="center" vertical="top" wrapText="1"/>
    </xf>
    <xf numFmtId="0" fontId="22" fillId="6" borderId="0" applyAlignment="1" pivotButton="0" quotePrefix="0" xfId="0">
      <alignment vertical="top" wrapText="1"/>
    </xf>
    <xf numFmtId="0" fontId="22" fillId="6" borderId="0" pivotButton="0" quotePrefix="0" xfId="0"/>
    <xf numFmtId="164" fontId="30" fillId="2" borderId="0" applyAlignment="1" pivotButton="0" quotePrefix="0" xfId="4">
      <alignment horizontal="center" vertical="top" wrapText="1"/>
    </xf>
    <xf numFmtId="9" fontId="22" fillId="2" borderId="0" applyAlignment="1" pivotButton="0" quotePrefix="0" xfId="5">
      <alignment horizontal="center" vertical="top" wrapText="1"/>
    </xf>
    <xf numFmtId="165" fontId="13" fillId="3" borderId="0" pivotButton="0" quotePrefix="0" xfId="0"/>
    <xf numFmtId="0" fontId="22" fillId="3" borderId="0" applyAlignment="1" pivotButton="0" quotePrefix="0" xfId="0">
      <alignment horizontal="center"/>
    </xf>
    <xf numFmtId="0" fontId="22" fillId="3" borderId="0" pivotButton="0" quotePrefix="0" xfId="0"/>
    <xf numFmtId="1" fontId="22" fillId="3" borderId="0" applyAlignment="1" pivotButton="0" quotePrefix="0" xfId="0">
      <alignment horizontal="center"/>
    </xf>
    <xf numFmtId="165" fontId="22" fillId="2" borderId="0" pivotButton="0" quotePrefix="0" xfId="0"/>
    <xf numFmtId="0" fontId="22" fillId="7" borderId="0" pivotButton="0" quotePrefix="0" xfId="0"/>
    <xf numFmtId="164" fontId="22" fillId="7" borderId="0" applyAlignment="1" pivotButton="0" quotePrefix="0" xfId="0">
      <alignment horizontal="center"/>
    </xf>
    <xf numFmtId="0" fontId="22" fillId="7" borderId="0" applyAlignment="1" pivotButton="0" quotePrefix="0" xfId="0">
      <alignment horizontal="right"/>
    </xf>
    <xf numFmtId="164" fontId="22" fillId="7" borderId="0" applyAlignment="1" pivotButton="0" quotePrefix="0" xfId="4">
      <alignment horizontal="center"/>
    </xf>
    <xf numFmtId="1" fontId="22" fillId="7" borderId="0" applyAlignment="1" pivotButton="0" quotePrefix="0" xfId="0">
      <alignment horizontal="center"/>
    </xf>
    <xf numFmtId="165" fontId="22" fillId="7" borderId="0" applyAlignment="1" pivotButton="0" quotePrefix="0" xfId="0">
      <alignment horizontal="center"/>
    </xf>
    <xf numFmtId="165" fontId="22" fillId="2" borderId="0" applyAlignment="1" pivotButton="0" quotePrefix="0" xfId="0">
      <alignment horizontal="left" indent="10"/>
    </xf>
    <xf numFmtId="0" fontId="22" fillId="7" borderId="0" applyAlignment="1" pivotButton="0" quotePrefix="0" xfId="0">
      <alignment horizontal="center"/>
    </xf>
    <xf numFmtId="0" fontId="14" fillId="3" borderId="0" applyAlignment="1" pivotButton="0" quotePrefix="0" xfId="3">
      <alignment vertical="top"/>
    </xf>
    <xf numFmtId="0" fontId="24" fillId="3" borderId="0" applyAlignment="1" pivotButton="0" quotePrefix="0" xfId="3">
      <alignment horizontal="center" vertical="center"/>
    </xf>
    <xf numFmtId="164" fontId="24" fillId="3" borderId="0" applyAlignment="1" pivotButton="0" quotePrefix="0" xfId="4">
      <alignment horizontal="center" vertical="center" wrapText="1"/>
    </xf>
    <xf numFmtId="164" fontId="24" fillId="3" borderId="0" applyAlignment="1" pivotButton="0" quotePrefix="0" xfId="4">
      <alignment horizontal="center" vertical="center"/>
    </xf>
    <xf numFmtId="2" fontId="24" fillId="3" borderId="0" applyAlignment="1" pivotButton="0" quotePrefix="0" xfId="3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8" fillId="3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7" fontId="8" fillId="0" borderId="0" applyAlignment="1" pivotButton="0" quotePrefix="0" xfId="0">
      <alignment vertical="center"/>
    </xf>
    <xf numFmtId="165" fontId="15" fillId="0" borderId="0" applyAlignment="1" pivotButton="0" quotePrefix="0" xfId="0">
      <alignment vertical="center"/>
    </xf>
    <xf numFmtId="166" fontId="15" fillId="0" borderId="0" applyAlignment="1" pivotButton="0" quotePrefix="0" xfId="0">
      <alignment vertical="center"/>
    </xf>
    <xf numFmtId="165" fontId="12" fillId="0" borderId="0" applyAlignment="1" pivotButton="0" quotePrefix="0" xfId="0">
      <alignment vertical="center"/>
    </xf>
    <xf numFmtId="1" fontId="22" fillId="0" borderId="0" applyAlignment="1" pivotButton="0" quotePrefix="0" xfId="0">
      <alignment horizontal="center" vertical="center"/>
    </xf>
    <xf numFmtId="165" fontId="22" fillId="0" borderId="0" applyAlignment="1" pivotButton="0" quotePrefix="0" xfId="0">
      <alignment vertical="center" wrapText="1"/>
    </xf>
    <xf numFmtId="164" fontId="8" fillId="0" borderId="0" applyAlignment="1" pivotButton="0" quotePrefix="0" xfId="0">
      <alignment vertical="center"/>
    </xf>
    <xf numFmtId="167" fontId="15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2" fontId="22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168" fontId="15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164" fontId="15" fillId="0" borderId="0" applyAlignment="1" pivotButton="0" quotePrefix="0" xfId="1">
      <alignment vertical="center"/>
    </xf>
    <xf numFmtId="169" fontId="15" fillId="0" borderId="0" applyAlignment="1" pivotButton="0" quotePrefix="0" xfId="0">
      <alignment vertical="center"/>
    </xf>
    <xf numFmtId="1" fontId="15" fillId="0" borderId="0" applyAlignment="1" pivotButton="0" quotePrefix="0" xfId="0">
      <alignment horizontal="center" vertical="center"/>
    </xf>
    <xf numFmtId="1" fontId="8" fillId="0" borderId="0" applyAlignment="1" pivotButton="0" quotePrefix="0" xfId="0">
      <alignment horizontal="center" vertical="center"/>
    </xf>
    <xf numFmtId="168" fontId="8" fillId="0" borderId="0" applyAlignment="1" pivotButton="0" quotePrefix="0" xfId="0">
      <alignment vertical="center"/>
    </xf>
    <xf numFmtId="1" fontId="9" fillId="6" borderId="0" applyAlignment="1" pivotButton="0" quotePrefix="0" xfId="0">
      <alignment horizontal="center" vertical="center" wrapText="1"/>
    </xf>
    <xf numFmtId="0" fontId="9" fillId="6" borderId="0" applyAlignment="1" pivotButton="0" quotePrefix="0" xfId="0">
      <alignment horizontal="center" vertical="center" wrapText="1"/>
    </xf>
    <xf numFmtId="164" fontId="8" fillId="6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9" fontId="8" fillId="0" borderId="0" applyAlignment="1" pivotButton="0" quotePrefix="0" xfId="0">
      <alignment horizontal="center" vertical="center" wrapText="1"/>
    </xf>
    <xf numFmtId="0" fontId="9" fillId="6" borderId="0" applyAlignment="1" pivotButton="0" quotePrefix="0" xfId="0">
      <alignment vertical="center" wrapText="1"/>
    </xf>
    <xf numFmtId="1" fontId="8" fillId="4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vertical="center" wrapText="1"/>
    </xf>
    <xf numFmtId="1" fontId="15" fillId="0" borderId="0" applyAlignment="1" pivotButton="0" quotePrefix="0" xfId="0">
      <alignment horizontal="center" vertical="center" wrapText="1"/>
    </xf>
    <xf numFmtId="165" fontId="8" fillId="0" borderId="0" applyAlignment="1" pivotButton="0" quotePrefix="0" xfId="0">
      <alignment vertical="center"/>
    </xf>
    <xf numFmtId="0" fontId="15" fillId="5" borderId="0" applyAlignment="1" pivotButton="0" quotePrefix="0" xfId="3">
      <alignment horizontal="center" vertical="center"/>
    </xf>
    <xf numFmtId="0" fontId="21" fillId="5" borderId="0" applyAlignment="1" pivotButton="0" quotePrefix="0" xfId="3">
      <alignment horizontal="center" vertical="center"/>
    </xf>
    <xf numFmtId="164" fontId="9" fillId="5" borderId="0" applyAlignment="1" pivotButton="0" quotePrefix="0" xfId="3">
      <alignment horizontal="center" vertical="center" wrapText="1"/>
    </xf>
    <xf numFmtId="9" fontId="9" fillId="5" borderId="0" applyAlignment="1" pivotButton="0" quotePrefix="0" xfId="2">
      <alignment horizontal="center" vertical="center" wrapText="1"/>
    </xf>
    <xf numFmtId="1" fontId="15" fillId="5" borderId="1" applyAlignment="1" pivotButton="0" quotePrefix="0" xfId="0">
      <alignment horizontal="center" vertical="center" wrapText="1"/>
    </xf>
    <xf numFmtId="0" fontId="14" fillId="4" borderId="1" applyAlignment="1" pivotButton="0" quotePrefix="0" xfId="0">
      <alignment horizontal="center" vertical="top" wrapText="1"/>
    </xf>
    <xf numFmtId="0" fontId="26" fillId="3" borderId="0" pivotButton="0" quotePrefix="0" xfId="0"/>
    <xf numFmtId="0" fontId="26" fillId="3" borderId="0" applyAlignment="1" pivotButton="0" quotePrefix="0" xfId="0">
      <alignment horizontal="left" vertical="top" wrapText="1"/>
    </xf>
    <xf numFmtId="0" fontId="26" fillId="3" borderId="0" applyAlignment="1" pivotButton="0" quotePrefix="0" xfId="0">
      <alignment horizontal="left"/>
    </xf>
    <xf numFmtId="0" fontId="25" fillId="3" borderId="0" applyAlignment="1" pivotButton="0" quotePrefix="0" xfId="0">
      <alignment horizontal="left" vertical="top" wrapText="1"/>
    </xf>
    <xf numFmtId="164" fontId="14" fillId="3" borderId="0" applyAlignment="1" pivotButton="0" quotePrefix="0" xfId="0">
      <alignment horizontal="center" vertical="center"/>
    </xf>
    <xf numFmtId="165" fontId="8" fillId="2" borderId="0" applyAlignment="1" pivotButton="0" quotePrefix="0" xfId="0">
      <alignment horizontal="center" vertical="center"/>
    </xf>
    <xf numFmtId="164" fontId="15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vertical="center" wrapText="1"/>
    </xf>
    <xf numFmtId="0" fontId="15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 wrapText="1"/>
    </xf>
    <xf numFmtId="164" fontId="8" fillId="2" borderId="0" applyAlignment="1" pivotButton="0" quotePrefix="0" xfId="0">
      <alignment horizontal="center" vertical="center" wrapText="1"/>
    </xf>
    <xf numFmtId="165" fontId="15" fillId="2" borderId="0" applyAlignment="1" pivotButton="0" quotePrefix="0" xfId="0">
      <alignment horizontal="center" vertical="center"/>
    </xf>
    <xf numFmtId="0" fontId="15" fillId="2" borderId="0" applyAlignment="1" pivotButton="0" quotePrefix="0" xfId="0">
      <alignment vertical="top" wrapText="1"/>
    </xf>
    <xf numFmtId="164" fontId="15" fillId="2" borderId="0" applyAlignment="1" pivotButton="0" quotePrefix="0" xfId="0">
      <alignment horizontal="center" vertical="top" wrapText="1"/>
    </xf>
    <xf numFmtId="9" fontId="8" fillId="2" borderId="0" applyAlignment="1" pivotButton="0" quotePrefix="0" xfId="0">
      <alignment horizontal="center" vertical="top" wrapText="1"/>
    </xf>
    <xf numFmtId="9" fontId="8" fillId="0" borderId="0" applyAlignment="1" pivotButton="0" quotePrefix="0" xfId="0">
      <alignment horizontal="center" vertical="center"/>
    </xf>
    <xf numFmtId="164" fontId="8" fillId="2" borderId="0" applyAlignment="1" pivotButton="0" quotePrefix="0" xfId="1">
      <alignment vertical="center" wrapText="1"/>
    </xf>
    <xf numFmtId="0" fontId="15" fillId="3" borderId="0" applyAlignment="1" pivotButton="0" quotePrefix="0" xfId="0">
      <alignment vertical="top" wrapText="1"/>
    </xf>
    <xf numFmtId="0" fontId="8" fillId="3" borderId="0" applyAlignment="1" pivotButton="0" quotePrefix="0" xfId="0">
      <alignment vertical="top" wrapText="1"/>
    </xf>
    <xf numFmtId="0" fontId="8" fillId="3" borderId="0" applyAlignment="1" pivotButton="0" quotePrefix="0" xfId="3">
      <alignment vertical="center" wrapText="1"/>
    </xf>
    <xf numFmtId="0" fontId="32" fillId="3" borderId="0" applyAlignment="1" pivotButton="0" quotePrefix="0" xfId="0">
      <alignment horizontal="left" vertical="top" wrapText="1"/>
    </xf>
    <xf numFmtId="0" fontId="8" fillId="2" borderId="0" applyAlignment="1" pivotButton="0" quotePrefix="0" xfId="0">
      <alignment horizontal="right" vertical="top" wrapText="1"/>
    </xf>
    <xf numFmtId="0" fontId="15" fillId="2" borderId="0" applyAlignment="1" pivotButton="0" quotePrefix="0" xfId="0">
      <alignment horizontal="right" vertical="top" wrapText="1"/>
    </xf>
    <xf numFmtId="0" fontId="15" fillId="2" borderId="0" applyAlignment="1" pivotButton="0" quotePrefix="0" xfId="0">
      <alignment horizontal="center"/>
    </xf>
    <xf numFmtId="167" fontId="8" fillId="2" borderId="0" applyAlignment="1" pivotButton="0" quotePrefix="0" xfId="0">
      <alignment horizontal="center" vertical="top" wrapText="1"/>
    </xf>
    <xf numFmtId="165" fontId="15" fillId="2" borderId="0" pivotButton="0" quotePrefix="0" xfId="0"/>
    <xf numFmtId="167" fontId="15" fillId="2" borderId="0" applyAlignment="1" pivotButton="0" quotePrefix="0" xfId="0">
      <alignment horizontal="center"/>
    </xf>
    <xf numFmtId="165" fontId="8" fillId="2" borderId="0" pivotButton="0" quotePrefix="0" xfId="0"/>
    <xf numFmtId="167" fontId="15" fillId="3" borderId="0" applyAlignment="1" pivotButton="0" quotePrefix="0" xfId="0">
      <alignment vertical="top" wrapText="1"/>
    </xf>
    <xf numFmtId="0" fontId="15" fillId="3" borderId="0" pivotButton="0" quotePrefix="0" xfId="0"/>
    <xf numFmtId="0" fontId="15" fillId="3" borderId="0" applyAlignment="1" pivotButton="0" quotePrefix="0" xfId="0">
      <alignment horizontal="left" vertical="top" wrapText="1"/>
    </xf>
    <xf numFmtId="0" fontId="8" fillId="2" borderId="0" applyAlignment="1" pivotButton="0" quotePrefix="0" xfId="0">
      <alignment horizontal="left" vertical="center"/>
    </xf>
    <xf numFmtId="0" fontId="8" fillId="2" borderId="0" applyAlignment="1" pivotButton="0" quotePrefix="0" xfId="0">
      <alignment horizontal="center" vertical="center"/>
    </xf>
    <xf numFmtId="0" fontId="8" fillId="2" borderId="0" pivotButton="0" quotePrefix="0" xfId="0"/>
    <xf numFmtId="0" fontId="8" fillId="4" borderId="1" applyAlignment="1" pivotButton="0" quotePrefix="0" xfId="0">
      <alignment horizontal="center" vertical="top" wrapText="1"/>
    </xf>
    <xf numFmtId="1" fontId="8" fillId="4" borderId="1" applyAlignment="1" pivotButton="0" quotePrefix="0" xfId="0">
      <alignment horizontal="center" vertical="top" wrapText="1"/>
    </xf>
    <xf numFmtId="0" fontId="8" fillId="4" borderId="1" applyAlignment="1" pivotButton="0" quotePrefix="0" xfId="0">
      <alignment vertical="top" wrapText="1"/>
    </xf>
    <xf numFmtId="0" fontId="8" fillId="4" borderId="1" applyAlignment="1" pivotButton="0" quotePrefix="0" xfId="3">
      <alignment vertical="center" wrapText="1"/>
    </xf>
    <xf numFmtId="0" fontId="22" fillId="3" borderId="0" applyAlignment="1" pivotButton="0" quotePrefix="0" xfId="3">
      <alignment horizontal="center" vertical="center"/>
    </xf>
    <xf numFmtId="164" fontId="25" fillId="2" borderId="0" applyAlignment="1" pivotButton="0" quotePrefix="0" xfId="1">
      <alignment horizontal="center" vertical="center" wrapText="1"/>
    </xf>
    <xf numFmtId="164" fontId="9" fillId="6" borderId="0" applyAlignment="1" pivotButton="0" quotePrefix="0" xfId="4">
      <alignment horizontal="center" vertical="center" wrapText="1"/>
    </xf>
    <xf numFmtId="164" fontId="32" fillId="2" borderId="0" applyAlignment="1" pivotButton="0" quotePrefix="0" xfId="4">
      <alignment horizontal="center" vertical="center"/>
    </xf>
    <xf numFmtId="164" fontId="32" fillId="2" borderId="0" applyAlignment="1" pivotButton="0" quotePrefix="0" xfId="4">
      <alignment horizontal="center" vertical="center" wrapText="1"/>
    </xf>
    <xf numFmtId="0" fontId="14" fillId="4" borderId="1" applyAlignment="1" pivotButton="0" quotePrefix="0" xfId="3">
      <alignment horizontal="center" vertical="center" wrapText="1"/>
    </xf>
    <xf numFmtId="164" fontId="12" fillId="2" borderId="0" applyAlignment="1" pivotButton="0" quotePrefix="0" xfId="4">
      <alignment horizontal="center" vertical="top" wrapText="1"/>
    </xf>
    <xf numFmtId="9" fontId="12" fillId="2" borderId="0" applyAlignment="1" pivotButton="0" quotePrefix="0" xfId="0">
      <alignment horizontal="center" vertical="top" wrapText="1"/>
    </xf>
    <xf numFmtId="164" fontId="12" fillId="6" borderId="0" applyAlignment="1" pivotButton="0" quotePrefix="0" xfId="4">
      <alignment horizontal="center" vertical="top" wrapText="1"/>
    </xf>
    <xf numFmtId="0" fontId="21" fillId="2" borderId="0" applyAlignment="1" pivotButton="0" quotePrefix="0" xfId="0">
      <alignment horizontal="center"/>
    </xf>
    <xf numFmtId="0" fontId="9" fillId="2" borderId="0" applyAlignment="1" pivotButton="0" quotePrefix="0" xfId="0">
      <alignment horizontal="center"/>
    </xf>
    <xf numFmtId="0" fontId="10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center" vertical="center"/>
    </xf>
    <xf numFmtId="1" fontId="15" fillId="2" borderId="0" applyAlignment="1" pivotButton="0" quotePrefix="0" xfId="0">
      <alignment horizontal="center" vertical="center"/>
    </xf>
    <xf numFmtId="9" fontId="9" fillId="2" borderId="0" applyAlignment="1" pivotButton="0" quotePrefix="0" xfId="0">
      <alignment horizontal="center" vertical="center"/>
    </xf>
    <xf numFmtId="166" fontId="9" fillId="6" borderId="0" applyAlignment="1" pivotButton="0" quotePrefix="0" xfId="0">
      <alignment horizontal="center" vertical="center"/>
    </xf>
    <xf numFmtId="0" fontId="9" fillId="6" borderId="0" applyAlignment="1" pivotButton="0" quotePrefix="0" xfId="0">
      <alignment horizontal="left" vertical="center" wrapText="1"/>
    </xf>
    <xf numFmtId="164" fontId="8" fillId="3" borderId="0" applyAlignment="1" pivotButton="0" quotePrefix="0" xfId="1">
      <alignment horizontal="center" vertical="top" wrapText="1"/>
    </xf>
    <xf numFmtId="0" fontId="15" fillId="3" borderId="0" applyAlignment="1" pivotButton="0" quotePrefix="0" xfId="3">
      <alignment vertical="center" wrapText="1"/>
    </xf>
    <xf numFmtId="0" fontId="8" fillId="4" borderId="1" applyAlignment="1" pivotButton="0" quotePrefix="0" xfId="0">
      <alignment vertical="center" wrapText="1"/>
    </xf>
    <xf numFmtId="0" fontId="15" fillId="3" borderId="0" applyAlignment="1" pivotButton="0" quotePrefix="0" xfId="3">
      <alignment horizontal="left" vertical="center" wrapText="1"/>
    </xf>
    <xf numFmtId="164" fontId="8" fillId="3" borderId="0" applyAlignment="1" pivotButton="0" quotePrefix="0" xfId="1">
      <alignment horizontal="center" vertical="center" wrapText="1"/>
    </xf>
    <xf numFmtId="164" fontId="8" fillId="3" borderId="0" applyAlignment="1" pivotButton="0" quotePrefix="0" xfId="0">
      <alignment horizontal="center" vertical="center"/>
    </xf>
    <xf numFmtId="9" fontId="9" fillId="6" borderId="0" applyAlignment="1" pivotButton="0" quotePrefix="0" xfId="2">
      <alignment horizontal="center" vertical="center"/>
    </xf>
    <xf numFmtId="0" fontId="8" fillId="5" borderId="1" applyAlignment="1" pivotButton="0" quotePrefix="0" xfId="0">
      <alignment horizontal="center" vertical="top" wrapText="1"/>
    </xf>
    <xf numFmtId="0" fontId="15" fillId="3" borderId="0" applyAlignment="1" pivotButton="0" quotePrefix="0" xfId="0">
      <alignment horizontal="center" vertical="top" wrapText="1"/>
    </xf>
    <xf numFmtId="0" fontId="8" fillId="5" borderId="1" applyAlignment="1" pivotButton="0" quotePrefix="0" xfId="0">
      <alignment vertical="top" wrapText="1"/>
    </xf>
    <xf numFmtId="0" fontId="8" fillId="5" borderId="0" applyAlignment="1" pivotButton="0" quotePrefix="0" xfId="0">
      <alignment horizontal="center" vertical="center"/>
    </xf>
    <xf numFmtId="165" fontId="8" fillId="5" borderId="0" applyAlignment="1" pivotButton="0" quotePrefix="0" xfId="0">
      <alignment horizontal="center" vertical="center"/>
    </xf>
    <xf numFmtId="164" fontId="9" fillId="2" borderId="0" applyAlignment="1" pivotButton="0" quotePrefix="0" xfId="3">
      <alignment horizontal="center" vertical="center" wrapText="1"/>
    </xf>
    <xf numFmtId="165" fontId="22" fillId="2" borderId="0" applyAlignment="1" pivotButton="0" quotePrefix="0" xfId="0">
      <alignment horizontal="center" vertical="center"/>
    </xf>
    <xf numFmtId="0" fontId="12" fillId="2" borderId="0" applyAlignment="1" pivotButton="0" quotePrefix="0" xfId="0">
      <alignment horizontal="center" vertical="center" wrapText="1"/>
    </xf>
    <xf numFmtId="0" fontId="25" fillId="2" borderId="0" applyAlignment="1" pivotButton="0" quotePrefix="0" xfId="0">
      <alignment horizontal="center"/>
    </xf>
    <xf numFmtId="164" fontId="25" fillId="2" borderId="0" applyAlignment="1" pivotButton="0" quotePrefix="0" xfId="1">
      <alignment horizontal="center" vertical="top" wrapText="1"/>
    </xf>
    <xf numFmtId="165" fontId="22" fillId="2" borderId="0" applyAlignment="1" pivotButton="0" quotePrefix="0" xfId="0">
      <alignment horizontal="center" vertical="center" wrapText="1"/>
    </xf>
    <xf numFmtId="164" fontId="12" fillId="2" borderId="0" applyAlignment="1" pivotButton="0" quotePrefix="0" xfId="0">
      <alignment horizontal="center" vertical="center"/>
    </xf>
    <xf numFmtId="0" fontId="22" fillId="2" borderId="0" applyAlignment="1" pivotButton="0" quotePrefix="0" xfId="0">
      <alignment horizontal="center" vertical="center"/>
    </xf>
    <xf numFmtId="0" fontId="26" fillId="2" borderId="0" applyAlignment="1" pivotButton="0" quotePrefix="0" xfId="0">
      <alignment horizontal="center" vertical="top" wrapText="1"/>
    </xf>
    <xf numFmtId="9" fontId="25" fillId="2" borderId="0" applyAlignment="1" pivotButton="0" quotePrefix="0" xfId="0">
      <alignment horizontal="center" vertical="top" wrapText="1"/>
    </xf>
    <xf numFmtId="164" fontId="25" fillId="2" borderId="0" applyAlignment="1" pivotButton="0" quotePrefix="0" xfId="1">
      <alignment horizontal="center"/>
    </xf>
    <xf numFmtId="164" fontId="9" fillId="6" borderId="0" applyAlignment="1" pivotButton="0" quotePrefix="0" xfId="0">
      <alignment horizontal="center" vertical="center" wrapText="1"/>
    </xf>
    <xf numFmtId="165" fontId="26" fillId="2" borderId="0" applyAlignment="1" pivotButton="0" quotePrefix="0" xfId="0">
      <alignment horizontal="center"/>
    </xf>
    <xf numFmtId="2" fontId="22" fillId="2" borderId="0" applyAlignment="1" pivotButton="0" quotePrefix="0" xfId="0">
      <alignment horizontal="left" vertical="center"/>
    </xf>
    <xf numFmtId="164" fontId="12" fillId="2" borderId="0" applyAlignment="1" pivotButton="0" quotePrefix="0" xfId="0">
      <alignment horizontal="left" vertical="center"/>
    </xf>
    <xf numFmtId="0" fontId="22" fillId="2" borderId="0" applyAlignment="1" pivotButton="0" quotePrefix="0" xfId="0">
      <alignment horizontal="left" vertical="center"/>
    </xf>
    <xf numFmtId="164" fontId="12" fillId="2" borderId="0" applyAlignment="1" pivotButton="0" quotePrefix="0" xfId="1">
      <alignment horizontal="left" vertical="center"/>
    </xf>
    <xf numFmtId="164" fontId="15" fillId="3" borderId="0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2" fontId="15" fillId="3" borderId="0" applyAlignment="1" pivotButton="0" quotePrefix="0" xfId="0">
      <alignment horizontal="center" vertical="center"/>
    </xf>
    <xf numFmtId="165" fontId="15" fillId="3" borderId="0" applyAlignment="1" pivotButton="0" quotePrefix="0" xfId="0">
      <alignment horizontal="center" vertical="center"/>
    </xf>
    <xf numFmtId="165" fontId="22" fillId="0" borderId="0" applyAlignment="1" pivotButton="0" quotePrefix="0" xfId="0">
      <alignment horizontal="center" vertical="center" wrapText="1"/>
    </xf>
    <xf numFmtId="164" fontId="1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165" fontId="22" fillId="0" borderId="0" applyAlignment="1" pivotButton="0" quotePrefix="0" xfId="0">
      <alignment horizontal="center" vertical="center"/>
    </xf>
    <xf numFmtId="164" fontId="22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165" fontId="15" fillId="0" borderId="0" applyAlignment="1" pivotButton="0" quotePrefix="0" xfId="0">
      <alignment horizontal="center" vertical="center"/>
    </xf>
    <xf numFmtId="164" fontId="12" fillId="0" borderId="0" applyAlignment="1" pivotButton="0" quotePrefix="0" xfId="0">
      <alignment horizontal="center" vertical="center" wrapText="1"/>
    </xf>
    <xf numFmtId="164" fontId="15" fillId="0" borderId="0" applyAlignment="1" pivotButton="0" quotePrefix="0" xfId="0">
      <alignment horizontal="center" vertical="center"/>
    </xf>
    <xf numFmtId="164" fontId="11" fillId="5" borderId="0" applyAlignment="1" pivotButton="0" quotePrefix="0" xfId="0">
      <alignment horizontal="center" vertical="center" wrapText="1"/>
    </xf>
    <xf numFmtId="0" fontId="15" fillId="5" borderId="0" applyAlignment="1" pivotButton="0" quotePrefix="0" xfId="0">
      <alignment horizontal="center" vertical="center"/>
    </xf>
    <xf numFmtId="165" fontId="15" fillId="5" borderId="0" applyAlignment="1" pivotButton="0" quotePrefix="0" xfId="0">
      <alignment horizontal="center" vertical="center"/>
    </xf>
    <xf numFmtId="164" fontId="15" fillId="5" borderId="0" applyAlignment="1" pivotButton="0" quotePrefix="0" xfId="0">
      <alignment horizontal="center" vertical="center"/>
    </xf>
    <xf numFmtId="164" fontId="8" fillId="0" borderId="0" applyAlignment="1" pivotButton="0" quotePrefix="0" xfId="1">
      <alignment horizontal="center" vertical="center" wrapText="1"/>
    </xf>
    <xf numFmtId="164" fontId="15" fillId="0" borderId="0" applyAlignment="1" pivotButton="0" quotePrefix="0" xfId="0">
      <alignment horizontal="center" vertical="center" wrapText="1"/>
    </xf>
    <xf numFmtId="166" fontId="8" fillId="0" borderId="0" applyAlignment="1" pivotButton="0" quotePrefix="0" xfId="0">
      <alignment horizontal="center" vertical="center" wrapText="1"/>
    </xf>
    <xf numFmtId="164" fontId="24" fillId="3" borderId="0" applyAlignment="1" pivotButton="0" quotePrefix="0" xfId="0">
      <alignment horizontal="center" vertical="center"/>
    </xf>
    <xf numFmtId="2" fontId="24" fillId="3" borderId="0" applyAlignment="1" pivotButton="0" quotePrefix="0" xfId="0">
      <alignment horizontal="center" vertical="center"/>
    </xf>
    <xf numFmtId="164" fontId="11" fillId="2" borderId="0" applyAlignment="1" pivotButton="0" quotePrefix="0" xfId="0">
      <alignment horizontal="center" vertical="center" wrapText="1"/>
    </xf>
    <xf numFmtId="164" fontId="10" fillId="2" borderId="0" applyAlignment="1" pivotButton="0" quotePrefix="0" xfId="0">
      <alignment horizontal="center" vertical="center"/>
    </xf>
    <xf numFmtId="164" fontId="11" fillId="2" borderId="0" applyAlignment="1" pivotButton="0" quotePrefix="0" xfId="0">
      <alignment horizontal="center" vertical="center"/>
    </xf>
    <xf numFmtId="164" fontId="10" fillId="2" borderId="0" applyAlignment="1" pivotButton="0" quotePrefix="0" xfId="0">
      <alignment horizontal="center" vertical="center" wrapText="1"/>
    </xf>
    <xf numFmtId="164" fontId="11" fillId="2" borderId="0" applyAlignment="1" pivotButton="0" quotePrefix="0" xfId="3">
      <alignment horizontal="center" vertical="center"/>
    </xf>
    <xf numFmtId="164" fontId="8" fillId="3" borderId="0" applyAlignment="1" pivotButton="0" quotePrefix="0" xfId="3">
      <alignment horizontal="center" vertical="center"/>
    </xf>
    <xf numFmtId="164" fontId="17" fillId="2" borderId="0" applyAlignment="1" pivotButton="0" quotePrefix="0" xfId="3">
      <alignment horizontal="center" vertical="center" wrapText="1"/>
    </xf>
    <xf numFmtId="164" fontId="22" fillId="2" borderId="0" applyAlignment="1" pivotButton="0" quotePrefix="0" xfId="1">
      <alignment horizontal="center" vertical="center" wrapText="1"/>
    </xf>
    <xf numFmtId="164" fontId="22" fillId="2" borderId="0" applyAlignment="1" pivotButton="0" quotePrefix="0" xfId="0">
      <alignment horizontal="center" vertical="center"/>
    </xf>
    <xf numFmtId="164" fontId="10" fillId="2" borderId="0" applyAlignment="1" pivotButton="0" quotePrefix="0" xfId="3">
      <alignment horizontal="center" vertical="center" wrapText="1"/>
    </xf>
    <xf numFmtId="164" fontId="15" fillId="2" borderId="0" applyAlignment="1" pivotButton="0" quotePrefix="0" xfId="0">
      <alignment horizontal="center" vertical="center" wrapText="1"/>
    </xf>
    <xf numFmtId="164" fontId="15" fillId="2" borderId="0" applyAlignment="1" pivotButton="0" quotePrefix="0" xfId="1">
      <alignment horizontal="center" vertical="top" wrapText="1"/>
    </xf>
    <xf numFmtId="164" fontId="15" fillId="2" borderId="0" applyAlignment="1" pivotButton="0" quotePrefix="0" xfId="0">
      <alignment horizontal="center"/>
    </xf>
    <xf numFmtId="167" fontId="15" fillId="2" borderId="0" applyAlignment="1" pivotButton="0" quotePrefix="0" xfId="0">
      <alignment horizontal="center" vertical="top" wrapText="1"/>
    </xf>
    <xf numFmtId="166" fontId="8" fillId="2" borderId="0" applyAlignment="1" pivotButton="0" quotePrefix="0" xfId="0">
      <alignment horizontal="center" vertical="top" wrapText="1"/>
    </xf>
    <xf numFmtId="166" fontId="17" fillId="2" borderId="1" applyAlignment="1" pivotButton="0" quotePrefix="0" xfId="0">
      <alignment horizontal="center" vertical="center"/>
    </xf>
    <xf numFmtId="0" fontId="9" fillId="6" borderId="0" applyAlignment="1" pivotButton="0" quotePrefix="0" xfId="0">
      <alignment horizontal="center"/>
    </xf>
    <xf numFmtId="0" fontId="8" fillId="5" borderId="0" applyAlignment="1" pivotButton="0" quotePrefix="0" xfId="0">
      <alignment horizontal="center" vertical="top" wrapText="1"/>
    </xf>
    <xf numFmtId="0" fontId="8" fillId="4" borderId="1" applyAlignment="1" pivotButton="0" quotePrefix="0" xfId="3">
      <alignment horizontal="left" vertical="center" wrapText="1"/>
    </xf>
    <xf numFmtId="164" fontId="9" fillId="2" borderId="1" applyAlignment="1" pivotButton="0" quotePrefix="0" xfId="0">
      <alignment horizontal="center" vertical="center"/>
    </xf>
    <xf numFmtId="164" fontId="18" fillId="3" borderId="0" applyAlignment="1" pivotButton="0" quotePrefix="0" xfId="1">
      <alignment horizontal="center" vertical="center" wrapText="1"/>
    </xf>
    <xf numFmtId="164" fontId="18" fillId="3" borderId="0" applyAlignment="1" pivotButton="0" quotePrefix="0" xfId="0">
      <alignment horizontal="center" vertical="center"/>
    </xf>
    <xf numFmtId="164" fontId="18" fillId="3" borderId="0" applyAlignment="1" pivotButton="0" quotePrefix="0" xfId="4">
      <alignment horizontal="center" vertical="top" wrapText="1"/>
    </xf>
    <xf numFmtId="9" fontId="14" fillId="4" borderId="0" applyAlignment="1" pivotButton="0" quotePrefix="0" xfId="0">
      <alignment horizontal="center" vertical="center" wrapText="1"/>
    </xf>
    <xf numFmtId="9" fontId="14" fillId="4" borderId="0" applyAlignment="1" pivotButton="0" quotePrefix="0" xfId="0">
      <alignment horizontal="center" vertical="top" wrapText="1"/>
    </xf>
    <xf numFmtId="164" fontId="18" fillId="3" borderId="0" applyAlignment="1" pivotButton="0" quotePrefix="0" xfId="3">
      <alignment horizontal="center" vertical="center" wrapText="1"/>
    </xf>
    <xf numFmtId="164" fontId="18" fillId="3" borderId="0" applyAlignment="1" pivotButton="0" quotePrefix="0" xfId="0">
      <alignment horizontal="center"/>
    </xf>
    <xf numFmtId="164" fontId="18" fillId="3" borderId="0" applyAlignment="1" pivotButton="0" quotePrefix="0" xfId="0">
      <alignment horizontal="center" vertical="center" wrapText="1"/>
    </xf>
    <xf numFmtId="9" fontId="14" fillId="4" borderId="0" applyAlignment="1" pivotButton="0" quotePrefix="0" xfId="2">
      <alignment horizontal="center" vertical="center" wrapText="1"/>
    </xf>
    <xf numFmtId="0" fontId="14" fillId="5" borderId="1" applyAlignment="1" pivotButton="0" quotePrefix="0" xfId="0">
      <alignment horizontal="left" vertical="center"/>
    </xf>
    <xf numFmtId="0" fontId="14" fillId="5" borderId="1" applyAlignment="1" pivotButton="0" quotePrefix="0" xfId="0">
      <alignment horizontal="left" vertical="top" wrapText="1"/>
    </xf>
    <xf numFmtId="0" fontId="14" fillId="5" borderId="1" applyAlignment="1" pivotButton="0" quotePrefix="0" xfId="0">
      <alignment horizontal="left" vertical="center" wrapText="1"/>
    </xf>
    <xf numFmtId="0" fontId="9" fillId="6" borderId="0" applyAlignment="1" pivotButton="0" quotePrefix="0" xfId="3">
      <alignment horizontal="center" vertical="center"/>
    </xf>
    <xf numFmtId="9" fontId="14" fillId="5" borderId="1" applyAlignment="1" pivotButton="0" quotePrefix="0" xfId="2">
      <alignment horizontal="center" vertical="center"/>
    </xf>
    <xf numFmtId="9" fontId="14" fillId="4" borderId="1" applyAlignment="1" pivotButton="0" quotePrefix="0" xfId="0">
      <alignment horizontal="center" vertical="center" wrapText="1"/>
    </xf>
    <xf numFmtId="164" fontId="5" fillId="2" borderId="0" pivotButton="0" quotePrefix="0" xfId="1"/>
    <xf numFmtId="164" fontId="6" fillId="2" borderId="0" pivotButton="0" quotePrefix="0" xfId="1"/>
    <xf numFmtId="0" fontId="5" fillId="2" borderId="0" applyAlignment="1" pivotButton="0" quotePrefix="0" xfId="1">
      <alignment horizontal="center"/>
    </xf>
    <xf numFmtId="2" fontId="5" fillId="2" borderId="0" applyAlignment="1" pivotButton="0" quotePrefix="0" xfId="1">
      <alignment horizontal="center"/>
    </xf>
    <xf numFmtId="0" fontId="0" fillId="2" borderId="0" applyAlignment="1" pivotButton="0" quotePrefix="0" xfId="0">
      <alignment horizontal="center"/>
    </xf>
    <xf numFmtId="9" fontId="6" fillId="2" borderId="0" applyAlignment="1" pivotButton="0" quotePrefix="0" xfId="2">
      <alignment horizontal="center"/>
    </xf>
    <xf numFmtId="164" fontId="6" fillId="2" borderId="0" applyAlignment="1" pivotButton="0" quotePrefix="0" xfId="1">
      <alignment horizontal="left"/>
    </xf>
    <xf numFmtId="0" fontId="6" fillId="2" borderId="0" applyAlignment="1" pivotButton="0" quotePrefix="0" xfId="1">
      <alignment horizontal="center"/>
    </xf>
    <xf numFmtId="2" fontId="6" fillId="2" borderId="0" applyAlignment="1" pivotButton="0" quotePrefix="0" xfId="1">
      <alignment horizontal="center"/>
    </xf>
    <xf numFmtId="0" fontId="6" fillId="2" borderId="0" applyAlignment="1" pivotButton="0" quotePrefix="0" xfId="0">
      <alignment horizontal="center"/>
    </xf>
    <xf numFmtId="164" fontId="5" fillId="2" borderId="0" pivotButton="0" quotePrefix="0" xfId="4"/>
    <xf numFmtId="164" fontId="6" fillId="2" borderId="0" pivotButton="0" quotePrefix="0" xfId="0"/>
    <xf numFmtId="164" fontId="4" fillId="2" borderId="0" pivotButton="0" quotePrefix="0" xfId="1"/>
    <xf numFmtId="164" fontId="5" fillId="2" borderId="0" applyAlignment="1" pivotButton="0" quotePrefix="0" xfId="1">
      <alignment horizontal="center"/>
    </xf>
    <xf numFmtId="0" fontId="5" fillId="2" borderId="0" applyAlignment="1" pivotButton="0" quotePrefix="0" xfId="0">
      <alignment horizontal="center"/>
    </xf>
    <xf numFmtId="164" fontId="5" fillId="2" borderId="0" applyAlignment="1" pivotButton="0" quotePrefix="0" xfId="1">
      <alignment vertical="top" wrapText="1"/>
    </xf>
    <xf numFmtId="164" fontId="6" fillId="2" borderId="0" applyAlignment="1" pivotButton="0" quotePrefix="0" xfId="1">
      <alignment vertical="top" wrapText="1"/>
    </xf>
    <xf numFmtId="2" fontId="5" fillId="2" borderId="0" applyAlignment="1" pivotButton="0" quotePrefix="0" xfId="1">
      <alignment horizontal="center" vertical="top" wrapText="1"/>
    </xf>
    <xf numFmtId="0" fontId="0" fillId="2" borderId="0" pivotButton="0" quotePrefix="0" xfId="0"/>
    <xf numFmtId="164" fontId="5" fillId="2" borderId="0" applyAlignment="1" pivotButton="0" quotePrefix="0" xfId="1">
      <alignment horizontal="left" vertical="top" wrapText="1"/>
    </xf>
    <xf numFmtId="164" fontId="5" fillId="2" borderId="0" applyAlignment="1" pivotButton="0" quotePrefix="0" xfId="1">
      <alignment horizontal="center" vertical="top" wrapText="1"/>
    </xf>
    <xf numFmtId="0" fontId="4" fillId="2" borderId="0" pivotButton="0" quotePrefix="0" xfId="0"/>
    <xf numFmtId="164" fontId="6" fillId="4" borderId="0" applyAlignment="1" pivotButton="0" quotePrefix="0" xfId="1">
      <alignment horizontal="left"/>
    </xf>
    <xf numFmtId="164" fontId="5" fillId="4" borderId="0" pivotButton="0" quotePrefix="0" xfId="1"/>
    <xf numFmtId="164" fontId="6" fillId="4" borderId="0" pivotButton="0" quotePrefix="0" xfId="1"/>
    <xf numFmtId="2" fontId="6" fillId="4" borderId="0" applyAlignment="1" pivotButton="0" quotePrefix="0" xfId="1">
      <alignment horizontal="center"/>
    </xf>
    <xf numFmtId="164" fontId="6" fillId="4" borderId="0" applyAlignment="1" pivotButton="0" quotePrefix="0" xfId="1">
      <alignment horizontal="center"/>
    </xf>
    <xf numFmtId="0" fontId="6" fillId="4" borderId="0" applyAlignment="1" pivotButton="0" quotePrefix="0" xfId="1">
      <alignment horizontal="center"/>
    </xf>
    <xf numFmtId="0" fontId="6" fillId="4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164" fontId="6" fillId="4" borderId="0" applyAlignment="1" pivotButton="0" quotePrefix="0" xfId="1">
      <alignment vertical="top" wrapText="1"/>
    </xf>
    <xf numFmtId="164" fontId="6" fillId="4" borderId="0" applyAlignment="1" pivotButton="0" quotePrefix="0" xfId="1">
      <alignment horizontal="center" vertical="top" wrapText="1"/>
    </xf>
    <xf numFmtId="164" fontId="5" fillId="4" borderId="0" applyAlignment="1" pivotButton="0" quotePrefix="0" xfId="1">
      <alignment vertical="top" wrapText="1"/>
    </xf>
    <xf numFmtId="0" fontId="4" fillId="3" borderId="0" pivotButton="0" quotePrefix="0" xfId="0"/>
    <xf numFmtId="0" fontId="4" fillId="3" borderId="0" applyAlignment="1" pivotButton="0" quotePrefix="0" xfId="0">
      <alignment horizontal="center"/>
    </xf>
    <xf numFmtId="164" fontId="4" fillId="3" borderId="0" applyAlignment="1" pivotButton="0" quotePrefix="0" xfId="0">
      <alignment horizontal="center"/>
    </xf>
    <xf numFmtId="0" fontId="6" fillId="3" borderId="0" applyAlignment="1" pivotButton="0" quotePrefix="0" xfId="0">
      <alignment horizontal="center"/>
    </xf>
    <xf numFmtId="164" fontId="4" fillId="3" borderId="0" applyAlignment="1" pivotButton="0" quotePrefix="0" xfId="1">
      <alignment horizontal="center"/>
    </xf>
    <xf numFmtId="0" fontId="33" fillId="3" borderId="0" applyAlignment="1" pivotButton="0" quotePrefix="0" xfId="0">
      <alignment horizontal="center"/>
    </xf>
    <xf numFmtId="0" fontId="34" fillId="3" borderId="0" applyAlignment="1" pivotButton="0" quotePrefix="0" xfId="0">
      <alignment horizontal="left"/>
    </xf>
    <xf numFmtId="164" fontId="4" fillId="3" borderId="0" pivotButton="0" quotePrefix="0" xfId="0"/>
    <xf numFmtId="164" fontId="6" fillId="3" borderId="0" applyAlignment="1" pivotButton="0" quotePrefix="0" xfId="1">
      <alignment horizontal="center"/>
    </xf>
    <xf numFmtId="164" fontId="4" fillId="4" borderId="0" applyAlignment="1" pivotButton="0" quotePrefix="0" xfId="0">
      <alignment horizontal="center"/>
    </xf>
    <xf numFmtId="164" fontId="38" fillId="4" borderId="0" applyAlignment="1" pivotButton="0" quotePrefix="0" xfId="1">
      <alignment horizontal="center"/>
    </xf>
    <xf numFmtId="164" fontId="35" fillId="5" borderId="0" applyAlignment="1" pivotButton="0" quotePrefix="0" xfId="1">
      <alignment horizontal="center"/>
    </xf>
    <xf numFmtId="164" fontId="35" fillId="3" borderId="0" applyAlignment="1" pivotButton="0" quotePrefix="0" xfId="1">
      <alignment horizontal="center"/>
    </xf>
    <xf numFmtId="164" fontId="4" fillId="4" borderId="0" applyAlignment="1" pivotButton="0" quotePrefix="0" xfId="1">
      <alignment horizontal="center"/>
    </xf>
    <xf numFmtId="2" fontId="35" fillId="3" borderId="0" applyAlignment="1" pivotButton="0" quotePrefix="0" xfId="1">
      <alignment horizontal="center"/>
    </xf>
    <xf numFmtId="0" fontId="6" fillId="5" borderId="1" applyAlignment="1" pivotButton="0" quotePrefix="0" xfId="0">
      <alignment horizontal="center"/>
    </xf>
    <xf numFmtId="164" fontId="6" fillId="5" borderId="1" applyAlignment="1" pivotButton="0" quotePrefix="0" xfId="1">
      <alignment horizontal="center"/>
    </xf>
    <xf numFmtId="0" fontId="39" fillId="6" borderId="0" applyAlignment="1" pivotButton="0" quotePrefix="0" xfId="0">
      <alignment horizontal="left"/>
    </xf>
    <xf numFmtId="0" fontId="40" fillId="6" borderId="0" applyAlignment="1" pivotButton="0" quotePrefix="0" xfId="0">
      <alignment horizontal="center"/>
    </xf>
    <xf numFmtId="164" fontId="40" fillId="6" borderId="0" applyAlignment="1" pivotButton="0" quotePrefix="0" xfId="0">
      <alignment horizontal="center"/>
    </xf>
    <xf numFmtId="2" fontId="6" fillId="5" borderId="1" applyAlignment="1" pivotButton="0" quotePrefix="0" xfId="1">
      <alignment horizontal="center"/>
    </xf>
    <xf numFmtId="2" fontId="35" fillId="5" borderId="1" applyAlignment="1" pivotButton="0" quotePrefix="0" xfId="1">
      <alignment horizontal="center"/>
    </xf>
    <xf numFmtId="1" fontId="17" fillId="2" borderId="1" applyAlignment="1" pivotButton="0" quotePrefix="0" xfId="0">
      <alignment horizontal="center" vertical="center" wrapText="1"/>
    </xf>
    <xf numFmtId="164" fontId="6" fillId="3" borderId="0" applyAlignment="1" pivotButton="0" quotePrefix="0" xfId="0">
      <alignment horizontal="center"/>
    </xf>
    <xf numFmtId="0" fontId="6" fillId="3" borderId="0" pivotButton="0" quotePrefix="0" xfId="0"/>
    <xf numFmtId="164" fontId="6" fillId="3" borderId="0" pivotButton="0" quotePrefix="0" xfId="1"/>
    <xf numFmtId="0" fontId="4" fillId="2" borderId="0" applyAlignment="1" pivotButton="0" quotePrefix="0" xfId="1">
      <alignment horizontal="center"/>
    </xf>
    <xf numFmtId="164" fontId="34" fillId="6" borderId="1" applyAlignment="1" pivotButton="0" quotePrefix="0" xfId="1">
      <alignment horizontal="center"/>
    </xf>
    <xf numFmtId="0" fontId="37" fillId="6" borderId="1" applyAlignment="1" pivotButton="0" quotePrefix="0" xfId="0">
      <alignment horizontal="center"/>
    </xf>
    <xf numFmtId="0" fontId="6" fillId="5" borderId="9" applyAlignment="1" pivotButton="0" quotePrefix="0" xfId="0">
      <alignment horizontal="center"/>
    </xf>
    <xf numFmtId="0" fontId="36" fillId="6" borderId="1" applyAlignment="1" pivotButton="0" quotePrefix="0" xfId="0">
      <alignment horizontal="center"/>
    </xf>
    <xf numFmtId="164" fontId="37" fillId="6" borderId="1" applyAlignment="1" pivotButton="0" quotePrefix="0" xfId="0">
      <alignment horizontal="center"/>
    </xf>
    <xf numFmtId="0" fontId="34" fillId="6" borderId="1" applyAlignment="1" pivotButton="0" quotePrefix="0" xfId="0">
      <alignment horizontal="left"/>
    </xf>
    <xf numFmtId="164" fontId="17" fillId="2" borderId="1" applyAlignment="1" pivotButton="0" quotePrefix="0" xfId="1">
      <alignment horizontal="center" vertical="center" wrapText="1"/>
    </xf>
    <xf numFmtId="1" fontId="14" fillId="2" borderId="8" applyAlignment="1" pivotButton="0" quotePrefix="0" xfId="0">
      <alignment horizontal="center" vertical="center" wrapText="1"/>
    </xf>
    <xf numFmtId="1" fontId="17" fillId="2" borderId="9" applyAlignment="1" pivotButton="0" quotePrefix="0" xfId="0">
      <alignment horizontal="center" vertical="center" wrapText="1"/>
    </xf>
    <xf numFmtId="1" fontId="14" fillId="3" borderId="0" applyAlignment="1" pivotButton="0" quotePrefix="0" xfId="0">
      <alignment vertical="center" wrapText="1"/>
    </xf>
    <xf numFmtId="9" fontId="25" fillId="4" borderId="0" applyAlignment="1" pivotButton="0" quotePrefix="0" xfId="0">
      <alignment horizontal="center" vertical="center" wrapText="1"/>
    </xf>
    <xf numFmtId="164" fontId="25" fillId="8" borderId="0" applyAlignment="1" pivotButton="0" quotePrefix="0" xfId="0">
      <alignment horizontal="center" vertical="center"/>
    </xf>
    <xf numFmtId="164" fontId="25" fillId="8" borderId="0" applyAlignment="1" pivotButton="0" quotePrefix="0" xfId="3">
      <alignment horizontal="center" vertical="center" wrapText="1"/>
    </xf>
    <xf numFmtId="164" fontId="25" fillId="8" borderId="0" applyAlignment="1" pivotButton="0" quotePrefix="0" xfId="1">
      <alignment horizontal="center" vertical="center" wrapText="1"/>
    </xf>
    <xf numFmtId="10" fontId="41" fillId="2" borderId="0" applyAlignment="1" pivotButton="0" quotePrefix="0" xfId="0">
      <alignment horizontal="center" vertical="center"/>
    </xf>
    <xf numFmtId="164" fontId="41" fillId="2" borderId="0" applyAlignment="1" pivotButton="0" quotePrefix="0" xfId="0">
      <alignment vertical="center"/>
    </xf>
    <xf numFmtId="170" fontId="41" fillId="2" borderId="0" applyAlignment="1" pivotButton="0" quotePrefix="0" xfId="0">
      <alignment vertical="center"/>
    </xf>
    <xf numFmtId="164" fontId="10" fillId="2" borderId="0" applyAlignment="1" pivotButton="0" quotePrefix="0" xfId="1">
      <alignment horizontal="center" vertical="center"/>
    </xf>
    <xf numFmtId="0" fontId="12" fillId="2" borderId="0" applyAlignment="1" pivotButton="0" quotePrefix="0" xfId="0">
      <alignment horizontal="center" vertical="center"/>
    </xf>
    <xf numFmtId="165" fontId="12" fillId="2" borderId="0" applyAlignment="1" pivotButton="0" quotePrefix="0" xfId="0">
      <alignment horizontal="center" vertical="center" wrapText="1"/>
    </xf>
    <xf numFmtId="167" fontId="26" fillId="3" borderId="0" applyAlignment="1" pivotButton="0" quotePrefix="0" xfId="3">
      <alignment vertical="center"/>
    </xf>
    <xf numFmtId="0" fontId="12" fillId="4" borderId="1" applyAlignment="1" pivotButton="0" quotePrefix="0" xfId="3">
      <alignment vertical="center"/>
    </xf>
    <xf numFmtId="0" fontId="26" fillId="2" borderId="1" applyAlignment="1" pivotButton="0" quotePrefix="0" xfId="3">
      <alignment horizontal="center" vertical="center" wrapText="1"/>
    </xf>
    <xf numFmtId="0" fontId="25" fillId="4" borderId="1" applyAlignment="1" applyProtection="1" pivotButton="0" quotePrefix="0" xfId="3">
      <alignment vertical="center" wrapText="1"/>
      <protection locked="0" hidden="0"/>
    </xf>
    <xf numFmtId="0" fontId="17" fillId="2" borderId="15" applyAlignment="1" pivotButton="0" quotePrefix="0" xfId="3">
      <alignment horizontal="center" vertical="center" wrapText="1"/>
    </xf>
    <xf numFmtId="0" fontId="25" fillId="4" borderId="1" applyAlignment="1" applyProtection="1" pivotButton="0" quotePrefix="0" xfId="3">
      <alignment horizontal="center" vertical="center" wrapText="1"/>
      <protection locked="0" hidden="0"/>
    </xf>
    <xf numFmtId="167" fontId="22" fillId="2" borderId="0" applyAlignment="1" pivotButton="0" quotePrefix="0" xfId="3">
      <alignment horizontal="center" vertical="center"/>
    </xf>
    <xf numFmtId="0" fontId="44" fillId="3" borderId="1" applyAlignment="1" pivotButton="0" quotePrefix="0" xfId="3">
      <alignment horizontal="center" vertical="center" wrapText="1"/>
    </xf>
    <xf numFmtId="167" fontId="11" fillId="3" borderId="1" applyAlignment="1" pivotButton="0" quotePrefix="0" xfId="3">
      <alignment vertical="center"/>
    </xf>
    <xf numFmtId="0" fontId="26" fillId="3" borderId="1" applyAlignment="1" pivotButton="0" quotePrefix="0" xfId="3">
      <alignment horizontal="center" vertical="center" wrapText="1"/>
    </xf>
    <xf numFmtId="167" fontId="22" fillId="3" borderId="1" applyAlignment="1" pivotButton="0" quotePrefix="0" xfId="3">
      <alignment vertical="center"/>
    </xf>
    <xf numFmtId="0" fontId="3" fillId="3" borderId="1" applyAlignment="1" pivotButton="0" quotePrefix="0" xfId="3">
      <alignment horizontal="center" vertical="center" wrapText="1"/>
    </xf>
    <xf numFmtId="164" fontId="18" fillId="2" borderId="0" applyAlignment="1" pivotButton="0" quotePrefix="0" xfId="0">
      <alignment horizontal="center" vertical="center"/>
    </xf>
    <xf numFmtId="0" fontId="3" fillId="3" borderId="15" applyAlignment="1" pivotButton="0" quotePrefix="0" xfId="3">
      <alignment horizontal="center" vertical="center" wrapText="1"/>
    </xf>
    <xf numFmtId="167" fontId="22" fillId="3" borderId="15" applyAlignment="1" pivotButton="0" quotePrefix="0" xfId="3">
      <alignment vertical="center"/>
    </xf>
    <xf numFmtId="164" fontId="18" fillId="3" borderId="1" applyAlignment="1" pivotButton="0" quotePrefix="0" xfId="4">
      <alignment horizontal="center" vertical="top" wrapText="1"/>
    </xf>
    <xf numFmtId="164" fontId="18" fillId="4" borderId="0" applyAlignment="1" pivotButton="0" quotePrefix="0" xfId="1">
      <alignment horizontal="center" vertical="center" wrapText="1"/>
    </xf>
    <xf numFmtId="164" fontId="18" fillId="2" borderId="0" applyAlignment="1" pivotButton="0" quotePrefix="0" xfId="1">
      <alignment horizontal="center" vertical="center" wrapText="1"/>
    </xf>
    <xf numFmtId="9" fontId="44" fillId="4" borderId="0" applyAlignment="1" pivotButton="0" quotePrefix="0" xfId="0">
      <alignment horizontal="center" vertical="center" wrapText="1"/>
    </xf>
    <xf numFmtId="0" fontId="25" fillId="3" borderId="0" applyAlignment="1" pivotButton="0" quotePrefix="0" xfId="3">
      <alignment horizontal="left" vertical="center" wrapText="1"/>
    </xf>
    <xf numFmtId="164" fontId="4" fillId="2" borderId="0" applyAlignment="1" pivotButton="0" quotePrefix="0" xfId="1">
      <alignment vertical="top" wrapText="1"/>
    </xf>
    <xf numFmtId="0" fontId="16" fillId="2" borderId="0" applyAlignment="1" pivotButton="0" quotePrefix="0" xfId="0">
      <alignment horizontal="center" vertical="center"/>
    </xf>
    <xf numFmtId="167" fontId="16" fillId="2" borderId="0" applyAlignment="1" pivotButton="0" quotePrefix="0" xfId="0">
      <alignment horizontal="center" vertical="center"/>
    </xf>
    <xf numFmtId="167" fontId="8" fillId="2" borderId="0" applyAlignment="1" pivotButton="0" quotePrefix="0" xfId="0">
      <alignment horizontal="center" vertical="center"/>
    </xf>
    <xf numFmtId="168" fontId="8" fillId="2" borderId="0" applyAlignment="1" pivotButton="0" quotePrefix="0" xfId="0">
      <alignment horizontal="center" vertical="center"/>
    </xf>
    <xf numFmtId="0" fontId="12" fillId="7" borderId="0" pivotButton="0" quotePrefix="0" xfId="0"/>
    <xf numFmtId="164" fontId="12" fillId="7" borderId="0" applyAlignment="1" pivotButton="0" quotePrefix="0" xfId="0">
      <alignment horizontal="center"/>
    </xf>
    <xf numFmtId="0" fontId="25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7" fontId="44" fillId="0" borderId="0" applyAlignment="1" pivotButton="0" quotePrefix="0" xfId="0">
      <alignment horizontal="center"/>
    </xf>
    <xf numFmtId="0" fontId="44" fillId="0" borderId="16" applyAlignment="1" pivotButton="0" quotePrefix="0" xfId="0">
      <alignment horizontal="center"/>
    </xf>
    <xf numFmtId="0" fontId="44" fillId="0" borderId="17" applyAlignment="1" pivotButton="0" quotePrefix="0" xfId="0">
      <alignment horizontal="center"/>
    </xf>
    <xf numFmtId="0" fontId="0" fillId="0" borderId="27" pivotButton="0" quotePrefix="0" xfId="0"/>
    <xf numFmtId="0" fontId="44" fillId="13" borderId="28" applyAlignment="1" pivotButton="0" quotePrefix="0" xfId="0">
      <alignment horizontal="center"/>
    </xf>
    <xf numFmtId="0" fontId="44" fillId="4" borderId="29" applyAlignment="1" pivotButton="0" quotePrefix="0" xfId="0">
      <alignment horizontal="center"/>
    </xf>
    <xf numFmtId="0" fontId="44" fillId="0" borderId="15" applyAlignment="1" pivotButton="0" quotePrefix="0" xfId="0">
      <alignment horizontal="center"/>
    </xf>
    <xf numFmtId="0" fontId="44" fillId="12" borderId="15" applyAlignment="1" pivotButton="0" quotePrefix="0" xfId="0">
      <alignment horizontal="center"/>
    </xf>
    <xf numFmtId="0" fontId="44" fillId="4" borderId="15" applyAlignment="1" pivotButton="0" quotePrefix="0" xfId="0">
      <alignment horizontal="center"/>
    </xf>
    <xf numFmtId="0" fontId="44" fillId="2" borderId="15" applyAlignment="1" pivotButton="0" quotePrefix="0" xfId="0">
      <alignment horizontal="center"/>
    </xf>
    <xf numFmtId="0" fontId="0" fillId="0" borderId="24" pivotButton="0" quotePrefix="0" xfId="0"/>
    <xf numFmtId="0" fontId="0" fillId="13" borderId="30" pivotButton="0" quotePrefix="0" xfId="0"/>
    <xf numFmtId="0" fontId="44" fillId="0" borderId="28" pivotButton="0" quotePrefix="0" xfId="0"/>
    <xf numFmtId="171" fontId="0" fillId="4" borderId="16" applyAlignment="1" pivotButton="0" quotePrefix="0" xfId="0">
      <alignment horizontal="center"/>
    </xf>
    <xf numFmtId="0" fontId="0" fillId="4" borderId="17" applyAlignment="1" pivotButton="0" quotePrefix="0" xfId="0">
      <alignment horizontal="center"/>
    </xf>
    <xf numFmtId="164" fontId="0" fillId="12" borderId="17" applyAlignment="1" pivotButton="0" quotePrefix="0" xfId="1">
      <alignment horizontal="center"/>
    </xf>
    <xf numFmtId="0" fontId="0" fillId="12" borderId="17" applyAlignment="1" pivotButton="0" quotePrefix="0" xfId="0">
      <alignment horizontal="center"/>
    </xf>
    <xf numFmtId="171" fontId="0" fillId="4" borderId="17" applyAlignment="1" pivotButton="0" quotePrefix="0" xfId="0">
      <alignment horizontal="center"/>
    </xf>
    <xf numFmtId="171" fontId="0" fillId="12" borderId="17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171" fontId="0" fillId="13" borderId="28" pivotButton="0" quotePrefix="0" xfId="0"/>
    <xf numFmtId="0" fontId="44" fillId="0" borderId="31" pivotButton="0" quotePrefix="0" xfId="0"/>
    <xf numFmtId="171" fontId="0" fillId="4" borderId="19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164" fontId="0" fillId="12" borderId="1" applyAlignment="1" pivotButton="0" quotePrefix="0" xfId="1">
      <alignment horizontal="center"/>
    </xf>
    <xf numFmtId="0" fontId="0" fillId="12" borderId="1" applyAlignment="1" pivotButton="0" quotePrefix="0" xfId="0">
      <alignment horizontal="center"/>
    </xf>
    <xf numFmtId="171" fontId="0" fillId="4" borderId="1" applyAlignment="1" pivotButton="0" quotePrefix="0" xfId="0">
      <alignment horizontal="center"/>
    </xf>
    <xf numFmtId="171" fontId="0" fillId="12" borderId="1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8" pivotButton="0" quotePrefix="0" xfId="0"/>
    <xf numFmtId="171" fontId="0" fillId="13" borderId="31" pivotButton="0" quotePrefix="0" xfId="0"/>
    <xf numFmtId="0" fontId="0" fillId="0" borderId="31" pivotButton="0" quotePrefix="0" xfId="0"/>
    <xf numFmtId="0" fontId="0" fillId="0" borderId="19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44" fillId="0" borderId="30" pivotButton="0" quotePrefix="0" xfId="0"/>
    <xf numFmtId="0" fontId="0" fillId="0" borderId="29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9" fontId="44" fillId="0" borderId="24" applyAlignment="1" pivotButton="0" quotePrefix="0" xfId="0">
      <alignment horizontal="center"/>
    </xf>
    <xf numFmtId="171" fontId="0" fillId="13" borderId="30" pivotButton="0" quotePrefix="0" xfId="0"/>
    <xf numFmtId="0" fontId="0" fillId="0" borderId="32" pivotButton="0" quotePrefix="0" xfId="0"/>
    <xf numFmtId="0" fontId="0" fillId="0" borderId="21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0" fontId="0" fillId="0" borderId="33" applyAlignment="1" pivotButton="0" quotePrefix="0" xfId="0">
      <alignment horizontal="center"/>
    </xf>
    <xf numFmtId="0" fontId="44" fillId="0" borderId="33" applyAlignment="1" pivotButton="0" quotePrefix="0" xfId="0">
      <alignment horizontal="center"/>
    </xf>
    <xf numFmtId="171" fontId="0" fillId="13" borderId="32" pivotButton="0" quotePrefix="0" xfId="0"/>
    <xf numFmtId="0" fontId="44" fillId="2" borderId="17" applyAlignment="1" pivotButton="0" quotePrefix="0" xfId="0">
      <alignment horizontal="center"/>
    </xf>
    <xf numFmtId="0" fontId="44" fillId="0" borderId="24" applyAlignment="1" pivotButton="0" quotePrefix="0" xfId="0">
      <alignment horizontal="center"/>
    </xf>
    <xf numFmtId="171" fontId="0" fillId="0" borderId="19" applyAlignment="1" pivotButton="0" quotePrefix="0" xfId="0">
      <alignment horizontal="center"/>
    </xf>
    <xf numFmtId="164" fontId="0" fillId="0" borderId="1" applyAlignment="1" pivotButton="0" quotePrefix="0" xfId="1">
      <alignment horizontal="center"/>
    </xf>
    <xf numFmtId="171" fontId="0" fillId="0" borderId="1" applyAlignment="1" pivotButton="0" quotePrefix="0" xfId="0">
      <alignment horizontal="center"/>
    </xf>
    <xf numFmtId="171" fontId="0" fillId="4" borderId="27" applyAlignment="1" pivotButton="0" quotePrefix="0" xfId="0">
      <alignment horizontal="center"/>
    </xf>
    <xf numFmtId="171" fontId="0" fillId="4" borderId="8" applyAlignment="1" pivotButton="0" quotePrefix="0" xfId="0">
      <alignment horizontal="center"/>
    </xf>
    <xf numFmtId="0" fontId="6" fillId="11" borderId="13" applyAlignment="1" pivotButton="0" quotePrefix="0" xfId="0">
      <alignment horizontal="center" vertical="center"/>
    </xf>
    <xf numFmtId="171" fontId="6" fillId="4" borderId="5" pivotButton="0" quotePrefix="0" xfId="0"/>
    <xf numFmtId="164" fontId="46" fillId="4" borderId="0" applyAlignment="1" pivotButton="0" quotePrefix="0" xfId="0">
      <alignment horizontal="center" vertical="center"/>
    </xf>
    <xf numFmtId="0" fontId="45" fillId="4" borderId="0" applyAlignment="1" pivotButton="0" quotePrefix="0" xfId="0">
      <alignment horizontal="center" vertical="center"/>
    </xf>
    <xf numFmtId="167" fontId="25" fillId="4" borderId="0" applyAlignment="1" pivotButton="0" quotePrefix="0" xfId="0">
      <alignment horizontal="center" vertical="center"/>
    </xf>
    <xf numFmtId="0" fontId="46" fillId="4" borderId="0" applyAlignment="1" pivotButton="0" quotePrefix="0" xfId="0">
      <alignment horizontal="center"/>
    </xf>
    <xf numFmtId="0" fontId="45" fillId="4" borderId="0" applyAlignment="1" pivotButton="0" quotePrefix="0" xfId="0">
      <alignment horizontal="center"/>
    </xf>
    <xf numFmtId="167" fontId="47" fillId="4" borderId="0" applyAlignment="1" pivotButton="0" quotePrefix="0" xfId="0">
      <alignment horizontal="center" vertical="center"/>
    </xf>
    <xf numFmtId="0" fontId="47" fillId="4" borderId="0" applyAlignment="1" pivotButton="0" quotePrefix="0" xfId="0">
      <alignment horizontal="center"/>
    </xf>
    <xf numFmtId="166" fontId="7" fillId="3" borderId="0" pivotButton="0" quotePrefix="0" xfId="0"/>
    <xf numFmtId="166" fontId="48" fillId="3" borderId="7" pivotButton="0" quotePrefix="0" xfId="0"/>
    <xf numFmtId="0" fontId="4" fillId="3" borderId="0" applyAlignment="1" pivotButton="0" quotePrefix="0" xfId="0">
      <alignment horizontal="center" vertical="center"/>
    </xf>
    <xf numFmtId="166" fontId="7" fillId="3" borderId="3" applyAlignment="1" pivotButton="0" quotePrefix="0" xfId="0">
      <alignment horizontal="center" vertical="center"/>
    </xf>
    <xf numFmtId="0" fontId="44" fillId="0" borderId="3" applyAlignment="1" pivotButton="0" quotePrefix="0" xfId="0">
      <alignment horizontal="left" vertical="center"/>
    </xf>
    <xf numFmtId="0" fontId="44" fillId="0" borderId="4" applyAlignment="1" pivotButton="0" quotePrefix="0" xfId="0">
      <alignment horizontal="left" vertical="center"/>
    </xf>
    <xf numFmtId="164" fontId="43" fillId="2" borderId="16" applyAlignment="1" pivotButton="0" quotePrefix="0" xfId="0">
      <alignment horizontal="right" vertical="center"/>
    </xf>
    <xf numFmtId="1" fontId="12" fillId="2" borderId="18" applyAlignment="1" pivotButton="0" quotePrefix="0" xfId="4">
      <alignment horizontal="center" vertical="center"/>
    </xf>
    <xf numFmtId="0" fontId="43" fillId="2" borderId="29" applyAlignment="1" pivotButton="0" quotePrefix="0" xfId="0">
      <alignment horizontal="right" vertical="center"/>
    </xf>
    <xf numFmtId="170" fontId="43" fillId="2" borderId="10" applyAlignment="1" pivotButton="0" quotePrefix="0" xfId="0">
      <alignment horizontal="right" vertical="center"/>
    </xf>
    <xf numFmtId="0" fontId="12" fillId="2" borderId="34" applyAlignment="1" applyProtection="1" pivotButton="0" quotePrefix="0" xfId="0">
      <alignment horizontal="center" vertical="center"/>
      <protection locked="1" hidden="1"/>
    </xf>
    <xf numFmtId="2" fontId="25" fillId="5" borderId="11" applyAlignment="1" applyProtection="1" pivotButton="0" quotePrefix="0" xfId="4">
      <alignment horizontal="center" vertical="center"/>
      <protection locked="1" hidden="1"/>
    </xf>
    <xf numFmtId="0" fontId="25" fillId="8" borderId="0" applyAlignment="1" pivotButton="0" quotePrefix="0" xfId="0">
      <alignment horizontal="center" vertical="center" wrapText="1"/>
    </xf>
    <xf numFmtId="164" fontId="25" fillId="2" borderId="0" pivotButton="0" quotePrefix="0" xfId="4"/>
    <xf numFmtId="172" fontId="25" fillId="2" borderId="0" applyProtection="1" pivotButton="0" quotePrefix="0" xfId="4">
      <protection locked="1" hidden="1"/>
    </xf>
    <xf numFmtId="164" fontId="25" fillId="2" borderId="0" applyAlignment="1" pivotButton="0" quotePrefix="0" xfId="4">
      <alignment horizontal="left" vertical="center"/>
    </xf>
    <xf numFmtId="164" fontId="25" fillId="11" borderId="12" applyAlignment="1" pivotButton="0" quotePrefix="0" xfId="4">
      <alignment horizontal="left" vertical="center"/>
    </xf>
    <xf numFmtId="172" fontId="25" fillId="11" borderId="4" applyProtection="1" pivotButton="0" quotePrefix="0" xfId="4">
      <protection locked="1" hidden="1"/>
    </xf>
    <xf numFmtId="0" fontId="50" fillId="3" borderId="0" applyAlignment="1" pivotButton="0" quotePrefix="0" xfId="0">
      <alignment vertical="top" wrapText="1"/>
    </xf>
    <xf numFmtId="0" fontId="51" fillId="3" borderId="0" applyAlignment="1" pivotButton="0" quotePrefix="0" xfId="0">
      <alignment vertical="top" wrapText="1"/>
    </xf>
    <xf numFmtId="0" fontId="26" fillId="3" borderId="0" applyAlignment="1" pivotButton="0" quotePrefix="0" xfId="0">
      <alignment vertical="top" wrapText="1"/>
    </xf>
    <xf numFmtId="0" fontId="52" fillId="3" borderId="0" applyAlignment="1" pivotButton="0" quotePrefix="0" xfId="0">
      <alignment vertical="top" wrapText="1"/>
    </xf>
    <xf numFmtId="17" fontId="16" fillId="3" borderId="0" applyAlignment="1" pivotButton="0" quotePrefix="0" xfId="0">
      <alignment horizontal="center" vertical="center"/>
    </xf>
    <xf numFmtId="0" fontId="55" fillId="2" borderId="0" applyAlignment="1" pivotButton="0" quotePrefix="0" xfId="0">
      <alignment vertical="center"/>
    </xf>
    <xf numFmtId="0" fontId="8" fillId="3" borderId="0" applyAlignment="1" pivotButton="0" quotePrefix="0" xfId="0">
      <alignment horizontal="left" vertical="top" wrapText="1"/>
    </xf>
    <xf numFmtId="0" fontId="8" fillId="14" borderId="0" applyAlignment="1" pivotButton="0" quotePrefix="0" xfId="0">
      <alignment vertical="top" wrapText="1"/>
    </xf>
    <xf numFmtId="0" fontId="25" fillId="8" borderId="0" applyAlignment="1" pivotButton="0" quotePrefix="0" xfId="0">
      <alignment horizontal="left" vertical="center" wrapText="1"/>
    </xf>
    <xf numFmtId="0" fontId="22" fillId="8" borderId="0" applyAlignment="1" pivotButton="0" quotePrefix="0" xfId="0">
      <alignment horizontal="left" vertical="top" wrapText="1"/>
    </xf>
    <xf numFmtId="164" fontId="49" fillId="2" borderId="0" pivotButton="0" quotePrefix="0" xfId="1"/>
    <xf numFmtId="164" fontId="6" fillId="2" borderId="0" applyAlignment="1" pivotButton="0" quotePrefix="0" xfId="1">
      <alignment horizontal="left" vertical="center"/>
    </xf>
    <xf numFmtId="164" fontId="5" fillId="2" borderId="0" applyAlignment="1" pivotButton="0" quotePrefix="0" xfId="1">
      <alignment horizontal="left" vertical="center"/>
    </xf>
    <xf numFmtId="0" fontId="56" fillId="2" borderId="0" applyAlignment="1" pivotButton="0" quotePrefix="0" xfId="1">
      <alignment horizontal="left" vertical="center"/>
    </xf>
    <xf numFmtId="164" fontId="57" fillId="2" borderId="0" pivotButton="0" quotePrefix="0" xfId="1"/>
    <xf numFmtId="164" fontId="57" fillId="2" borderId="0" applyAlignment="1" pivotButton="0" quotePrefix="0" xfId="1">
      <alignment horizontal="left"/>
    </xf>
    <xf numFmtId="164" fontId="57" fillId="2" borderId="0" pivotButton="0" quotePrefix="0" xfId="0"/>
    <xf numFmtId="164" fontId="57" fillId="2" borderId="0" pivotButton="0" quotePrefix="0" xfId="4"/>
    <xf numFmtId="164" fontId="58" fillId="2" borderId="0" pivotButton="0" quotePrefix="0" xfId="1"/>
    <xf numFmtId="164" fontId="59" fillId="2" borderId="0" pivotButton="0" quotePrefix="0" xfId="1"/>
    <xf numFmtId="164" fontId="57" fillId="2" borderId="0" applyAlignment="1" pivotButton="0" quotePrefix="0" xfId="1">
      <alignment horizontal="right" vertical="top" wrapText="1"/>
    </xf>
    <xf numFmtId="164" fontId="57" fillId="2" borderId="0" applyAlignment="1" pivotButton="0" quotePrefix="0" xfId="1">
      <alignment vertical="top" wrapText="1"/>
    </xf>
    <xf numFmtId="0" fontId="6" fillId="16" borderId="1" applyAlignment="1" pivotButton="0" quotePrefix="0" xfId="0">
      <alignment horizontal="left"/>
    </xf>
    <xf numFmtId="0" fontId="6" fillId="0" borderId="0" pivotButton="0" quotePrefix="0" xfId="0"/>
    <xf numFmtId="0" fontId="0" fillId="0" borderId="1" applyAlignment="1" pivotButton="0" quotePrefix="0" xfId="0">
      <alignment horizontal="left"/>
    </xf>
    <xf numFmtId="164" fontId="0" fillId="0" borderId="1" applyAlignment="1" pivotButton="0" quotePrefix="0" xfId="1">
      <alignment horizontal="left"/>
    </xf>
    <xf numFmtId="0" fontId="0" fillId="16" borderId="1" applyAlignment="1" pivotButton="0" quotePrefix="0" xfId="0">
      <alignment horizontal="left"/>
    </xf>
    <xf numFmtId="0" fontId="0" fillId="16" borderId="1" applyAlignment="1" pivotButton="0" quotePrefix="0" xfId="0">
      <alignment horizontal="right"/>
    </xf>
    <xf numFmtId="0" fontId="54" fillId="0" borderId="0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1">
      <alignment horizontal="left"/>
    </xf>
    <xf numFmtId="0" fontId="60" fillId="0" borderId="1" pivotButton="0" quotePrefix="0" xfId="0"/>
    <xf numFmtId="164" fontId="60" fillId="0" borderId="1" applyAlignment="1" pivotButton="0" quotePrefix="0" xfId="0">
      <alignment horizontal="left"/>
    </xf>
    <xf numFmtId="167" fontId="10" fillId="14" borderId="2" applyAlignment="1" pivotButton="0" quotePrefix="0" xfId="3">
      <alignment vertical="center"/>
    </xf>
    <xf numFmtId="167" fontId="10" fillId="14" borderId="0" applyAlignment="1" pivotButton="0" quotePrefix="0" xfId="3">
      <alignment vertical="center"/>
    </xf>
    <xf numFmtId="0" fontId="4" fillId="2" borderId="8" applyAlignment="1" pivotButton="0" quotePrefix="0" xfId="1">
      <alignment horizontal="left" vertical="center"/>
    </xf>
    <xf numFmtId="9" fontId="4" fillId="2" borderId="35" applyAlignment="1" pivotButton="0" quotePrefix="0" xfId="1">
      <alignment horizontal="left" vertical="center"/>
    </xf>
    <xf numFmtId="164" fontId="4" fillId="2" borderId="7" applyAlignment="1" pivotButton="0" quotePrefix="0" xfId="1">
      <alignment horizontal="left"/>
    </xf>
    <xf numFmtId="171" fontId="4" fillId="4" borderId="1" applyAlignment="1" pivotButton="0" quotePrefix="0" xfId="0">
      <alignment horizontal="center"/>
    </xf>
    <xf numFmtId="164" fontId="4" fillId="12" borderId="1" applyAlignment="1" pivotButton="0" quotePrefix="0" xfId="1">
      <alignment horizontal="center"/>
    </xf>
    <xf numFmtId="0" fontId="0" fillId="0" borderId="17" applyAlignment="1" pivotButton="0" quotePrefix="0" xfId="0">
      <alignment horizontal="center"/>
    </xf>
    <xf numFmtId="0" fontId="25" fillId="0" borderId="8" applyAlignment="1" pivotButton="0" quotePrefix="0" xfId="0">
      <alignment horizontal="center"/>
    </xf>
    <xf numFmtId="0" fontId="25" fillId="0" borderId="24" applyAlignment="1" pivotButton="0" quotePrefix="0" xfId="0">
      <alignment horizontal="center"/>
    </xf>
    <xf numFmtId="0" fontId="61" fillId="4" borderId="1" applyAlignment="1" pivotButton="0" quotePrefix="0" xfId="0">
      <alignment horizontal="center" vertical="center"/>
    </xf>
    <xf numFmtId="164" fontId="61" fillId="4" borderId="1" applyAlignment="1" pivotButton="0" quotePrefix="0" xfId="0">
      <alignment horizontal="center" vertical="center"/>
    </xf>
    <xf numFmtId="0" fontId="62" fillId="3" borderId="0" applyAlignment="1" pivotButton="0" quotePrefix="0" xfId="0">
      <alignment horizontal="center" vertical="center"/>
    </xf>
    <xf numFmtId="0" fontId="62" fillId="3" borderId="0" applyAlignment="1" pivotButton="0" quotePrefix="0" xfId="0">
      <alignment vertical="center"/>
    </xf>
    <xf numFmtId="0" fontId="62" fillId="3" borderId="0" applyAlignment="1" pivotButton="0" quotePrefix="0" xfId="0">
      <alignment horizontal="left" vertical="center"/>
    </xf>
    <xf numFmtId="0" fontId="63" fillId="4" borderId="1" applyAlignment="1" pivotButton="0" quotePrefix="0" xfId="0">
      <alignment horizontal="center"/>
    </xf>
    <xf numFmtId="0" fontId="65" fillId="3" borderId="1" applyAlignment="1" pivotButton="0" quotePrefix="0" xfId="0">
      <alignment horizontal="center"/>
    </xf>
    <xf numFmtId="164" fontId="65" fillId="3" borderId="1" applyAlignment="1" pivotButton="0" quotePrefix="0" xfId="0">
      <alignment horizontal="center"/>
    </xf>
    <xf numFmtId="0" fontId="65" fillId="3" borderId="0" applyAlignment="1" pivotButton="0" quotePrefix="0" xfId="0">
      <alignment horizontal="center"/>
    </xf>
    <xf numFmtId="0" fontId="65" fillId="3" borderId="0" pivotButton="0" quotePrefix="0" xfId="0"/>
    <xf numFmtId="164" fontId="65" fillId="3" borderId="0" applyAlignment="1" pivotButton="0" quotePrefix="0" xfId="0">
      <alignment horizontal="left"/>
    </xf>
    <xf numFmtId="0" fontId="65" fillId="3" borderId="0" applyAlignment="1" pivotButton="0" quotePrefix="0" xfId="0">
      <alignment horizontal="left"/>
    </xf>
    <xf numFmtId="164" fontId="65" fillId="3" borderId="1" applyAlignment="1" pivotButton="0" quotePrefix="0" xfId="1">
      <alignment horizontal="center"/>
    </xf>
    <xf numFmtId="0" fontId="65" fillId="3" borderId="0" applyAlignment="1" pivotButton="0" quotePrefix="0" xfId="0">
      <alignment vertical="center" wrapText="1"/>
    </xf>
    <xf numFmtId="164" fontId="63" fillId="4" borderId="1" applyAlignment="1" pivotButton="0" quotePrefix="0" xfId="0">
      <alignment horizontal="center"/>
    </xf>
    <xf numFmtId="0" fontId="63" fillId="4" borderId="15" applyAlignment="1" pivotButton="0" quotePrefix="0" xfId="0">
      <alignment horizontal="center"/>
    </xf>
    <xf numFmtId="0" fontId="65" fillId="3" borderId="15" applyAlignment="1" pivotButton="0" quotePrefix="0" xfId="0">
      <alignment horizontal="center"/>
    </xf>
    <xf numFmtId="164" fontId="65" fillId="3" borderId="15" applyAlignment="1" pivotButton="0" quotePrefix="0" xfId="0">
      <alignment horizontal="center"/>
    </xf>
    <xf numFmtId="0" fontId="63" fillId="4" borderId="16" applyAlignment="1" pivotButton="0" quotePrefix="0" xfId="0">
      <alignment horizontal="center"/>
    </xf>
    <xf numFmtId="0" fontId="63" fillId="4" borderId="17" applyAlignment="1" pivotButton="0" quotePrefix="0" xfId="0">
      <alignment horizontal="center"/>
    </xf>
    <xf numFmtId="0" fontId="63" fillId="4" borderId="18" applyAlignment="1" pivotButton="0" quotePrefix="0" xfId="0">
      <alignment horizontal="center"/>
    </xf>
    <xf numFmtId="0" fontId="65" fillId="3" borderId="17" applyAlignment="1" pivotButton="0" quotePrefix="0" xfId="0">
      <alignment horizontal="center"/>
    </xf>
    <xf numFmtId="164" fontId="65" fillId="3" borderId="17" applyAlignment="1" pivotButton="0" quotePrefix="0" xfId="0">
      <alignment horizontal="center"/>
    </xf>
    <xf numFmtId="164" fontId="65" fillId="3" borderId="17" applyAlignment="1" pivotButton="0" quotePrefix="0" xfId="1">
      <alignment horizontal="center"/>
    </xf>
    <xf numFmtId="164" fontId="65" fillId="3" borderId="18" applyAlignment="1" pivotButton="0" quotePrefix="0" xfId="0">
      <alignment horizontal="center"/>
    </xf>
    <xf numFmtId="0" fontId="63" fillId="4" borderId="20" applyAlignment="1" pivotButton="0" quotePrefix="0" xfId="0">
      <alignment horizontal="center"/>
    </xf>
    <xf numFmtId="164" fontId="65" fillId="3" borderId="20" applyAlignment="1" pivotButton="0" quotePrefix="0" xfId="0">
      <alignment horizontal="center"/>
    </xf>
    <xf numFmtId="0" fontId="63" fillId="4" borderId="22" applyAlignment="1" pivotButton="0" quotePrefix="0" xfId="0">
      <alignment horizontal="center"/>
    </xf>
    <xf numFmtId="0" fontId="63" fillId="4" borderId="23" applyAlignment="1" pivotButton="0" quotePrefix="0" xfId="0">
      <alignment horizontal="center"/>
    </xf>
    <xf numFmtId="164" fontId="65" fillId="3" borderId="22" applyAlignment="1" pivotButton="0" quotePrefix="0" xfId="0">
      <alignment horizontal="center"/>
    </xf>
    <xf numFmtId="164" fontId="65" fillId="3" borderId="22" applyAlignment="1" pivotButton="0" quotePrefix="0" xfId="1">
      <alignment horizontal="center"/>
    </xf>
    <xf numFmtId="0" fontId="65" fillId="3" borderId="22" applyAlignment="1" pivotButton="0" quotePrefix="0" xfId="0">
      <alignment horizontal="center"/>
    </xf>
    <xf numFmtId="164" fontId="65" fillId="3" borderId="23" applyAlignment="1" pivotButton="0" quotePrefix="0" xfId="0">
      <alignment horizontal="center"/>
    </xf>
    <xf numFmtId="0" fontId="63" fillId="10" borderId="16" applyAlignment="1" pivotButton="0" quotePrefix="0" xfId="0">
      <alignment horizontal="center"/>
    </xf>
    <xf numFmtId="0" fontId="63" fillId="10" borderId="19" applyAlignment="1" pivotButton="0" quotePrefix="0" xfId="0">
      <alignment horizontal="center"/>
    </xf>
    <xf numFmtId="0" fontId="63" fillId="4" borderId="0" applyAlignment="1" pivotButton="0" quotePrefix="0" xfId="0">
      <alignment horizontal="left"/>
    </xf>
    <xf numFmtId="0" fontId="63" fillId="4" borderId="0" applyAlignment="1" pivotButton="0" quotePrefix="0" xfId="0">
      <alignment horizontal="center"/>
    </xf>
    <xf numFmtId="164" fontId="63" fillId="4" borderId="0" applyAlignment="1" pivotButton="0" quotePrefix="0" xfId="0">
      <alignment horizontal="center"/>
    </xf>
    <xf numFmtId="0" fontId="64" fillId="3" borderId="0" applyAlignment="1" pivotButton="0" quotePrefix="0" xfId="0">
      <alignment horizontal="center"/>
    </xf>
    <xf numFmtId="164" fontId="65" fillId="3" borderId="0" applyAlignment="1" pivotButton="0" quotePrefix="0" xfId="0">
      <alignment horizontal="center"/>
    </xf>
    <xf numFmtId="0" fontId="69" fillId="2" borderId="0" applyAlignment="1" pivotButton="0" quotePrefix="0" xfId="0">
      <alignment horizontal="center" vertical="center"/>
    </xf>
    <xf numFmtId="0" fontId="70" fillId="3" borderId="0" applyAlignment="1" pivotButton="0" quotePrefix="0" xfId="0">
      <alignment vertical="center"/>
    </xf>
    <xf numFmtId="1" fontId="71" fillId="3" borderId="0" applyAlignment="1" pivotButton="0" quotePrefix="0" xfId="0">
      <alignment horizontal="center" vertical="center"/>
    </xf>
    <xf numFmtId="164" fontId="71" fillId="3" borderId="0" applyAlignment="1" pivotButton="0" quotePrefix="0" xfId="0">
      <alignment horizontal="center" vertical="center"/>
    </xf>
    <xf numFmtId="0" fontId="71" fillId="3" borderId="0" applyAlignment="1" pivotButton="0" quotePrefix="0" xfId="0">
      <alignment horizontal="center" vertical="center"/>
    </xf>
    <xf numFmtId="2" fontId="71" fillId="3" borderId="0" applyAlignment="1" pivotButton="0" quotePrefix="0" xfId="0">
      <alignment horizontal="center" vertical="center"/>
    </xf>
    <xf numFmtId="165" fontId="71" fillId="3" borderId="0" applyAlignment="1" pivotButton="0" quotePrefix="0" xfId="0">
      <alignment horizontal="center" vertical="center"/>
    </xf>
    <xf numFmtId="0" fontId="71" fillId="0" borderId="0" applyAlignment="1" pivotButton="0" quotePrefix="0" xfId="0">
      <alignment vertical="center"/>
    </xf>
    <xf numFmtId="0" fontId="70" fillId="0" borderId="0" applyAlignment="1" pivotButton="0" quotePrefix="0" xfId="0">
      <alignment vertical="center"/>
    </xf>
    <xf numFmtId="167" fontId="70" fillId="0" borderId="0" applyAlignment="1" pivotButton="0" quotePrefix="0" xfId="0">
      <alignment vertical="center"/>
    </xf>
    <xf numFmtId="165" fontId="71" fillId="0" borderId="0" applyAlignment="1" pivotButton="0" quotePrefix="0" xfId="0">
      <alignment vertical="center"/>
    </xf>
    <xf numFmtId="0" fontId="72" fillId="0" borderId="0" applyAlignment="1" pivotButton="0" quotePrefix="0" xfId="0">
      <alignment vertical="center"/>
    </xf>
    <xf numFmtId="165" fontId="73" fillId="0" borderId="0" applyAlignment="1" pivotButton="0" quotePrefix="0" xfId="0">
      <alignment vertical="center"/>
    </xf>
    <xf numFmtId="164" fontId="72" fillId="0" borderId="0" applyAlignment="1" pivotButton="0" quotePrefix="0" xfId="0">
      <alignment vertical="center"/>
    </xf>
    <xf numFmtId="1" fontId="72" fillId="0" borderId="0" applyAlignment="1" pivotButton="0" quotePrefix="0" xfId="0">
      <alignment horizontal="center" vertical="center"/>
    </xf>
    <xf numFmtId="165" fontId="72" fillId="0" borderId="0" applyAlignment="1" pivotButton="0" quotePrefix="0" xfId="0">
      <alignment horizontal="center" vertical="center" wrapText="1"/>
    </xf>
    <xf numFmtId="164" fontId="73" fillId="0" borderId="0" applyAlignment="1" pivotButton="0" quotePrefix="0" xfId="0">
      <alignment horizontal="center" vertical="center"/>
    </xf>
    <xf numFmtId="0" fontId="72" fillId="0" borderId="0" applyAlignment="1" pivotButton="0" quotePrefix="0" xfId="0">
      <alignment horizontal="center" vertical="center"/>
    </xf>
    <xf numFmtId="165" fontId="72" fillId="0" borderId="0" applyAlignment="1" pivotButton="0" quotePrefix="0" xfId="0">
      <alignment horizontal="center" vertical="center"/>
    </xf>
    <xf numFmtId="164" fontId="72" fillId="0" borderId="0" applyAlignment="1" pivotButton="0" quotePrefix="0" xfId="0">
      <alignment horizontal="center" vertical="center"/>
    </xf>
    <xf numFmtId="164" fontId="70" fillId="0" borderId="0" applyAlignment="1" pivotButton="0" quotePrefix="0" xfId="0">
      <alignment horizontal="center" vertical="center"/>
    </xf>
    <xf numFmtId="167" fontId="71" fillId="0" borderId="0" applyAlignment="1" pivotButton="0" quotePrefix="0" xfId="0">
      <alignment vertical="center"/>
    </xf>
    <xf numFmtId="0" fontId="74" fillId="0" borderId="0" applyAlignment="1" pivotButton="0" quotePrefix="0" xfId="0">
      <alignment vertical="center"/>
    </xf>
    <xf numFmtId="0" fontId="73" fillId="0" borderId="0" applyAlignment="1" pivotButton="0" quotePrefix="0" xfId="0">
      <alignment vertical="center" wrapText="1"/>
    </xf>
    <xf numFmtId="164" fontId="73" fillId="0" borderId="0" applyAlignment="1" pivotButton="0" quotePrefix="0" xfId="0">
      <alignment vertical="center"/>
    </xf>
    <xf numFmtId="0" fontId="71" fillId="0" borderId="0" applyAlignment="1" pivotButton="0" quotePrefix="0" xfId="0">
      <alignment horizontal="center" vertical="center"/>
    </xf>
    <xf numFmtId="165" fontId="72" fillId="0" borderId="0" applyAlignment="1" pivotButton="0" quotePrefix="0" xfId="0">
      <alignment vertical="center" wrapText="1"/>
    </xf>
    <xf numFmtId="2" fontId="72" fillId="0" borderId="0" applyAlignment="1" pivotButton="0" quotePrefix="0" xfId="0">
      <alignment vertical="center"/>
    </xf>
    <xf numFmtId="168" fontId="71" fillId="0" borderId="0" applyAlignment="1" pivotButton="0" quotePrefix="0" xfId="0">
      <alignment vertical="center"/>
    </xf>
    <xf numFmtId="0" fontId="73" fillId="0" borderId="0" applyAlignment="1" pivotButton="0" quotePrefix="0" xfId="0">
      <alignment vertical="center"/>
    </xf>
    <xf numFmtId="164" fontId="73" fillId="0" borderId="0" applyAlignment="1" pivotButton="0" quotePrefix="0" xfId="1">
      <alignment horizontal="center" vertical="center"/>
    </xf>
    <xf numFmtId="164" fontId="71" fillId="0" borderId="0" applyAlignment="1" pivotButton="0" quotePrefix="0" xfId="1">
      <alignment vertical="center"/>
    </xf>
    <xf numFmtId="165" fontId="71" fillId="0" borderId="0" applyAlignment="1" pivotButton="0" quotePrefix="0" xfId="0">
      <alignment horizontal="center" vertical="center"/>
    </xf>
    <xf numFmtId="164" fontId="73" fillId="0" borderId="0" applyAlignment="1" pivotButton="0" quotePrefix="0" xfId="0">
      <alignment horizontal="center" vertical="center" wrapText="1"/>
    </xf>
    <xf numFmtId="1" fontId="71" fillId="0" borderId="0" applyAlignment="1" pivotButton="0" quotePrefix="0" xfId="0">
      <alignment horizontal="center" vertical="center"/>
    </xf>
    <xf numFmtId="164" fontId="71" fillId="0" borderId="0" applyAlignment="1" pivotButton="0" quotePrefix="0" xfId="0">
      <alignment horizontal="center" vertical="center"/>
    </xf>
    <xf numFmtId="0" fontId="76" fillId="6" borderId="0" applyAlignment="1" pivotButton="0" quotePrefix="0" xfId="0">
      <alignment horizontal="center" vertical="center"/>
    </xf>
    <xf numFmtId="164" fontId="76" fillId="6" borderId="0" applyAlignment="1" pivotButton="0" quotePrefix="0" xfId="0">
      <alignment horizontal="center" vertical="center"/>
    </xf>
    <xf numFmtId="9" fontId="76" fillId="6" borderId="0" applyAlignment="1" pivotButton="0" quotePrefix="0" xfId="0">
      <alignment horizontal="center" vertical="center"/>
    </xf>
    <xf numFmtId="164" fontId="75" fillId="8" borderId="0" applyAlignment="1" pivotButton="0" quotePrefix="0" xfId="0">
      <alignment horizontal="center" vertical="center"/>
    </xf>
    <xf numFmtId="1" fontId="70" fillId="5" borderId="0" applyAlignment="1" pivotButton="0" quotePrefix="0" xfId="0">
      <alignment horizontal="center" vertical="center" wrapText="1"/>
    </xf>
    <xf numFmtId="1" fontId="70" fillId="5" borderId="0" applyAlignment="1" pivotButton="0" quotePrefix="0" xfId="0">
      <alignment horizontal="center" vertical="center"/>
    </xf>
    <xf numFmtId="164" fontId="70" fillId="5" borderId="0" applyAlignment="1" pivotButton="0" quotePrefix="0" xfId="0">
      <alignment horizontal="center" vertical="center" wrapText="1"/>
    </xf>
    <xf numFmtId="0" fontId="70" fillId="5" borderId="0" applyAlignment="1" pivotButton="0" quotePrefix="0" xfId="0">
      <alignment horizontal="center" vertical="center" wrapText="1"/>
    </xf>
    <xf numFmtId="2" fontId="70" fillId="5" borderId="0" applyAlignment="1" pivotButton="0" quotePrefix="0" xfId="0">
      <alignment horizontal="center" vertical="center" wrapText="1"/>
    </xf>
    <xf numFmtId="165" fontId="70" fillId="5" borderId="0" applyAlignment="1" pivotButton="0" quotePrefix="0" xfId="0">
      <alignment horizontal="center" vertical="center" wrapText="1"/>
    </xf>
    <xf numFmtId="164" fontId="70" fillId="5" borderId="0" applyAlignment="1" pivotButton="0" quotePrefix="0" xfId="0">
      <alignment horizontal="center" vertical="center"/>
    </xf>
    <xf numFmtId="168" fontId="70" fillId="0" borderId="0" applyAlignment="1" pivotButton="0" quotePrefix="0" xfId="0">
      <alignment vertical="center"/>
    </xf>
    <xf numFmtId="0" fontId="70" fillId="0" borderId="0" applyAlignment="1" pivotButton="0" quotePrefix="0" xfId="0">
      <alignment horizontal="center" vertical="center" wrapText="1"/>
    </xf>
    <xf numFmtId="1" fontId="70" fillId="0" borderId="0" applyAlignment="1" pivotButton="0" quotePrefix="0" xfId="0">
      <alignment horizontal="center" vertical="center" wrapText="1"/>
    </xf>
    <xf numFmtId="1" fontId="76" fillId="0" borderId="0" applyAlignment="1" pivotButton="0" quotePrefix="0" xfId="0">
      <alignment horizontal="center" vertical="center" wrapText="1"/>
    </xf>
    <xf numFmtId="164" fontId="70" fillId="0" borderId="0" applyAlignment="1" pivotButton="0" quotePrefix="0" xfId="0">
      <alignment horizontal="center" vertical="center" wrapText="1"/>
    </xf>
    <xf numFmtId="2" fontId="70" fillId="0" borderId="0" applyAlignment="1" pivotButton="0" quotePrefix="0" xfId="0">
      <alignment horizontal="center" vertical="center" wrapText="1"/>
    </xf>
    <xf numFmtId="165" fontId="70" fillId="0" borderId="0" applyAlignment="1" pivotButton="0" quotePrefix="0" xfId="0">
      <alignment horizontal="center" vertical="center" wrapText="1"/>
    </xf>
    <xf numFmtId="1" fontId="76" fillId="6" borderId="0" applyAlignment="1" pivotButton="0" quotePrefix="0" xfId="0">
      <alignment horizontal="center" vertical="center" wrapText="1"/>
    </xf>
    <xf numFmtId="0" fontId="76" fillId="6" borderId="0" applyAlignment="1" pivotButton="0" quotePrefix="0" xfId="0">
      <alignment horizontal="center" vertical="center" wrapText="1"/>
    </xf>
    <xf numFmtId="164" fontId="70" fillId="6" borderId="0" applyAlignment="1" pivotButton="0" quotePrefix="0" xfId="0">
      <alignment horizontal="center" vertical="center" wrapText="1"/>
    </xf>
    <xf numFmtId="164" fontId="76" fillId="6" borderId="0" applyAlignment="1" pivotButton="0" quotePrefix="0" xfId="1">
      <alignment horizontal="center" vertical="center" wrapText="1"/>
    </xf>
    <xf numFmtId="0" fontId="78" fillId="5" borderId="0" applyAlignment="1" pivotButton="0" quotePrefix="0" xfId="0">
      <alignment vertical="center" wrapText="1"/>
    </xf>
    <xf numFmtId="0" fontId="78" fillId="5" borderId="0" applyAlignment="1" pivotButton="0" quotePrefix="0" xfId="0">
      <alignment horizontal="center" vertical="center" wrapText="1"/>
    </xf>
    <xf numFmtId="1" fontId="78" fillId="5" borderId="0" applyAlignment="1" pivotButton="0" quotePrefix="0" xfId="0">
      <alignment horizontal="center" vertical="center" wrapText="1"/>
    </xf>
    <xf numFmtId="164" fontId="79" fillId="5" borderId="0" applyAlignment="1" pivotButton="0" quotePrefix="0" xfId="0">
      <alignment horizontal="center" vertical="center" wrapText="1"/>
    </xf>
    <xf numFmtId="0" fontId="71" fillId="5" borderId="0" applyAlignment="1" pivotButton="0" quotePrefix="0" xfId="0">
      <alignment horizontal="center" vertical="center"/>
    </xf>
    <xf numFmtId="165" fontId="71" fillId="5" borderId="0" applyAlignment="1" pivotButton="0" quotePrefix="0" xfId="0">
      <alignment horizontal="center" vertical="center"/>
    </xf>
    <xf numFmtId="164" fontId="71" fillId="5" borderId="0" applyAlignment="1" pivotButton="0" quotePrefix="0" xfId="0">
      <alignment horizontal="center" vertical="center"/>
    </xf>
    <xf numFmtId="0" fontId="71" fillId="3" borderId="0" applyAlignment="1" pivotButton="0" quotePrefix="0" xfId="0">
      <alignment vertical="top" wrapText="1"/>
    </xf>
    <xf numFmtId="1" fontId="80" fillId="2" borderId="1" applyAlignment="1" pivotButton="0" quotePrefix="0" xfId="0">
      <alignment horizontal="center" vertical="center" wrapText="1"/>
    </xf>
    <xf numFmtId="0" fontId="80" fillId="4" borderId="1" applyAlignment="1" applyProtection="1" pivotButton="0" quotePrefix="0" xfId="0">
      <alignment horizontal="center" vertical="center" wrapText="1"/>
      <protection locked="0" hidden="0"/>
    </xf>
    <xf numFmtId="0" fontId="80" fillId="4" borderId="1" applyAlignment="1" pivotButton="0" quotePrefix="0" xfId="0">
      <alignment horizontal="center" wrapText="1"/>
    </xf>
    <xf numFmtId="0" fontId="77" fillId="2" borderId="1" applyAlignment="1" pivotButton="0" quotePrefix="0" xfId="0">
      <alignment horizontal="center" vertical="center" wrapText="1"/>
    </xf>
    <xf numFmtId="164" fontId="81" fillId="3" borderId="0" applyAlignment="1" pivotButton="0" quotePrefix="0" xfId="4">
      <alignment horizontal="center" vertical="top" wrapText="1"/>
    </xf>
    <xf numFmtId="164" fontId="81" fillId="3" borderId="0" applyAlignment="1" pivotButton="0" quotePrefix="0" xfId="1">
      <alignment horizontal="center" vertical="center" wrapText="1"/>
    </xf>
    <xf numFmtId="9" fontId="80" fillId="4" borderId="1" applyAlignment="1" pivotButton="0" quotePrefix="0" xfId="0">
      <alignment horizontal="center" vertical="center" wrapText="1"/>
    </xf>
    <xf numFmtId="164" fontId="70" fillId="3" borderId="0" applyAlignment="1" pivotButton="0" quotePrefix="0" xfId="1">
      <alignment horizontal="center" vertical="center" wrapText="1"/>
    </xf>
    <xf numFmtId="164" fontId="81" fillId="3" borderId="0" applyAlignment="1" pivotButton="0" quotePrefix="0" xfId="0">
      <alignment horizontal="center" vertical="center"/>
    </xf>
    <xf numFmtId="1" fontId="80" fillId="3" borderId="1" applyAlignment="1" pivotButton="0" quotePrefix="0" xfId="0">
      <alignment horizontal="center" vertical="center" wrapText="1"/>
    </xf>
    <xf numFmtId="0" fontId="80" fillId="3" borderId="1" applyAlignment="1" pivotButton="0" quotePrefix="0" xfId="0">
      <alignment horizontal="center" vertical="center" wrapText="1"/>
    </xf>
    <xf numFmtId="0" fontId="77" fillId="3" borderId="1" applyAlignment="1" pivotButton="0" quotePrefix="0" xfId="0">
      <alignment horizontal="center" vertical="center"/>
    </xf>
    <xf numFmtId="0" fontId="81" fillId="3" borderId="0" applyAlignment="1" pivotButton="0" quotePrefix="0" xfId="0">
      <alignment vertical="center" wrapText="1"/>
    </xf>
    <xf numFmtId="164" fontId="71" fillId="0" borderId="0" applyAlignment="1" pivotButton="0" quotePrefix="0" xfId="0">
      <alignment vertical="center"/>
    </xf>
    <xf numFmtId="0" fontId="71" fillId="3" borderId="1" applyAlignment="1" pivotButton="0" quotePrefix="0" xfId="0">
      <alignment vertical="center"/>
    </xf>
    <xf numFmtId="0" fontId="71" fillId="3" borderId="2" applyAlignment="1" pivotButton="0" quotePrefix="0" xfId="0">
      <alignment vertical="center" wrapText="1"/>
    </xf>
    <xf numFmtId="0" fontId="71" fillId="3" borderId="0" applyAlignment="1" pivotButton="0" quotePrefix="0" xfId="0">
      <alignment vertical="center" wrapText="1"/>
    </xf>
    <xf numFmtId="0" fontId="70" fillId="3" borderId="0" applyAlignment="1" pivotButton="0" quotePrefix="0" xfId="0">
      <alignment vertical="center" wrapText="1"/>
    </xf>
    <xf numFmtId="1" fontId="70" fillId="3" borderId="0" applyAlignment="1" pivotButton="0" quotePrefix="0" xfId="0">
      <alignment horizontal="center" vertical="center" wrapText="1"/>
    </xf>
    <xf numFmtId="1" fontId="81" fillId="3" borderId="0" applyAlignment="1" pivotButton="0" quotePrefix="0" xfId="0">
      <alignment horizontal="center" vertical="center" wrapText="1"/>
    </xf>
    <xf numFmtId="1" fontId="80" fillId="4" borderId="1" applyAlignment="1" pivotButton="0" quotePrefix="0" xfId="0">
      <alignment horizontal="center" vertical="center" wrapText="1"/>
    </xf>
    <xf numFmtId="0" fontId="80" fillId="3" borderId="2" applyAlignment="1" pivotButton="0" quotePrefix="0" xfId="0">
      <alignment horizontal="center" vertical="center" wrapText="1"/>
    </xf>
    <xf numFmtId="0" fontId="71" fillId="3" borderId="0" applyAlignment="1" pivotButton="0" quotePrefix="0" xfId="0">
      <alignment vertical="center"/>
    </xf>
    <xf numFmtId="1" fontId="82" fillId="3" borderId="0" applyAlignment="1" pivotButton="0" quotePrefix="0" xfId="0">
      <alignment horizontal="center" vertical="center" wrapText="1"/>
    </xf>
    <xf numFmtId="1" fontId="77" fillId="2" borderId="1" applyAlignment="1" pivotButton="0" quotePrefix="0" xfId="0">
      <alignment horizontal="center" vertical="center" wrapText="1"/>
    </xf>
    <xf numFmtId="0" fontId="80" fillId="3" borderId="0" applyAlignment="1" pivotButton="0" quotePrefix="0" xfId="0">
      <alignment horizontal="center" vertical="center"/>
    </xf>
    <xf numFmtId="0" fontId="81" fillId="3" borderId="0" applyAlignment="1" pivotButton="0" quotePrefix="0" xfId="0">
      <alignment horizontal="center" vertical="center"/>
    </xf>
    <xf numFmtId="2" fontId="80" fillId="3" borderId="0" applyAlignment="1" pivotButton="0" quotePrefix="0" xfId="0">
      <alignment horizontal="center" vertical="center"/>
    </xf>
    <xf numFmtId="0" fontId="80" fillId="3" borderId="0" applyAlignment="1" pivotButton="0" quotePrefix="0" xfId="0">
      <alignment horizontal="left" vertical="center" wrapText="1"/>
    </xf>
    <xf numFmtId="0" fontId="81" fillId="3" borderId="6" applyAlignment="1" pivotButton="0" quotePrefix="0" xfId="0">
      <alignment horizontal="center" vertical="center"/>
    </xf>
    <xf numFmtId="2" fontId="83" fillId="3" borderId="6" applyAlignment="1" pivotButton="0" quotePrefix="0" xfId="0">
      <alignment horizontal="center" vertical="center"/>
    </xf>
    <xf numFmtId="2" fontId="81" fillId="3" borderId="0" applyAlignment="1" pivotButton="0" quotePrefix="0" xfId="0">
      <alignment horizontal="center" vertical="center" wrapText="1"/>
    </xf>
    <xf numFmtId="3" fontId="80" fillId="3" borderId="0" applyAlignment="1" pivotButton="0" quotePrefix="0" xfId="0">
      <alignment horizontal="center" vertical="center" wrapText="1"/>
    </xf>
    <xf numFmtId="173" fontId="80" fillId="3" borderId="0" applyAlignment="1" pivotButton="0" quotePrefix="0" xfId="0">
      <alignment horizontal="center" vertical="center" wrapText="1"/>
    </xf>
    <xf numFmtId="2" fontId="80" fillId="3" borderId="0" applyAlignment="1" pivotButton="0" quotePrefix="0" xfId="0">
      <alignment horizontal="center" vertical="center" wrapText="1"/>
    </xf>
    <xf numFmtId="0" fontId="70" fillId="3" borderId="0" applyAlignment="1" pivotButton="0" quotePrefix="0" xfId="0">
      <alignment horizontal="center" vertical="center" wrapText="1"/>
    </xf>
    <xf numFmtId="166" fontId="71" fillId="0" borderId="0" applyAlignment="1" pivotButton="0" quotePrefix="0" xfId="0">
      <alignment vertical="center"/>
    </xf>
    <xf numFmtId="0" fontId="83" fillId="3" borderId="6" applyAlignment="1" pivotButton="0" quotePrefix="0" xfId="0">
      <alignment horizontal="center" vertical="center"/>
    </xf>
    <xf numFmtId="0" fontId="70" fillId="0" borderId="0" applyAlignment="1" pivotButton="0" quotePrefix="0" xfId="0">
      <alignment vertical="center" wrapText="1"/>
    </xf>
    <xf numFmtId="164" fontId="70" fillId="0" borderId="0" applyAlignment="1" pivotButton="0" quotePrefix="0" xfId="1">
      <alignment horizontal="center" vertical="center" wrapText="1"/>
    </xf>
    <xf numFmtId="9" fontId="70" fillId="0" borderId="0" applyAlignment="1" pivotButton="0" quotePrefix="0" xfId="0">
      <alignment horizontal="center" vertical="center" wrapText="1"/>
    </xf>
    <xf numFmtId="164" fontId="76" fillId="6" borderId="0" applyAlignment="1" pivotButton="0" quotePrefix="0" xfId="0">
      <alignment horizontal="center" vertical="center" wrapText="1"/>
    </xf>
    <xf numFmtId="173" fontId="70" fillId="4" borderId="1" applyAlignment="1" pivotButton="0" quotePrefix="0" xfId="0">
      <alignment horizontal="center" vertical="center" wrapText="1"/>
    </xf>
    <xf numFmtId="0" fontId="70" fillId="4" borderId="1" applyAlignment="1" pivotButton="0" quotePrefix="0" xfId="0">
      <alignment vertical="center" wrapText="1"/>
    </xf>
    <xf numFmtId="164" fontId="81" fillId="3" borderId="0" applyAlignment="1" pivotButton="0" quotePrefix="0" xfId="0">
      <alignment horizontal="center" vertical="center" wrapText="1"/>
    </xf>
    <xf numFmtId="1" fontId="70" fillId="4" borderId="1" applyAlignment="1" pivotButton="0" quotePrefix="0" xfId="0">
      <alignment horizontal="center" vertical="center" wrapText="1"/>
    </xf>
    <xf numFmtId="0" fontId="71" fillId="0" borderId="0" applyAlignment="1" pivotButton="0" quotePrefix="0" xfId="0">
      <alignment vertical="center" wrapText="1"/>
    </xf>
    <xf numFmtId="1" fontId="71" fillId="0" borderId="0" applyAlignment="1" pivotButton="0" quotePrefix="0" xfId="0">
      <alignment horizontal="center" vertical="center" wrapText="1"/>
    </xf>
    <xf numFmtId="164" fontId="71" fillId="0" borderId="0" applyAlignment="1" pivotButton="0" quotePrefix="0" xfId="0">
      <alignment horizontal="center" vertical="center" wrapText="1"/>
    </xf>
    <xf numFmtId="166" fontId="70" fillId="0" borderId="0" applyAlignment="1" pivotButton="0" quotePrefix="0" xfId="0">
      <alignment horizontal="center" vertical="center" wrapText="1"/>
    </xf>
    <xf numFmtId="165" fontId="82" fillId="3" borderId="0" pivotButton="0" quotePrefix="0" xfId="0"/>
    <xf numFmtId="0" fontId="72" fillId="3" borderId="0" applyAlignment="1" pivotButton="0" quotePrefix="0" xfId="0">
      <alignment horizontal="center"/>
    </xf>
    <xf numFmtId="0" fontId="72" fillId="3" borderId="0" pivotButton="0" quotePrefix="0" xfId="0"/>
    <xf numFmtId="1" fontId="72" fillId="3" borderId="0" applyAlignment="1" pivotButton="0" quotePrefix="0" xfId="0">
      <alignment horizontal="center"/>
    </xf>
    <xf numFmtId="165" fontId="70" fillId="0" borderId="0" applyAlignment="1" pivotButton="0" quotePrefix="0" xfId="0">
      <alignment vertical="center"/>
    </xf>
    <xf numFmtId="0" fontId="84" fillId="3" borderId="0" pivotButton="0" quotePrefix="0" xfId="0"/>
    <xf numFmtId="164" fontId="84" fillId="4" borderId="0" applyAlignment="1" pivotButton="0" quotePrefix="0" xfId="0">
      <alignment horizontal="center"/>
    </xf>
    <xf numFmtId="0" fontId="84" fillId="3" borderId="0" applyAlignment="1" pivotButton="0" quotePrefix="0" xfId="0">
      <alignment horizontal="center"/>
    </xf>
    <xf numFmtId="0" fontId="70" fillId="3" borderId="0" applyAlignment="1" pivotButton="0" quotePrefix="0" xfId="0">
      <alignment vertical="top" wrapText="1"/>
    </xf>
    <xf numFmtId="0" fontId="20" fillId="3" borderId="0" applyAlignment="1" pivotButton="0" quotePrefix="0" xfId="0">
      <alignment vertical="top" wrapText="1"/>
    </xf>
    <xf numFmtId="164" fontId="49" fillId="2" borderId="0" applyAlignment="1" pivotButton="0" quotePrefix="0" xfId="1">
      <alignment horizontal="right" vertical="top" wrapText="1"/>
    </xf>
    <xf numFmtId="0" fontId="85" fillId="3" borderId="0" applyAlignment="1" pivotButton="0" quotePrefix="0" xfId="0">
      <alignment horizontal="left" vertical="top" wrapText="1"/>
    </xf>
    <xf numFmtId="0" fontId="20" fillId="3" borderId="0" applyAlignment="1" pivotButton="0" quotePrefix="0" xfId="0">
      <alignment horizontal="left" vertical="top" wrapText="1"/>
    </xf>
    <xf numFmtId="0" fontId="20" fillId="2" borderId="0" applyAlignment="1" pivotButton="0" quotePrefix="0" xfId="0">
      <alignment horizontal="center" vertical="center"/>
    </xf>
    <xf numFmtId="0" fontId="8" fillId="3" borderId="2" applyAlignment="1" pivotButton="0" quotePrefix="0" xfId="0">
      <alignment vertical="center" wrapText="1"/>
    </xf>
    <xf numFmtId="164" fontId="9" fillId="2" borderId="8" applyAlignment="1" pivotButton="0" quotePrefix="0" xfId="0">
      <alignment horizontal="center" vertical="center"/>
    </xf>
    <xf numFmtId="164" fontId="76" fillId="2" borderId="1" applyAlignment="1" pivotButton="0" quotePrefix="0" xfId="0">
      <alignment horizontal="center" vertical="center"/>
    </xf>
    <xf numFmtId="0" fontId="15" fillId="4" borderId="1" applyAlignment="1" pivotButton="0" quotePrefix="0" xfId="3">
      <alignment vertical="center" wrapText="1"/>
    </xf>
    <xf numFmtId="164" fontId="18" fillId="5" borderId="1" applyAlignment="1" pivotButton="0" quotePrefix="0" xfId="4">
      <alignment horizontal="center" vertical="top" wrapText="1"/>
    </xf>
    <xf numFmtId="0" fontId="25" fillId="4" borderId="1" applyAlignment="1" pivotButton="0" quotePrefix="0" xfId="3">
      <alignment vertical="center" wrapText="1"/>
    </xf>
    <xf numFmtId="167" fontId="25" fillId="3" borderId="1" applyAlignment="1" pivotButton="0" quotePrefix="0" xfId="3">
      <alignment horizontal="center" vertical="center"/>
    </xf>
    <xf numFmtId="0" fontId="4" fillId="4" borderId="1" applyAlignment="1" pivotButton="0" quotePrefix="0" xfId="0">
      <alignment horizontal="center"/>
    </xf>
    <xf numFmtId="164" fontId="19" fillId="3" borderId="0" applyAlignment="1" pivotButton="0" quotePrefix="0" xfId="4">
      <alignment horizontal="center" vertical="top" wrapText="1"/>
    </xf>
    <xf numFmtId="164" fontId="19" fillId="5" borderId="1" applyAlignment="1" pivotButton="0" quotePrefix="0" xfId="4">
      <alignment horizontal="center" vertical="top" wrapText="1"/>
    </xf>
    <xf numFmtId="0" fontId="88" fillId="3" borderId="0" pivotButton="0" quotePrefix="0" xfId="0"/>
    <xf numFmtId="0" fontId="87" fillId="3" borderId="0" pivotButton="0" quotePrefix="0" xfId="0"/>
    <xf numFmtId="164" fontId="87" fillId="2" borderId="0" applyAlignment="1" pivotButton="0" quotePrefix="0" xfId="1">
      <alignment vertical="top" wrapText="1"/>
    </xf>
    <xf numFmtId="0" fontId="8" fillId="8" borderId="0" applyAlignment="1" pivotButton="0" quotePrefix="0" xfId="0">
      <alignment horizontal="center" vertical="center" wrapText="1"/>
    </xf>
    <xf numFmtId="0" fontId="43" fillId="2" borderId="0" applyAlignment="1" pivotButton="0" quotePrefix="0" xfId="0">
      <alignment horizontal="right" vertical="center"/>
    </xf>
    <xf numFmtId="0" fontId="12" fillId="2" borderId="0" applyAlignment="1" applyProtection="1" pivotButton="0" quotePrefix="0" xfId="0">
      <alignment horizontal="center" vertical="center"/>
      <protection locked="1" hidden="1"/>
    </xf>
    <xf numFmtId="170" fontId="43" fillId="2" borderId="0" applyAlignment="1" pivotButton="0" quotePrefix="0" xfId="0">
      <alignment horizontal="right" vertical="center"/>
    </xf>
    <xf numFmtId="2" fontId="25" fillId="2" borderId="0" applyAlignment="1" applyProtection="1" pivotButton="0" quotePrefix="0" xfId="4">
      <alignment horizontal="center" vertical="center"/>
      <protection locked="1" hidden="1"/>
    </xf>
    <xf numFmtId="0" fontId="15" fillId="3" borderId="0" applyAlignment="1" pivotButton="0" quotePrefix="0" xfId="0">
      <alignment horizontal="left" vertical="top" wrapText="1" indent="1"/>
    </xf>
    <xf numFmtId="170" fontId="91" fillId="2" borderId="0" applyAlignment="1" pivotButton="0" quotePrefix="0" xfId="0">
      <alignment horizontal="center" vertical="center"/>
    </xf>
    <xf numFmtId="174" fontId="91" fillId="2" borderId="0" applyAlignment="1" pivotButton="0" quotePrefix="0" xfId="0">
      <alignment horizontal="center" vertical="center"/>
    </xf>
    <xf numFmtId="0" fontId="91" fillId="2" borderId="0" applyAlignment="1" pivotButton="0" quotePrefix="0" xfId="0">
      <alignment horizontal="center" vertical="center"/>
    </xf>
    <xf numFmtId="164" fontId="26" fillId="2" borderId="0" applyAlignment="1" pivotButton="0" quotePrefix="0" xfId="4">
      <alignment horizontal="left"/>
    </xf>
    <xf numFmtId="164" fontId="22" fillId="2" borderId="0" pivotButton="0" quotePrefix="0" xfId="1"/>
    <xf numFmtId="166" fontId="90" fillId="2" borderId="0" pivotButton="0" quotePrefix="0" xfId="0"/>
    <xf numFmtId="164" fontId="89" fillId="2" borderId="0" pivotButton="0" quotePrefix="0" xfId="1"/>
    <xf numFmtId="0" fontId="41" fillId="2" borderId="0" pivotButton="0" quotePrefix="0" xfId="0"/>
    <xf numFmtId="164" fontId="26" fillId="2" borderId="0" pivotButton="0" quotePrefix="0" xfId="4"/>
    <xf numFmtId="174" fontId="5" fillId="2" borderId="0" pivotButton="0" quotePrefix="0" xfId="1"/>
    <xf numFmtId="164" fontId="90" fillId="2" borderId="0" pivotButton="0" quotePrefix="0" xfId="1"/>
    <xf numFmtId="164" fontId="4" fillId="2" borderId="0" applyAlignment="1" pivotButton="0" quotePrefix="0" xfId="1">
      <alignment horizontal="left" vertical="center"/>
    </xf>
    <xf numFmtId="164" fontId="18" fillId="17" borderId="0" applyAlignment="1" pivotButton="0" quotePrefix="0" xfId="1">
      <alignment horizontal="center" vertical="center" wrapText="1"/>
    </xf>
    <xf numFmtId="164" fontId="92" fillId="2" borderId="1" applyAlignment="1" pivotButton="0" quotePrefix="0" xfId="4">
      <alignment horizontal="center"/>
    </xf>
    <xf numFmtId="175" fontId="92" fillId="2" borderId="1" applyAlignment="1" pivotButton="0" quotePrefix="0" xfId="0">
      <alignment horizontal="center" vertical="center"/>
    </xf>
    <xf numFmtId="9" fontId="93" fillId="2" borderId="35" applyAlignment="1" pivotButton="0" quotePrefix="0" xfId="1">
      <alignment horizontal="left" vertical="center"/>
    </xf>
    <xf numFmtId="164" fontId="94" fillId="2" borderId="0" applyAlignment="1" pivotButton="0" quotePrefix="0" xfId="1">
      <alignment horizontal="left" vertical="center"/>
    </xf>
    <xf numFmtId="164" fontId="93" fillId="2" borderId="0" pivotButton="0" quotePrefix="0" xfId="1"/>
    <xf numFmtId="0" fontId="20" fillId="0" borderId="0" applyAlignment="1" pivotButton="0" quotePrefix="0" xfId="0">
      <alignment vertical="center"/>
    </xf>
    <xf numFmtId="164" fontId="14" fillId="16" borderId="0" applyAlignment="1" pivotButton="0" quotePrefix="0" xfId="4">
      <alignment horizontal="center" vertical="top" wrapText="1"/>
    </xf>
    <xf numFmtId="0" fontId="14" fillId="2" borderId="1" applyAlignment="1" pivotButton="0" quotePrefix="0" xfId="0">
      <alignment horizontal="center" wrapText="1"/>
    </xf>
    <xf numFmtId="0" fontId="14" fillId="2" borderId="7" applyAlignment="1" pivotButton="0" quotePrefix="0" xfId="0">
      <alignment horizontal="center" wrapText="1"/>
    </xf>
    <xf numFmtId="0" fontId="13" fillId="4" borderId="1" applyAlignment="1" pivotButton="0" quotePrefix="0" xfId="0">
      <alignment horizontal="center" wrapText="1"/>
    </xf>
    <xf numFmtId="0" fontId="13" fillId="6" borderId="0" applyAlignment="1" pivotButton="0" quotePrefix="0" xfId="0">
      <alignment horizontal="center" vertical="center"/>
    </xf>
    <xf numFmtId="171" fontId="4" fillId="4" borderId="16" applyAlignment="1" pivotButton="0" quotePrefix="0" xfId="0">
      <alignment horizontal="center"/>
    </xf>
    <xf numFmtId="0" fontId="4" fillId="4" borderId="17" applyAlignment="1" pivotButton="0" quotePrefix="0" xfId="0">
      <alignment horizontal="center"/>
    </xf>
    <xf numFmtId="164" fontId="4" fillId="12" borderId="17" applyAlignment="1" pivotButton="0" quotePrefix="0" xfId="1">
      <alignment horizontal="center"/>
    </xf>
    <xf numFmtId="0" fontId="4" fillId="12" borderId="17" applyAlignment="1" pivotButton="0" quotePrefix="0" xfId="0">
      <alignment horizontal="center"/>
    </xf>
    <xf numFmtId="171" fontId="4" fillId="4" borderId="17" applyAlignment="1" pivotButton="0" quotePrefix="0" xfId="0">
      <alignment horizontal="center"/>
    </xf>
    <xf numFmtId="171" fontId="4" fillId="12" borderId="17" applyAlignment="1" pivotButton="0" quotePrefix="0" xfId="0">
      <alignment horizontal="center"/>
    </xf>
    <xf numFmtId="171" fontId="4" fillId="4" borderId="19" applyAlignment="1" pivotButton="0" quotePrefix="0" xfId="0">
      <alignment horizontal="center"/>
    </xf>
    <xf numFmtId="0" fontId="4" fillId="12" borderId="1" applyAlignment="1" pivotButton="0" quotePrefix="0" xfId="0">
      <alignment horizontal="center"/>
    </xf>
    <xf numFmtId="171" fontId="4" fillId="12" borderId="1" applyAlignment="1" pivotButton="0" quotePrefix="0" xfId="0">
      <alignment horizontal="center"/>
    </xf>
    <xf numFmtId="0" fontId="14" fillId="3" borderId="1" applyAlignment="1" pivotButton="0" quotePrefix="0" xfId="0">
      <alignment horizontal="center" vertical="center" wrapText="1"/>
    </xf>
    <xf numFmtId="1" fontId="14" fillId="3" borderId="1" applyAlignment="1" pivotButton="0" quotePrefix="0" xfId="0">
      <alignment horizontal="center" vertical="center" wrapText="1"/>
    </xf>
    <xf numFmtId="0" fontId="14" fillId="4" borderId="1" applyAlignment="1" applyProtection="1" pivotButton="0" quotePrefix="0" xfId="0">
      <alignment horizontal="center" vertical="center" wrapText="1"/>
      <protection locked="0" hidden="0"/>
    </xf>
    <xf numFmtId="176" fontId="71" fillId="0" borderId="0" applyAlignment="1" pivotButton="0" quotePrefix="0" xfId="0">
      <alignment vertical="center"/>
    </xf>
    <xf numFmtId="164" fontId="95" fillId="2" borderId="0" pivotButton="0" quotePrefix="0" xfId="4"/>
    <xf numFmtId="0" fontId="26" fillId="3" borderId="0" applyAlignment="1" pivotButton="0" quotePrefix="0" xfId="0">
      <alignment horizontal="center" vertical="top" wrapText="1"/>
    </xf>
    <xf numFmtId="0" fontId="17" fillId="3" borderId="0" applyAlignment="1" pivotButton="0" quotePrefix="0" xfId="0">
      <alignment vertical="top" wrapText="1"/>
    </xf>
    <xf numFmtId="0" fontId="25" fillId="3" borderId="0" applyAlignment="1" pivotButton="0" quotePrefix="0" xfId="0">
      <alignment vertical="top" wrapText="1"/>
    </xf>
    <xf numFmtId="0" fontId="96" fillId="3" borderId="0" applyAlignment="1" pivotButton="0" quotePrefix="0" xfId="0">
      <alignment vertical="top" wrapText="1"/>
    </xf>
    <xf numFmtId="0" fontId="17" fillId="3" borderId="0" applyAlignment="1" pivotButton="0" quotePrefix="0" xfId="0">
      <alignment horizontal="center" vertical="top" wrapText="1"/>
    </xf>
    <xf numFmtId="0" fontId="46" fillId="3" borderId="0" applyAlignment="1" pivotButton="0" quotePrefix="0" xfId="0">
      <alignment vertical="top" wrapText="1"/>
    </xf>
    <xf numFmtId="0" fontId="45" fillId="3" borderId="0" applyAlignment="1" pivotButton="0" quotePrefix="0" xfId="0">
      <alignment vertical="top" wrapText="1"/>
    </xf>
    <xf numFmtId="0" fontId="45" fillId="3" borderId="0" applyAlignment="1" pivotButton="0" quotePrefix="0" xfId="0">
      <alignment horizontal="center" vertical="top" wrapText="1"/>
    </xf>
    <xf numFmtId="0" fontId="26" fillId="2" borderId="1" pivotButton="0" quotePrefix="0" xfId="0"/>
    <xf numFmtId="167" fontId="26" fillId="2" borderId="1" pivotButton="0" quotePrefix="0" xfId="0"/>
    <xf numFmtId="0" fontId="15" fillId="2" borderId="1" applyAlignment="1" pivotButton="0" quotePrefix="0" xfId="0">
      <alignment vertical="center"/>
    </xf>
    <xf numFmtId="167" fontId="10" fillId="2" borderId="0" applyAlignment="1" pivotButton="0" quotePrefix="0" xfId="3">
      <alignment horizontal="center" vertical="center"/>
    </xf>
    <xf numFmtId="167" fontId="10" fillId="2" borderId="0" applyAlignment="1" pivotButton="0" quotePrefix="0" xfId="3">
      <alignment vertical="center"/>
    </xf>
    <xf numFmtId="0" fontId="97" fillId="4" borderId="1" pivotButton="0" quotePrefix="0" xfId="0"/>
    <xf numFmtId="167" fontId="25" fillId="4" borderId="1" applyAlignment="1" pivotButton="0" quotePrefix="0" xfId="3">
      <alignment horizontal="center" vertical="center"/>
    </xf>
    <xf numFmtId="167" fontId="20" fillId="4" borderId="1" applyAlignment="1" pivotButton="0" quotePrefix="0" xfId="3">
      <alignment horizontal="center" vertical="center"/>
    </xf>
    <xf numFmtId="167" fontId="22" fillId="4" borderId="1" applyAlignment="1" pivotButton="0" quotePrefix="0" xfId="3">
      <alignment vertical="center"/>
    </xf>
    <xf numFmtId="164" fontId="20" fillId="5" borderId="1" applyAlignment="1" pivotButton="0" quotePrefix="0" xfId="4">
      <alignment horizontal="center" vertical="top" wrapText="1"/>
    </xf>
    <xf numFmtId="0" fontId="20" fillId="3" borderId="1" applyAlignment="1" pivotButton="0" quotePrefix="0" xfId="3">
      <alignment horizontal="center" vertical="center" wrapText="1"/>
    </xf>
    <xf numFmtId="0" fontId="25" fillId="4" borderId="1" applyAlignment="1" pivotButton="0" quotePrefix="0" xfId="0">
      <alignment horizontal="center" wrapText="1"/>
    </xf>
    <xf numFmtId="0" fontId="25" fillId="2" borderId="1" applyAlignment="1" pivotButton="0" quotePrefix="0" xfId="0">
      <alignment horizontal="center" wrapText="1"/>
    </xf>
    <xf numFmtId="0" fontId="25" fillId="2" borderId="7" applyAlignment="1" pivotButton="0" quotePrefix="0" xfId="0">
      <alignment horizontal="center" wrapText="1"/>
    </xf>
    <xf numFmtId="0" fontId="8" fillId="2" borderId="1" applyAlignment="1" pivotButton="0" quotePrefix="0" xfId="0">
      <alignment vertical="center" wrapText="1"/>
    </xf>
    <xf numFmtId="1" fontId="14" fillId="2" borderId="1" applyAlignment="1" pivotButton="0" quotePrefix="0" xfId="0">
      <alignment vertical="center" wrapText="1"/>
    </xf>
    <xf numFmtId="0" fontId="8" fillId="2" borderId="1" applyAlignment="1" pivotButton="0" quotePrefix="0" xfId="0">
      <alignment horizontal="center" vertical="center" wrapText="1"/>
    </xf>
    <xf numFmtId="0" fontId="25" fillId="2" borderId="1" applyAlignment="1" pivotButton="0" quotePrefix="0" xfId="0">
      <alignment horizontal="center" vertical="center" wrapText="1"/>
    </xf>
    <xf numFmtId="0" fontId="25" fillId="2" borderId="1" applyAlignment="1" pivotButton="0" quotePrefix="0" xfId="0">
      <alignment horizontal="center" vertical="center"/>
    </xf>
    <xf numFmtId="1" fontId="25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/>
    </xf>
    <xf numFmtId="164" fontId="14" fillId="5" borderId="1" applyAlignment="1" pivotButton="0" quotePrefix="0" xfId="4">
      <alignment horizontal="center" vertical="top" wrapText="1"/>
    </xf>
    <xf numFmtId="0" fontId="15" fillId="5" borderId="0" applyAlignment="1" pivotButton="0" quotePrefix="0" xfId="0">
      <alignment vertical="top" wrapText="1"/>
    </xf>
    <xf numFmtId="0" fontId="8" fillId="5" borderId="0" applyAlignment="1" pivotButton="0" quotePrefix="0" xfId="0">
      <alignment vertical="top" wrapText="1"/>
    </xf>
    <xf numFmtId="0" fontId="20" fillId="4" borderId="1" applyAlignment="1" applyProtection="1" pivotButton="0" quotePrefix="0" xfId="3">
      <alignment horizontal="center" vertical="center" wrapText="1"/>
      <protection locked="0" hidden="0"/>
    </xf>
    <xf numFmtId="9" fontId="4" fillId="3" borderId="0" applyAlignment="1" pivotButton="0" quotePrefix="0" xfId="0">
      <alignment horizontal="center"/>
    </xf>
    <xf numFmtId="176" fontId="4" fillId="3" borderId="0" applyAlignment="1" pivotButton="0" quotePrefix="0" xfId="0">
      <alignment horizontal="center"/>
    </xf>
    <xf numFmtId="171" fontId="4" fillId="3" borderId="0" applyAlignment="1" pivotButton="0" quotePrefix="0" xfId="1">
      <alignment horizontal="center"/>
    </xf>
    <xf numFmtId="164" fontId="6" fillId="2" borderId="0" applyAlignment="1" pivotButton="0" quotePrefix="0" xfId="1">
      <alignment horizontal="right" vertical="top" wrapText="1"/>
    </xf>
    <xf numFmtId="164" fontId="98" fillId="2" borderId="0" applyAlignment="1" pivotButton="0" quotePrefix="0" xfId="1">
      <alignment horizontal="right" vertical="top" wrapText="1"/>
    </xf>
    <xf numFmtId="164" fontId="98" fillId="2" borderId="1" applyAlignment="1" pivotButton="0" quotePrefix="0" xfId="1">
      <alignment horizontal="center"/>
    </xf>
    <xf numFmtId="164" fontId="7" fillId="2" borderId="0" applyAlignment="1" pivotButton="0" quotePrefix="0" xfId="1">
      <alignment horizontal="right" vertical="top" wrapText="1"/>
    </xf>
    <xf numFmtId="17" fontId="4" fillId="3" borderId="0" pivotButton="0" quotePrefix="0" xfId="0"/>
    <xf numFmtId="164" fontId="99" fillId="2" borderId="0" pivotButton="0" quotePrefix="0" xfId="1"/>
    <xf numFmtId="0" fontId="17" fillId="2" borderId="1" applyAlignment="1" pivotButton="0" quotePrefix="0" xfId="0">
      <alignment horizontal="center" wrapText="1"/>
    </xf>
    <xf numFmtId="0" fontId="17" fillId="2" borderId="7" applyAlignment="1" pivotButton="0" quotePrefix="0" xfId="0">
      <alignment horizontal="center" wrapText="1"/>
    </xf>
    <xf numFmtId="166" fontId="14" fillId="4" borderId="1" applyAlignment="1" pivotButton="0" quotePrefix="0" xfId="0">
      <alignment horizontal="center" vertical="center" wrapText="1"/>
    </xf>
    <xf numFmtId="0" fontId="17" fillId="2" borderId="1" applyAlignment="1" pivotButton="0" quotePrefix="0" xfId="0">
      <alignment horizontal="center" vertical="center" wrapText="1"/>
    </xf>
    <xf numFmtId="0" fontId="17" fillId="2" borderId="1" applyAlignment="1" pivotButton="0" quotePrefix="0" xfId="0">
      <alignment horizontal="center" vertical="center"/>
    </xf>
    <xf numFmtId="0" fontId="25" fillId="8" borderId="0" applyAlignment="1" pivotButton="0" quotePrefix="0" xfId="0">
      <alignment horizontal="center" vertical="center"/>
    </xf>
    <xf numFmtId="164" fontId="25" fillId="2" borderId="0" applyProtection="1" pivotButton="0" quotePrefix="0" xfId="4">
      <protection locked="1" hidden="1"/>
    </xf>
    <xf numFmtId="164" fontId="25" fillId="11" borderId="4" applyProtection="1" pivotButton="0" quotePrefix="0" xfId="4">
      <protection locked="1" hidden="1"/>
    </xf>
    <xf numFmtId="0" fontId="10" fillId="8" borderId="0" applyAlignment="1" pivotButton="0" quotePrefix="0" xfId="0">
      <alignment horizontal="center" vertical="center" wrapText="1"/>
    </xf>
    <xf numFmtId="164" fontId="100" fillId="2" borderId="0" pivotButton="0" quotePrefix="0" xfId="1"/>
    <xf numFmtId="164" fontId="4" fillId="2" borderId="0" pivotButton="0" quotePrefix="0" xfId="4"/>
    <xf numFmtId="164" fontId="54" fillId="2" borderId="0" pivotButton="0" quotePrefix="0" xfId="4"/>
    <xf numFmtId="164" fontId="7" fillId="2" borderId="1" applyAlignment="1" pivotButton="0" quotePrefix="0" xfId="1">
      <alignment horizontal="center"/>
    </xf>
    <xf numFmtId="17" fontId="7" fillId="2" borderId="0" pivotButton="0" quotePrefix="0" xfId="1"/>
    <xf numFmtId="164" fontId="7" fillId="2" borderId="0" applyAlignment="1" pivotButton="0" quotePrefix="0" xfId="1">
      <alignment horizontal="left" vertical="top" wrapText="1"/>
    </xf>
    <xf numFmtId="164" fontId="7" fillId="2" borderId="0" applyAlignment="1" pivotButton="0" quotePrefix="0" xfId="1">
      <alignment vertical="top" wrapText="1"/>
    </xf>
    <xf numFmtId="164" fontId="38" fillId="2" borderId="0" applyAlignment="1" pivotButton="0" quotePrefix="0" xfId="1">
      <alignment horizontal="center" vertical="top" wrapText="1"/>
    </xf>
    <xf numFmtId="164" fontId="38" fillId="2" borderId="0" applyAlignment="1" pivotButton="0" quotePrefix="0" xfId="1">
      <alignment vertical="top" wrapText="1"/>
    </xf>
    <xf numFmtId="166" fontId="2" fillId="2" borderId="0" pivotButton="0" quotePrefix="0" xfId="0"/>
    <xf numFmtId="164" fontId="54" fillId="2" borderId="0" applyAlignment="1" pivotButton="0" quotePrefix="0" xfId="1">
      <alignment vertical="top" wrapText="1"/>
    </xf>
    <xf numFmtId="164" fontId="20" fillId="2" borderId="0" pivotButton="0" quotePrefix="0" xfId="1"/>
    <xf numFmtId="164" fontId="7" fillId="2" borderId="0" pivotButton="0" quotePrefix="0" xfId="1"/>
    <xf numFmtId="0" fontId="44" fillId="4" borderId="1" applyAlignment="1" pivotButton="0" quotePrefix="0" xfId="3">
      <alignment vertical="center" wrapText="1"/>
    </xf>
    <xf numFmtId="0" fontId="44" fillId="4" borderId="1" applyAlignment="1" applyProtection="1" pivotButton="0" quotePrefix="0" xfId="3">
      <alignment vertical="center" wrapText="1"/>
      <protection locked="0" hidden="0"/>
    </xf>
    <xf numFmtId="0" fontId="101" fillId="4" borderId="1" applyAlignment="1" applyProtection="1" pivotButton="0" quotePrefix="0" xfId="3">
      <alignment vertical="center" wrapText="1"/>
      <protection locked="0" hidden="0"/>
    </xf>
    <xf numFmtId="0" fontId="15" fillId="18" borderId="0" applyAlignment="1" pivotButton="0" quotePrefix="0" xfId="0">
      <alignment vertical="top" wrapText="1"/>
    </xf>
    <xf numFmtId="1" fontId="20" fillId="2" borderId="8" applyAlignment="1" pivotButton="0" quotePrefix="0" xfId="0">
      <alignment horizontal="center" vertical="center" wrapText="1"/>
    </xf>
    <xf numFmtId="0" fontId="1" fillId="3" borderId="0" applyAlignment="1" pivotButton="0" quotePrefix="0" xfId="0">
      <alignment vertical="top" wrapText="1"/>
    </xf>
    <xf numFmtId="0" fontId="102" fillId="3" borderId="0" applyAlignment="1" pivotButton="0" quotePrefix="0" xfId="3">
      <alignment horizontal="left" vertical="center" wrapText="1"/>
    </xf>
    <xf numFmtId="164" fontId="103" fillId="3" borderId="0" applyAlignment="1" pivotButton="0" quotePrefix="0" xfId="4">
      <alignment horizontal="center" vertical="top" wrapText="1"/>
    </xf>
    <xf numFmtId="167" fontId="20" fillId="3" borderId="1" applyAlignment="1" pivotButton="0" quotePrefix="0" xfId="3">
      <alignment horizontal="center" vertical="center"/>
    </xf>
    <xf numFmtId="164" fontId="81" fillId="2" borderId="0" applyAlignment="1" pivotButton="0" quotePrefix="0" xfId="1">
      <alignment horizontal="center" vertical="center" wrapText="1"/>
    </xf>
    <xf numFmtId="0" fontId="71" fillId="2" borderId="0" applyAlignment="1" pivotButton="0" quotePrefix="0" xfId="0">
      <alignment vertical="center"/>
    </xf>
    <xf numFmtId="0" fontId="48" fillId="3" borderId="0" pivotButton="0" quotePrefix="0" xfId="0"/>
    <xf numFmtId="167" fontId="4" fillId="3" borderId="0" pivotButton="0" quotePrefix="0" xfId="0"/>
    <xf numFmtId="17" fontId="4" fillId="19" borderId="0" applyAlignment="1" pivotButton="0" quotePrefix="0" xfId="0">
      <alignment horizontal="right" vertical="top"/>
    </xf>
    <xf numFmtId="9" fontId="104" fillId="2" borderId="1" applyAlignment="1" pivotButton="0" quotePrefix="0" xfId="1">
      <alignment horizontal="center"/>
    </xf>
    <xf numFmtId="164" fontId="104" fillId="2" borderId="1" applyAlignment="1" pivotButton="0" quotePrefix="0" xfId="1">
      <alignment horizontal="center"/>
    </xf>
    <xf numFmtId="164" fontId="14" fillId="3" borderId="0" applyAlignment="1" pivotButton="0" quotePrefix="0" xfId="4">
      <alignment horizontal="center" vertical="top" wrapText="1"/>
    </xf>
    <xf numFmtId="0" fontId="105" fillId="0" borderId="0" applyAlignment="1" pivotButton="0" quotePrefix="0" xfId="0">
      <alignment horizontal="left"/>
    </xf>
    <xf numFmtId="9" fontId="105" fillId="0" borderId="0" pivotButton="0" quotePrefix="0" xfId="0"/>
    <xf numFmtId="0" fontId="44" fillId="3" borderId="0" applyAlignment="1" pivotButton="0" quotePrefix="0" xfId="0">
      <alignment vertical="top" wrapText="1"/>
    </xf>
    <xf numFmtId="164" fontId="6" fillId="2" borderId="0" applyAlignment="1" pivotButton="0" quotePrefix="0" xfId="1">
      <alignment horizontal="center"/>
    </xf>
    <xf numFmtId="0" fontId="25" fillId="14" borderId="0" applyAlignment="1" pivotButton="0" quotePrefix="0" xfId="0">
      <alignment vertical="top" wrapText="1"/>
    </xf>
    <xf numFmtId="164" fontId="5" fillId="0" borderId="0" pivotButton="0" quotePrefix="0" xfId="1"/>
    <xf numFmtId="0" fontId="56" fillId="0" borderId="0" applyAlignment="1" pivotButton="0" quotePrefix="0" xfId="1">
      <alignment horizontal="left" vertical="center"/>
    </xf>
    <xf numFmtId="164" fontId="6" fillId="21" borderId="0" applyAlignment="1" pivotButton="0" quotePrefix="0" xfId="1">
      <alignment horizontal="left" vertical="center"/>
    </xf>
    <xf numFmtId="164" fontId="5" fillId="21" borderId="0" applyAlignment="1" pivotButton="0" quotePrefix="0" xfId="1">
      <alignment horizontal="left" vertical="center"/>
    </xf>
    <xf numFmtId="164" fontId="5" fillId="21" borderId="0" pivotButton="0" quotePrefix="0" xfId="1"/>
    <xf numFmtId="171" fontId="0" fillId="21" borderId="1" pivotButton="0" quotePrefix="0" xfId="0"/>
    <xf numFmtId="0" fontId="8" fillId="20" borderId="0" applyAlignment="1" pivotButton="0" quotePrefix="0" xfId="0">
      <alignment vertical="top" wrapText="1"/>
    </xf>
    <xf numFmtId="173" fontId="70" fillId="20" borderId="1" applyAlignment="1" pivotButton="0" quotePrefix="0" xfId="0">
      <alignment horizontal="center" vertical="center" wrapText="1"/>
    </xf>
    <xf numFmtId="166" fontId="77" fillId="22" borderId="1" applyAlignment="1" pivotButton="0" quotePrefix="0" xfId="0">
      <alignment horizontal="center" vertical="center"/>
    </xf>
    <xf numFmtId="166" fontId="17" fillId="22" borderId="1" applyAlignment="1" pivotButton="0" quotePrefix="0" xfId="0">
      <alignment horizontal="center" vertical="center"/>
    </xf>
    <xf numFmtId="0" fontId="26" fillId="2" borderId="0" applyAlignment="1" pivotButton="0" quotePrefix="0" xfId="3">
      <alignment vertical="center"/>
    </xf>
    <xf numFmtId="166" fontId="25" fillId="22" borderId="1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  <xf numFmtId="166" fontId="77" fillId="0" borderId="1" applyAlignment="1" pivotButton="0" quotePrefix="0" xfId="0">
      <alignment horizontal="center" vertical="center"/>
    </xf>
    <xf numFmtId="0" fontId="80" fillId="20" borderId="1" applyAlignment="1" pivotButton="0" quotePrefix="0" xfId="0">
      <alignment horizontal="center" vertical="center" wrapText="1"/>
    </xf>
    <xf numFmtId="0" fontId="70" fillId="20" borderId="1" applyAlignment="1" pivotButton="0" quotePrefix="0" xfId="0">
      <alignment vertical="center" wrapText="1"/>
    </xf>
    <xf numFmtId="0" fontId="15" fillId="20" borderId="0" applyAlignment="1" pivotButton="0" quotePrefix="0" xfId="0">
      <alignment vertical="top" wrapText="1"/>
    </xf>
    <xf numFmtId="1" fontId="14" fillId="23" borderId="8" applyAlignment="1" pivotButton="0" quotePrefix="0" xfId="0">
      <alignment horizontal="center" vertical="center" wrapText="1"/>
    </xf>
    <xf numFmtId="164" fontId="6" fillId="23" borderId="0" applyAlignment="1" pivotButton="0" quotePrefix="0" xfId="1">
      <alignment horizontal="left" vertical="center"/>
    </xf>
    <xf numFmtId="164" fontId="5" fillId="23" borderId="0" applyAlignment="1" pivotButton="0" quotePrefix="0" xfId="1">
      <alignment horizontal="left" vertical="center"/>
    </xf>
    <xf numFmtId="164" fontId="5" fillId="23" borderId="0" pivotButton="0" quotePrefix="0" xfId="1"/>
    <xf numFmtId="171" fontId="0" fillId="23" borderId="0" pivotButton="0" quotePrefix="0" xfId="0"/>
    <xf numFmtId="1" fontId="70" fillId="25" borderId="1" applyAlignment="1" pivotButton="0" quotePrefix="0" xfId="0">
      <alignment horizontal="center" vertical="center" wrapText="1"/>
    </xf>
    <xf numFmtId="173" fontId="70" fillId="26" borderId="1" applyAlignment="1" applyProtection="1" pivotButton="0" quotePrefix="0" xfId="0">
      <alignment horizontal="center" vertical="center" wrapText="1"/>
      <protection locked="0" hidden="0"/>
    </xf>
    <xf numFmtId="1" fontId="70" fillId="24" borderId="1" applyAlignment="1" applyProtection="1" pivotButton="0" quotePrefix="0" xfId="0">
      <alignment horizontal="center" vertical="center" wrapText="1"/>
      <protection locked="0" hidden="0"/>
    </xf>
    <xf numFmtId="0" fontId="102" fillId="3" borderId="0" applyAlignment="1" pivotButton="0" quotePrefix="0" xfId="0">
      <alignment vertical="top" wrapText="1"/>
    </xf>
    <xf numFmtId="0" fontId="108" fillId="3" borderId="0" applyAlignment="1" pivotButton="0" quotePrefix="0" xfId="0">
      <alignment vertical="top" wrapText="1"/>
    </xf>
    <xf numFmtId="0" fontId="71" fillId="3" borderId="1" applyAlignment="1" pivotButton="0" quotePrefix="0" xfId="0">
      <alignment horizontal="center" vertical="center"/>
    </xf>
    <xf numFmtId="10" fontId="9" fillId="22" borderId="0" applyAlignment="1" pivotButton="0" quotePrefix="0" xfId="0">
      <alignment horizontal="center" vertical="center"/>
    </xf>
    <xf numFmtId="10" fontId="76" fillId="22" borderId="0" applyAlignment="1" pivotButton="0" quotePrefix="0" xfId="0">
      <alignment horizontal="center" vertical="center"/>
    </xf>
    <xf numFmtId="10" fontId="76" fillId="6" borderId="0" applyAlignment="1" pivotButton="0" quotePrefix="0" xfId="0">
      <alignment horizontal="center" vertical="center"/>
    </xf>
    <xf numFmtId="10" fontId="9" fillId="6" borderId="0" applyAlignment="1" pivotButton="0" quotePrefix="0" xfId="0">
      <alignment horizontal="center" vertical="center"/>
    </xf>
    <xf numFmtId="0" fontId="8" fillId="14" borderId="1" applyAlignment="1" pivotButton="0" quotePrefix="0" xfId="0">
      <alignment horizontal="center" vertical="center"/>
    </xf>
    <xf numFmtId="168" fontId="8" fillId="14" borderId="1" applyAlignment="1" pivotButton="0" quotePrefix="0" xfId="0">
      <alignment horizontal="center" vertical="center"/>
    </xf>
    <xf numFmtId="164" fontId="15" fillId="0" borderId="0" applyAlignment="1" pivotButton="0" quotePrefix="0" xfId="0">
      <alignment vertical="center"/>
    </xf>
    <xf numFmtId="10" fontId="15" fillId="0" borderId="0" applyAlignment="1" pivotButton="0" quotePrefix="0" xfId="0">
      <alignment vertical="center"/>
    </xf>
    <xf numFmtId="17" fontId="110" fillId="3" borderId="0" applyAlignment="1" pivotButton="0" quotePrefix="0" xfId="0">
      <alignment horizontal="center" vertical="center"/>
    </xf>
    <xf numFmtId="17" fontId="34" fillId="27" borderId="0" pivotButton="0" quotePrefix="0" xfId="1"/>
    <xf numFmtId="0" fontId="70" fillId="14" borderId="0" applyAlignment="1" pivotButton="0" quotePrefix="0" xfId="0">
      <alignment vertical="center" wrapText="1"/>
    </xf>
    <xf numFmtId="0" fontId="15" fillId="14" borderId="0" applyAlignment="1" pivotButton="0" quotePrefix="0" xfId="0">
      <alignment vertical="top" wrapText="1"/>
    </xf>
    <xf numFmtId="1" fontId="80" fillId="14" borderId="1" applyAlignment="1" pivotButton="0" quotePrefix="0" xfId="0">
      <alignment horizontal="center" vertical="center" wrapText="1"/>
    </xf>
    <xf numFmtId="0" fontId="77" fillId="14" borderId="1" applyAlignment="1" pivotButton="0" quotePrefix="0" xfId="0">
      <alignment horizontal="center" vertical="center" wrapText="1"/>
    </xf>
    <xf numFmtId="0" fontId="80" fillId="14" borderId="2" applyAlignment="1" pivotButton="0" quotePrefix="0" xfId="0">
      <alignment horizontal="center" vertical="center" wrapText="1"/>
    </xf>
    <xf numFmtId="0" fontId="71" fillId="14" borderId="0" applyAlignment="1" pivotButton="0" quotePrefix="0" xfId="0">
      <alignment vertical="center"/>
    </xf>
    <xf numFmtId="1" fontId="70" fillId="14" borderId="0" applyAlignment="1" pivotButton="0" quotePrefix="0" xfId="0">
      <alignment horizontal="center" vertical="center" wrapText="1"/>
    </xf>
    <xf numFmtId="1" fontId="82" fillId="14" borderId="0" applyAlignment="1" pivotButton="0" quotePrefix="0" xfId="0">
      <alignment horizontal="center" vertical="center" wrapText="1"/>
    </xf>
    <xf numFmtId="164" fontId="81" fillId="14" borderId="0" applyAlignment="1" pivotButton="0" quotePrefix="0" xfId="4">
      <alignment horizontal="center" vertical="top" wrapText="1"/>
    </xf>
    <xf numFmtId="164" fontId="81" fillId="14" borderId="0" applyAlignment="1" pivotButton="0" quotePrefix="0" xfId="1">
      <alignment horizontal="center" vertical="center" wrapText="1"/>
    </xf>
    <xf numFmtId="9" fontId="80" fillId="14" borderId="1" applyAlignment="1" pivotButton="0" quotePrefix="0" xfId="0">
      <alignment horizontal="center" vertical="center" wrapText="1"/>
    </xf>
    <xf numFmtId="164" fontId="70" fillId="14" borderId="0" applyAlignment="1" pivotButton="0" quotePrefix="0" xfId="1">
      <alignment horizontal="center" vertical="center" wrapText="1"/>
    </xf>
    <xf numFmtId="164" fontId="81" fillId="14" borderId="0" applyAlignment="1" pivotButton="0" quotePrefix="0" xfId="0">
      <alignment horizontal="center" vertical="center"/>
    </xf>
    <xf numFmtId="0" fontId="15" fillId="14" borderId="0" applyAlignment="1" pivotButton="0" quotePrefix="0" xfId="0">
      <alignment vertical="center"/>
    </xf>
    <xf numFmtId="0" fontId="26" fillId="14" borderId="0" applyAlignment="1" pivotButton="0" quotePrefix="0" xfId="0">
      <alignment vertical="top" wrapText="1"/>
    </xf>
    <xf numFmtId="1" fontId="14" fillId="14" borderId="1" applyAlignment="1" pivotButton="0" quotePrefix="0" xfId="0">
      <alignment horizontal="center" vertical="center" wrapText="1"/>
    </xf>
    <xf numFmtId="0" fontId="8" fillId="14" borderId="1" applyAlignment="1" pivotButton="0" quotePrefix="0" xfId="0">
      <alignment horizontal="center" vertical="top" wrapText="1"/>
    </xf>
    <xf numFmtId="0" fontId="15" fillId="14" borderId="0" applyAlignment="1" pivotButton="0" quotePrefix="0" xfId="0">
      <alignment horizontal="center" vertical="top" wrapText="1"/>
    </xf>
    <xf numFmtId="164" fontId="18" fillId="14" borderId="0" applyAlignment="1" pivotButton="0" quotePrefix="0" xfId="4">
      <alignment horizontal="center" vertical="top" wrapText="1"/>
    </xf>
    <xf numFmtId="164" fontId="18" fillId="14" borderId="0" applyAlignment="1" pivotButton="0" quotePrefix="0" xfId="1">
      <alignment horizontal="center" vertical="center" wrapText="1"/>
    </xf>
    <xf numFmtId="9" fontId="14" fillId="14" borderId="0" applyAlignment="1" pivotButton="0" quotePrefix="0" xfId="0">
      <alignment horizontal="center" vertical="center" wrapText="1"/>
    </xf>
    <xf numFmtId="164" fontId="8" fillId="14" borderId="0" applyAlignment="1" pivotButton="0" quotePrefix="0" xfId="1">
      <alignment horizontal="center" vertical="center" wrapText="1"/>
    </xf>
    <xf numFmtId="164" fontId="18" fillId="14" borderId="0" applyAlignment="1" pivotButton="0" quotePrefix="0" xfId="0">
      <alignment horizontal="center" vertical="center"/>
    </xf>
    <xf numFmtId="170" fontId="41" fillId="14" borderId="0" applyAlignment="1" pivotButton="0" quotePrefix="0" xfId="0">
      <alignment vertical="center"/>
    </xf>
    <xf numFmtId="170" fontId="108" fillId="14" borderId="0" applyAlignment="1" pivotButton="0" quotePrefix="0" xfId="0">
      <alignment vertical="center"/>
    </xf>
    <xf numFmtId="0" fontId="14" fillId="14" borderId="1" applyAlignment="1" pivotButton="0" quotePrefix="0" xfId="0">
      <alignment horizontal="center" vertical="top" wrapText="1"/>
    </xf>
    <xf numFmtId="0" fontId="20" fillId="14" borderId="0" applyAlignment="1" pivotButton="0" quotePrefix="0" xfId="0">
      <alignment vertical="top" wrapText="1"/>
    </xf>
    <xf numFmtId="9" fontId="14" fillId="14" borderId="0" applyAlignment="1" pivotButton="0" quotePrefix="0" xfId="0">
      <alignment horizontal="center" vertical="top" wrapText="1"/>
    </xf>
    <xf numFmtId="164" fontId="8" fillId="14" borderId="0" applyAlignment="1" pivotButton="0" quotePrefix="0" xfId="1">
      <alignment horizontal="center" vertical="top" wrapText="1"/>
    </xf>
    <xf numFmtId="164" fontId="18" fillId="14" borderId="0" applyAlignment="1" pivotButton="0" quotePrefix="0" xfId="3">
      <alignment horizontal="center" vertical="center" wrapText="1"/>
    </xf>
    <xf numFmtId="164" fontId="18" fillId="14" borderId="0" applyAlignment="1" pivotButton="0" quotePrefix="0" xfId="0">
      <alignment horizontal="center"/>
    </xf>
    <xf numFmtId="0" fontId="15" fillId="14" borderId="0" pivotButton="0" quotePrefix="0" xfId="0"/>
    <xf numFmtId="0" fontId="14" fillId="14" borderId="1" applyAlignment="1" pivotButton="0" quotePrefix="0" xfId="3">
      <alignment horizontal="center" vertical="center" wrapText="1"/>
    </xf>
    <xf numFmtId="0" fontId="15" fillId="14" borderId="0" applyAlignment="1" pivotButton="0" quotePrefix="0" xfId="3">
      <alignment horizontal="left" vertical="center" wrapText="1"/>
    </xf>
    <xf numFmtId="0" fontId="22" fillId="14" borderId="0" applyAlignment="1" pivotButton="0" quotePrefix="0" xfId="3">
      <alignment horizontal="center" vertical="center"/>
    </xf>
    <xf numFmtId="0" fontId="102" fillId="14" borderId="0" applyAlignment="1" pivotButton="0" quotePrefix="0" xfId="3">
      <alignment horizontal="left" vertical="center"/>
    </xf>
    <xf numFmtId="0" fontId="15" fillId="14" borderId="0" applyAlignment="1" pivotButton="0" quotePrefix="0" xfId="3">
      <alignment vertical="center" wrapText="1"/>
    </xf>
    <xf numFmtId="0" fontId="24" fillId="14" borderId="1" applyAlignment="1" pivotButton="0" quotePrefix="0" xfId="3">
      <alignment horizontal="center" vertical="center" wrapText="1"/>
    </xf>
    <xf numFmtId="0" fontId="15" fillId="14" borderId="0" applyAlignment="1" pivotButton="0" quotePrefix="0" xfId="0">
      <alignment vertical="center" wrapText="1"/>
    </xf>
    <xf numFmtId="167" fontId="11" fillId="14" borderId="0" applyAlignment="1" pivotButton="0" quotePrefix="0" xfId="3">
      <alignment vertical="center"/>
    </xf>
    <xf numFmtId="9" fontId="44" fillId="14" borderId="0" applyAlignment="1" pivotButton="0" quotePrefix="0" xfId="0">
      <alignment horizontal="center" vertical="center" wrapText="1"/>
    </xf>
    <xf numFmtId="0" fontId="11" fillId="14" borderId="1" applyAlignment="1" pivotButton="0" quotePrefix="0" xfId="3">
      <alignment vertical="center"/>
    </xf>
    <xf numFmtId="0" fontId="11" fillId="14" borderId="1" applyAlignment="1" pivotButton="0" quotePrefix="0" xfId="3">
      <alignment horizontal="center" vertical="center"/>
    </xf>
    <xf numFmtId="0" fontId="11" fillId="14" borderId="0" applyAlignment="1" pivotButton="0" quotePrefix="0" xfId="3">
      <alignment vertical="center"/>
    </xf>
    <xf numFmtId="9" fontId="25" fillId="14" borderId="0" applyAlignment="1" pivotButton="0" quotePrefix="0" xfId="0">
      <alignment horizontal="center" vertical="center" wrapText="1"/>
    </xf>
    <xf numFmtId="164" fontId="8" fillId="14" borderId="0" applyAlignment="1" pivotButton="0" quotePrefix="0" xfId="3">
      <alignment horizontal="center" vertical="center"/>
    </xf>
    <xf numFmtId="0" fontId="107" fillId="14" borderId="0" applyAlignment="1" pivotButton="0" quotePrefix="0" xfId="3">
      <alignment vertical="center"/>
    </xf>
    <xf numFmtId="167" fontId="107" fillId="14" borderId="0" applyAlignment="1" pivotButton="0" quotePrefix="0" xfId="3">
      <alignment vertical="center"/>
    </xf>
    <xf numFmtId="1" fontId="14" fillId="14" borderId="8" applyAlignment="1" pivotButton="0" quotePrefix="0" xfId="0">
      <alignment horizontal="center" vertical="center" wrapText="1"/>
    </xf>
    <xf numFmtId="1" fontId="17" fillId="14" borderId="1" applyAlignment="1" pivotButton="0" quotePrefix="0" xfId="0">
      <alignment horizontal="center" vertical="center" wrapText="1"/>
    </xf>
    <xf numFmtId="0" fontId="17" fillId="14" borderId="1" applyAlignment="1" pivotButton="0" quotePrefix="0" xfId="0">
      <alignment horizontal="center" vertical="center" wrapText="1"/>
    </xf>
    <xf numFmtId="0" fontId="17" fillId="14" borderId="7" applyAlignment="1" pivotButton="0" quotePrefix="0" xfId="0">
      <alignment horizontal="center" vertical="center"/>
    </xf>
    <xf numFmtId="1" fontId="8" fillId="14" borderId="0" applyAlignment="1" pivotButton="0" quotePrefix="0" xfId="0">
      <alignment horizontal="center" vertical="center" wrapText="1"/>
    </xf>
    <xf numFmtId="9" fontId="14" fillId="14" borderId="1" applyAlignment="1" pivotButton="0" quotePrefix="0" xfId="0">
      <alignment horizontal="center" vertical="center" wrapText="1"/>
    </xf>
    <xf numFmtId="1" fontId="14" fillId="14" borderId="0" applyAlignment="1" pivotButton="0" quotePrefix="0" xfId="0">
      <alignment vertical="center" wrapText="1"/>
    </xf>
    <xf numFmtId="0" fontId="8" fillId="14" borderId="0" applyAlignment="1" pivotButton="0" quotePrefix="0" xfId="0">
      <alignment vertical="center" wrapText="1"/>
    </xf>
    <xf numFmtId="164" fontId="14" fillId="14" borderId="0" applyAlignment="1" pivotButton="0" quotePrefix="0" xfId="4">
      <alignment horizontal="center" vertical="top" wrapText="1"/>
    </xf>
    <xf numFmtId="1" fontId="13" fillId="6" borderId="0" applyAlignment="1" pivotButton="0" quotePrefix="0" xfId="0">
      <alignment horizontal="center" vertical="center"/>
    </xf>
    <xf numFmtId="164" fontId="7" fillId="0" borderId="1" applyAlignment="1" pivotButton="0" quotePrefix="0" xfId="1">
      <alignment horizontal="center"/>
    </xf>
    <xf numFmtId="164" fontId="7" fillId="2" borderId="1" applyAlignment="1" pivotButton="0" quotePrefix="0" xfId="0">
      <alignment horizontal="center"/>
    </xf>
    <xf numFmtId="0" fontId="4" fillId="20" borderId="0" pivotButton="0" quotePrefix="0" xfId="0"/>
    <xf numFmtId="17" fontId="4" fillId="20" borderId="0" pivotButton="0" quotePrefix="0" xfId="0"/>
    <xf numFmtId="164" fontId="6" fillId="20" borderId="1" applyAlignment="1" pivotButton="0" quotePrefix="0" xfId="1">
      <alignment horizontal="center"/>
    </xf>
    <xf numFmtId="164" fontId="111" fillId="3" borderId="1" applyAlignment="1" pivotButton="0" quotePrefix="0" xfId="0">
      <alignment horizontal="center"/>
    </xf>
    <xf numFmtId="164" fontId="66" fillId="20" borderId="25" applyAlignment="1" pivotButton="0" quotePrefix="0" xfId="1">
      <alignment horizontal="left" vertical="center"/>
    </xf>
    <xf numFmtId="164" fontId="67" fillId="20" borderId="36" applyAlignment="1" pivotButton="0" quotePrefix="0" xfId="1">
      <alignment horizontal="left" vertical="center"/>
    </xf>
    <xf numFmtId="164" fontId="67" fillId="20" borderId="14" pivotButton="0" quotePrefix="0" xfId="1"/>
    <xf numFmtId="0" fontId="68" fillId="20" borderId="37" applyAlignment="1" pivotButton="0" quotePrefix="0" xfId="1">
      <alignment horizontal="left" vertical="center"/>
    </xf>
    <xf numFmtId="0" fontId="68" fillId="20" borderId="0" applyAlignment="1" pivotButton="0" quotePrefix="0" xfId="1">
      <alignment horizontal="left" vertical="center"/>
    </xf>
    <xf numFmtId="164" fontId="67" fillId="20" borderId="38" pivotButton="0" quotePrefix="0" xfId="1"/>
    <xf numFmtId="14" fontId="67" fillId="20" borderId="39" applyAlignment="1" pivotButton="0" quotePrefix="0" xfId="1">
      <alignment horizontal="left" vertical="center"/>
    </xf>
    <xf numFmtId="9" fontId="67" fillId="20" borderId="40" applyAlignment="1" pivotButton="0" quotePrefix="0" xfId="1">
      <alignment horizontal="left" vertical="center"/>
    </xf>
    <xf numFmtId="164" fontId="67" fillId="20" borderId="41" applyAlignment="1" pivotButton="0" quotePrefix="0" xfId="1">
      <alignment horizontal="left"/>
    </xf>
    <xf numFmtId="17" fontId="6" fillId="20" borderId="0" pivotButton="0" quotePrefix="0" xfId="1"/>
    <xf numFmtId="164" fontId="0" fillId="2" borderId="0" applyAlignment="1" pivotButton="0" quotePrefix="0" xfId="0">
      <alignment horizontal="center"/>
    </xf>
    <xf numFmtId="164" fontId="57" fillId="2" borderId="0" applyAlignment="1" pivotButton="0" quotePrefix="0" xfId="1">
      <alignment horizontal="left" vertical="top" wrapText="1"/>
    </xf>
    <xf numFmtId="164" fontId="48" fillId="2" borderId="0" applyAlignment="1" pivotButton="0" quotePrefix="0" xfId="1">
      <alignment horizontal="left" vertical="top" wrapText="1"/>
    </xf>
    <xf numFmtId="17" fontId="34" fillId="28" borderId="0" applyAlignment="1" pivotButton="0" quotePrefix="0" xfId="2">
      <alignment horizontal="center"/>
    </xf>
    <xf numFmtId="17" fontId="33" fillId="28" borderId="0" pivotButton="0" quotePrefix="0" xfId="1"/>
    <xf numFmtId="17" fontId="34" fillId="28" borderId="0" pivotButton="0" quotePrefix="0" xfId="1"/>
    <xf numFmtId="164" fontId="53" fillId="2" borderId="0" applyAlignment="1" pivotButton="0" quotePrefix="0" xfId="1">
      <alignment horizontal="center" vertical="center"/>
    </xf>
    <xf numFmtId="164" fontId="57" fillId="4" borderId="0" applyAlignment="1" pivotButton="0" quotePrefix="0" xfId="1">
      <alignment horizontal="left"/>
    </xf>
    <xf numFmtId="164" fontId="59" fillId="4" borderId="0" pivotButton="0" quotePrefix="0" xfId="1"/>
    <xf numFmtId="164" fontId="48" fillId="2" borderId="0" applyAlignment="1" pivotButton="0" quotePrefix="0" xfId="1">
      <alignment vertical="top" wrapText="1"/>
    </xf>
    <xf numFmtId="9" fontId="4" fillId="2" borderId="0" applyAlignment="1" pivotButton="0" quotePrefix="0" xfId="1">
      <alignment horizontal="left" vertical="top"/>
    </xf>
    <xf numFmtId="14" fontId="6" fillId="2" borderId="8" applyAlignment="1" pivotButton="0" quotePrefix="0" xfId="1">
      <alignment horizontal="left" vertical="center"/>
    </xf>
    <xf numFmtId="0" fontId="15" fillId="3" borderId="2" applyAlignment="1" pivotButton="0" quotePrefix="0" xfId="0">
      <alignment vertical="top" wrapText="1"/>
    </xf>
    <xf numFmtId="0" fontId="15" fillId="29" borderId="0" applyAlignment="1" pivotButton="0" quotePrefix="0" xfId="0">
      <alignment vertical="center"/>
    </xf>
    <xf numFmtId="1" fontId="106" fillId="10" borderId="8" applyAlignment="1" pivotButton="0" quotePrefix="0" xfId="0">
      <alignment horizontal="center" vertical="center" wrapText="1"/>
    </xf>
    <xf numFmtId="1" fontId="14" fillId="10" borderId="8" applyAlignment="1" pivotButton="0" quotePrefix="0" xfId="0">
      <alignment horizontal="center" vertical="center" wrapText="1"/>
    </xf>
    <xf numFmtId="1" fontId="20" fillId="10" borderId="8" applyAlignment="1" pivotButton="0" quotePrefix="0" xfId="0">
      <alignment horizontal="center" vertical="center" wrapText="1"/>
    </xf>
    <xf numFmtId="43" fontId="71" fillId="0" borderId="0" applyAlignment="1" pivotButton="0" quotePrefix="0" xfId="0">
      <alignment vertical="center"/>
    </xf>
    <xf numFmtId="166" fontId="25" fillId="8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center"/>
    </xf>
    <xf numFmtId="1" fontId="25" fillId="8" borderId="0" applyAlignment="1" pivotButton="0" quotePrefix="0" xfId="0">
      <alignment horizontal="left" vertical="center"/>
    </xf>
    <xf numFmtId="1" fontId="15" fillId="0" borderId="0" applyAlignment="1" pivotButton="0" quotePrefix="0" xfId="0">
      <alignment horizontal="center" vertical="center"/>
    </xf>
    <xf numFmtId="164" fontId="15" fillId="0" borderId="0" applyAlignment="1" pivotButton="0" quotePrefix="0" xfId="0">
      <alignment horizontal="center" vertical="center"/>
    </xf>
    <xf numFmtId="0" fontId="25" fillId="8" borderId="0" applyAlignment="1" pivotButton="0" quotePrefix="0" xfId="0">
      <alignment horizontal="left" vertical="center"/>
    </xf>
    <xf numFmtId="169" fontId="25" fillId="8" borderId="0" applyAlignment="1" pivotButton="0" quotePrefix="0" xfId="0">
      <alignment horizontal="left" vertical="center"/>
    </xf>
    <xf numFmtId="0" fontId="54" fillId="15" borderId="1" applyAlignment="1" pivotButton="0" quotePrefix="0" xfId="0">
      <alignment horizontal="center" vertical="center" textRotation="90"/>
    </xf>
    <xf numFmtId="0" fontId="0" fillId="0" borderId="44" pivotButton="0" quotePrefix="0" xfId="0"/>
    <xf numFmtId="0" fontId="0" fillId="0" borderId="45" pivotButton="0" quotePrefix="0" xfId="0"/>
    <xf numFmtId="0" fontId="60" fillId="16" borderId="42" applyAlignment="1" pivotButton="0" quotePrefix="0" xfId="0">
      <alignment horizontal="right"/>
    </xf>
    <xf numFmtId="0" fontId="0" fillId="0" borderId="43" pivotButton="0" quotePrefix="0" xfId="0"/>
    <xf numFmtId="0" fontId="44" fillId="0" borderId="3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4" pivotButton="0" quotePrefix="0" xfId="0"/>
    <xf numFmtId="0" fontId="6" fillId="0" borderId="0" applyAlignment="1" pivotButton="0" quotePrefix="0" xfId="0">
      <alignment horizontal="left"/>
    </xf>
    <xf numFmtId="0" fontId="0" fillId="0" borderId="0" pivotButton="0" quotePrefix="0" xfId="0"/>
    <xf numFmtId="0" fontId="15" fillId="2" borderId="0" applyAlignment="1" pivotButton="0" quotePrefix="0" xfId="0">
      <alignment vertical="center"/>
    </xf>
    <xf numFmtId="0" fontId="85" fillId="3" borderId="2" applyAlignment="1" pivotButton="0" quotePrefix="0" xfId="0">
      <alignment horizontal="left" vertical="top" wrapText="1"/>
    </xf>
    <xf numFmtId="0" fontId="26" fillId="2" borderId="0" pivotButton="0" quotePrefix="0" xfId="0"/>
    <xf numFmtId="0" fontId="9" fillId="6" borderId="0" applyAlignment="1" pivotButton="0" quotePrefix="0" xfId="0">
      <alignment vertical="center" wrapText="1"/>
    </xf>
    <xf numFmtId="0" fontId="86" fillId="14" borderId="3" applyAlignment="1" pivotButton="0" quotePrefix="0" xfId="0">
      <alignment horizontal="center" vertical="center"/>
    </xf>
    <xf numFmtId="164" fontId="9" fillId="22" borderId="0" applyAlignment="1" pivotButton="0" quotePrefix="0" xfId="0">
      <alignment horizontal="center" vertical="center"/>
    </xf>
    <xf numFmtId="0" fontId="26" fillId="2" borderId="10" pivotButton="0" quotePrefix="0" xfId="0"/>
    <xf numFmtId="0" fontId="0" fillId="0" borderId="46" pivotButton="0" quotePrefix="0" xfId="0"/>
    <xf numFmtId="0" fontId="72" fillId="7" borderId="0" applyAlignment="1" pivotButton="0" quotePrefix="0" xfId="0">
      <alignment horizontal="left"/>
    </xf>
    <xf numFmtId="0" fontId="71" fillId="0" borderId="0" applyAlignment="1" pivotButton="0" quotePrefix="0" xfId="0">
      <alignment vertical="center"/>
    </xf>
    <xf numFmtId="1" fontId="71" fillId="0" borderId="0" applyAlignment="1" pivotButton="0" quotePrefix="0" xfId="0">
      <alignment horizontal="center" vertical="center"/>
    </xf>
    <xf numFmtId="164" fontId="71" fillId="0" borderId="0" applyAlignment="1" pivotButton="0" quotePrefix="0" xfId="0">
      <alignment horizontal="center" vertical="center"/>
    </xf>
    <xf numFmtId="0" fontId="71" fillId="0" borderId="0" applyAlignment="1" pivotButton="0" quotePrefix="0" xfId="0">
      <alignment horizontal="center" vertical="center"/>
    </xf>
    <xf numFmtId="165" fontId="71" fillId="0" borderId="0" applyAlignment="1" pivotButton="0" quotePrefix="0" xfId="0">
      <alignment horizontal="center" vertical="center"/>
    </xf>
    <xf numFmtId="164" fontId="70" fillId="0" borderId="0" applyAlignment="1" pivotButton="0" quotePrefix="0" xfId="0">
      <alignment horizontal="center" vertical="center"/>
    </xf>
    <xf numFmtId="2" fontId="80" fillId="3" borderId="0" applyAlignment="1" pivotButton="0" quotePrefix="0" xfId="0">
      <alignment horizontal="center" vertical="center" wrapText="1"/>
    </xf>
    <xf numFmtId="0" fontId="8" fillId="3" borderId="2" applyAlignment="1" pivotButton="0" quotePrefix="0" xfId="0">
      <alignment horizontal="left" vertical="center" wrapText="1"/>
    </xf>
    <xf numFmtId="0" fontId="8" fillId="3" borderId="2" applyAlignment="1" pivotButton="0" quotePrefix="0" xfId="0">
      <alignment vertical="center" wrapText="1"/>
    </xf>
    <xf numFmtId="1" fontId="80" fillId="3" borderId="0" applyAlignment="1" pivotButton="0" quotePrefix="0" xfId="0">
      <alignment horizontal="center" vertical="center" wrapText="1"/>
    </xf>
    <xf numFmtId="0" fontId="20" fillId="7" borderId="0" pivotButton="0" quotePrefix="0" xfId="0"/>
    <xf numFmtId="0" fontId="9" fillId="3" borderId="0" applyAlignment="1" pivotButton="0" quotePrefix="0" xfId="0">
      <alignment horizontal="center" vertical="center" wrapText="1"/>
    </xf>
    <xf numFmtId="0" fontId="20" fillId="3" borderId="2" applyAlignment="1" pivotButton="0" quotePrefix="0" xfId="0">
      <alignment vertical="top" wrapText="1"/>
    </xf>
    <xf numFmtId="0" fontId="44" fillId="21" borderId="2" applyAlignment="1" pivotButton="0" quotePrefix="0" xfId="0">
      <alignment vertical="center" wrapText="1"/>
    </xf>
    <xf numFmtId="0" fontId="70" fillId="3" borderId="2" applyAlignment="1" pivotButton="0" quotePrefix="0" xfId="0">
      <alignment vertical="center" wrapText="1"/>
    </xf>
    <xf numFmtId="0" fontId="76" fillId="6" borderId="0" applyAlignment="1" pivotButton="0" quotePrefix="0" xfId="0">
      <alignment vertical="center" wrapText="1"/>
    </xf>
    <xf numFmtId="0" fontId="70" fillId="14" borderId="2" applyAlignment="1" pivotButton="0" quotePrefix="0" xfId="0">
      <alignment vertical="center" wrapText="1"/>
    </xf>
    <xf numFmtId="0" fontId="8" fillId="2" borderId="0" applyAlignment="1" pivotButton="0" quotePrefix="0" xfId="0">
      <alignment horizontal="center" vertical="center"/>
    </xf>
    <xf numFmtId="0" fontId="70" fillId="0" borderId="0" applyAlignment="1" pivotButton="0" quotePrefix="0" xfId="0">
      <alignment vertical="center"/>
    </xf>
    <xf numFmtId="0" fontId="44" fillId="3" borderId="2" applyAlignment="1" pivotButton="0" quotePrefix="0" xfId="0">
      <alignment horizontal="left" vertical="top" wrapText="1"/>
    </xf>
    <xf numFmtId="0" fontId="8" fillId="3" borderId="2" applyAlignment="1" pivotButton="0" quotePrefix="0" xfId="0">
      <alignment vertical="top" wrapText="1"/>
    </xf>
    <xf numFmtId="0" fontId="16" fillId="3" borderId="0" applyAlignment="1" pivotButton="0" quotePrefix="0" xfId="0">
      <alignment horizontal="center" vertical="center"/>
    </xf>
    <xf numFmtId="0" fontId="16" fillId="2" borderId="0" applyAlignment="1" pivotButton="0" quotePrefix="0" xfId="0">
      <alignment horizontal="center" vertical="center"/>
    </xf>
    <xf numFmtId="168" fontId="86" fillId="14" borderId="0" applyAlignment="1" pivotButton="0" quotePrefix="0" xfId="0">
      <alignment horizontal="center" vertical="center"/>
    </xf>
    <xf numFmtId="0" fontId="20" fillId="3" borderId="2" applyAlignment="1" pivotButton="0" quotePrefix="0" xfId="0">
      <alignment horizontal="left" vertical="top" wrapText="1"/>
    </xf>
    <xf numFmtId="0" fontId="20" fillId="7" borderId="0" applyAlignment="1" pivotButton="0" quotePrefix="0" xfId="0">
      <alignment horizontal="left"/>
    </xf>
    <xf numFmtId="0" fontId="20" fillId="3" borderId="0" applyAlignment="1" pivotButton="0" quotePrefix="0" xfId="0">
      <alignment horizontal="center" vertical="center" wrapText="1"/>
    </xf>
    <xf numFmtId="0" fontId="8" fillId="20" borderId="2" applyAlignment="1" pivotButton="0" quotePrefix="0" xfId="0">
      <alignment horizontal="left" vertical="center" wrapText="1"/>
    </xf>
    <xf numFmtId="0" fontId="20" fillId="20" borderId="2" applyAlignment="1" pivotButton="0" quotePrefix="0" xfId="0">
      <alignment vertical="center" wrapText="1"/>
    </xf>
    <xf numFmtId="0" fontId="70" fillId="3" borderId="2" applyAlignment="1" pivotButton="0" quotePrefix="0" xfId="0">
      <alignment vertical="top" wrapText="1"/>
    </xf>
    <xf numFmtId="0" fontId="8" fillId="20" borderId="2" applyAlignment="1" pivotButton="0" quotePrefix="0" xfId="0">
      <alignment vertical="center" wrapText="1"/>
    </xf>
    <xf numFmtId="0" fontId="20" fillId="3" borderId="2" applyAlignment="1" pivotButton="0" quotePrefix="0" xfId="0">
      <alignment vertical="center" wrapText="1"/>
    </xf>
    <xf numFmtId="164" fontId="42" fillId="9" borderId="3" applyAlignment="1" pivotButton="0" quotePrefix="0" xfId="4">
      <alignment horizontal="center"/>
    </xf>
    <xf numFmtId="166" fontId="12" fillId="2" borderId="0" pivotButton="0" quotePrefix="0" xfId="0"/>
    <xf numFmtId="0" fontId="22" fillId="2" borderId="0" pivotButton="0" quotePrefix="0" xfId="0"/>
    <xf numFmtId="0" fontId="10" fillId="8" borderId="0" applyAlignment="1" pivotButton="0" quotePrefix="0" xfId="0">
      <alignment horizontal="left" vertical="center" wrapText="1"/>
    </xf>
    <xf numFmtId="166" fontId="90" fillId="2" borderId="0" pivotButton="0" quotePrefix="0" xfId="0"/>
    <xf numFmtId="164" fontId="26" fillId="2" borderId="0" applyAlignment="1" pivotButton="0" quotePrefix="0" xfId="4">
      <alignment horizontal="left"/>
    </xf>
    <xf numFmtId="164" fontId="22" fillId="2" borderId="0" pivotButton="0" quotePrefix="0" xfId="4"/>
    <xf numFmtId="0" fontId="31" fillId="3" borderId="0" applyAlignment="1" pivotButton="0" quotePrefix="0" xfId="0">
      <alignment horizontal="center" vertical="top"/>
    </xf>
    <xf numFmtId="0" fontId="15" fillId="3" borderId="2" applyAlignment="1" pivotButton="0" quotePrefix="0" xfId="0">
      <alignment horizontal="left" vertical="top" wrapText="1"/>
    </xf>
    <xf numFmtId="14" fontId="10" fillId="8" borderId="0" applyAlignment="1" pivotButton="0" quotePrefix="0" xfId="0">
      <alignment horizontal="left" vertical="center"/>
    </xf>
    <xf numFmtId="164" fontId="22" fillId="2" borderId="0" applyAlignment="1" pivotButton="0" quotePrefix="0" xfId="4">
      <alignment horizontal="center"/>
    </xf>
    <xf numFmtId="0" fontId="22" fillId="2" borderId="0" applyAlignment="1" pivotButton="0" quotePrefix="0" xfId="0">
      <alignment horizontal="center"/>
    </xf>
    <xf numFmtId="166" fontId="22" fillId="2" borderId="0" pivotButton="0" quotePrefix="0" xfId="0"/>
    <xf numFmtId="0" fontId="12" fillId="14" borderId="3" applyAlignment="1" pivotButton="0" quotePrefix="0" xfId="0">
      <alignment horizontal="center"/>
    </xf>
    <xf numFmtId="0" fontId="10" fillId="8" borderId="0" applyAlignment="1" pivotButton="0" quotePrefix="0" xfId="0">
      <alignment horizontal="center" vertical="center" wrapText="1"/>
    </xf>
    <xf numFmtId="1" fontId="10" fillId="8" borderId="0" applyAlignment="1" pivotButton="0" quotePrefix="0" xfId="0">
      <alignment horizontal="left" vertical="center"/>
    </xf>
    <xf numFmtId="164" fontId="42" fillId="9" borderId="13" applyAlignment="1" pivotButton="0" quotePrefix="0" xfId="4">
      <alignment horizontal="center"/>
    </xf>
    <xf numFmtId="0" fontId="0" fillId="0" borderId="14" pivotButton="0" quotePrefix="0" xfId="0"/>
    <xf numFmtId="0" fontId="31" fillId="3" borderId="0" applyAlignment="1" pivotButton="0" quotePrefix="0" xfId="0">
      <alignment horizontal="left" vertical="top"/>
    </xf>
    <xf numFmtId="0" fontId="26" fillId="8" borderId="0" applyAlignment="1" pivotButton="0" quotePrefix="0" xfId="0">
      <alignment horizontal="left" vertical="top" wrapText="1"/>
    </xf>
    <xf numFmtId="0" fontId="25" fillId="8" borderId="0" applyAlignment="1" pivotButton="0" quotePrefix="0" xfId="0">
      <alignment horizontal="left" vertical="center" wrapText="1"/>
    </xf>
    <xf numFmtId="0" fontId="31" fillId="3" borderId="0" applyAlignment="1" pivotButton="0" quotePrefix="0" xfId="0">
      <alignment horizontal="center" vertical="center"/>
    </xf>
    <xf numFmtId="169" fontId="10" fillId="8" borderId="0" applyAlignment="1" pivotButton="0" quotePrefix="0" xfId="0">
      <alignment horizontal="left" vertical="center"/>
    </xf>
    <xf numFmtId="0" fontId="15" fillId="2" borderId="0" applyAlignment="1" pivotButton="0" quotePrefix="0" xfId="3">
      <alignment horizontal="left" vertical="center"/>
    </xf>
    <xf numFmtId="0" fontId="25" fillId="8" borderId="0" applyAlignment="1" pivotButton="0" quotePrefix="0" xfId="3">
      <alignment horizontal="left" vertical="center"/>
    </xf>
    <xf numFmtId="0" fontId="15" fillId="2" borderId="0" applyAlignment="1" pivotButton="0" quotePrefix="0" xfId="3">
      <alignment horizontal="center" vertical="center"/>
    </xf>
    <xf numFmtId="0" fontId="102" fillId="3" borderId="2" applyAlignment="1" pivotButton="0" quotePrefix="0" xfId="0">
      <alignment horizontal="left" vertical="top" wrapText="1"/>
    </xf>
    <xf numFmtId="169" fontId="25" fillId="8" borderId="0" applyAlignment="1" pivotButton="0" quotePrefix="0" xfId="3">
      <alignment horizontal="left" vertical="center"/>
    </xf>
    <xf numFmtId="0" fontId="31" fillId="3" borderId="0" applyAlignment="1" pivotButton="0" quotePrefix="0" xfId="3">
      <alignment horizontal="center" vertical="top"/>
    </xf>
    <xf numFmtId="0" fontId="8" fillId="2" borderId="0" applyAlignment="1" pivotButton="0" quotePrefix="0" xfId="3">
      <alignment horizontal="center" vertical="center"/>
    </xf>
    <xf numFmtId="164" fontId="9" fillId="0" borderId="0" applyAlignment="1" pivotButton="0" quotePrefix="0" xfId="0">
      <alignment horizontal="center" vertical="center"/>
    </xf>
    <xf numFmtId="0" fontId="11" fillId="2" borderId="0" applyAlignment="1" pivotButton="0" quotePrefix="0" xfId="0">
      <alignment vertical="center"/>
    </xf>
    <xf numFmtId="167" fontId="11" fillId="2" borderId="0" applyAlignment="1" pivotButton="0" quotePrefix="0" xfId="3">
      <alignment vertical="center"/>
    </xf>
    <xf numFmtId="167" fontId="11" fillId="2" borderId="0" applyAlignment="1" pivotButton="0" quotePrefix="0" xfId="3">
      <alignment horizontal="center" vertical="center"/>
    </xf>
    <xf numFmtId="167" fontId="109" fillId="14" borderId="2" applyAlignment="1" pivotButton="0" quotePrefix="0" xfId="3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 vertical="center" wrapText="1"/>
    </xf>
    <xf numFmtId="0" fontId="8" fillId="23" borderId="0" applyAlignment="1" pivotButton="0" quotePrefix="0" xfId="0">
      <alignment horizontal="left" vertical="center"/>
    </xf>
    <xf numFmtId="0" fontId="15" fillId="14" borderId="0" applyAlignment="1" pivotButton="0" quotePrefix="0" xfId="0">
      <alignment horizontal="left" vertical="center"/>
    </xf>
    <xf numFmtId="0" fontId="8" fillId="14" borderId="2" applyAlignment="1" pivotButton="0" quotePrefix="0" xfId="0">
      <alignment horizontal="left" vertical="center" wrapText="1"/>
    </xf>
    <xf numFmtId="166" fontId="26" fillId="8" borderId="0" applyAlignment="1" pivotButton="0" quotePrefix="0" xfId="0">
      <alignment horizontal="left" vertical="center"/>
    </xf>
    <xf numFmtId="164" fontId="4" fillId="2" borderId="0" applyAlignment="1" pivotButton="0" quotePrefix="0" xfId="1">
      <alignment horizontal="center"/>
    </xf>
    <xf numFmtId="164" fontId="5" fillId="2" borderId="0" pivotButton="0" quotePrefix="0" xfId="1"/>
    <xf numFmtId="164" fontId="6" fillId="20" borderId="42" applyAlignment="1" pivotButton="0" quotePrefix="0" xfId="1">
      <alignment horizontal="left" vertical="center"/>
    </xf>
    <xf numFmtId="0" fontId="0" fillId="0" borderId="47" pivotButton="0" quotePrefix="0" xfId="0"/>
    <xf numFmtId="164" fontId="5" fillId="2" borderId="0" applyAlignment="1" pivotButton="0" quotePrefix="0" xfId="1">
      <alignment horizontal="center" vertical="top" wrapText="1"/>
    </xf>
    <xf numFmtId="169" fontId="6" fillId="0" borderId="0" applyAlignment="1" pivotButton="0" quotePrefix="0" xfId="1">
      <alignment horizontal="center"/>
    </xf>
    <xf numFmtId="164" fontId="6" fillId="2" borderId="0" pivotButton="0" quotePrefix="0" xfId="1"/>
  </cellXfs>
  <cellStyles count="6">
    <cellStyle name="Normal" xfId="0" builtinId="0"/>
    <cellStyle name="Currency" xfId="1" builtinId="4"/>
    <cellStyle name="Percent" xfId="2" builtinId="5"/>
    <cellStyle name="Normal 2" xfId="3"/>
    <cellStyle name="Currency 2" xfId="4"/>
    <cellStyle name="Percent 2" xfId="5"/>
  </cellStyles>
  <dxfs count="15579"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77" formatCode="_-[$€-2]\ * #,##0.00_-;\-[$€-2]\ * #,##0.00_-;_-[$€-2]\ * &quot;-&quot;??_-;_-@_-"/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0.7999816888943144"/>
      </font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rgb="FF007A37"/>
      </font>
      <fill>
        <patternFill>
          <bgColor theme="8" tint="0.7999816888943144"/>
        </patternFill>
      </fill>
    </dxf>
    <dxf>
      <font>
        <b val="1"/>
        <color rgb="FFC40000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77" formatCode="_-[$€-2]\ * #,##0.00_-;\-[$€-2]\ * #,##0.00_-;_-[$€-2]\ * &quot;-&quot;??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0.7999816888943144"/>
      </font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rgb="FF007A37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rgb="FF007A37"/>
      </font>
      <fill>
        <patternFill>
          <bgColor theme="8" tint="0.7999816888943144"/>
        </patternFill>
      </fill>
    </dxf>
    <dxf>
      <font>
        <b val="1"/>
        <color rgb="FFC40000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font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</dxf>
    <dxf>
      <font>
        <color theme="8" tint="0.7999816888943144"/>
      </font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/>
        <right/>
        <vertical/>
        <horizontal/>
      </border>
    </dxf>
    <dxf>
      <font>
        <color rgb="FFC00000"/>
      </font>
      <fill>
        <patternFill>
          <bgColor theme="0" tint="-0.049989318521683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/>
        <right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theme="8" tint="-0.499984740745262"/>
      </font>
      <fill>
        <patternFill>
          <bgColor theme="8" tint="0.3999450666829432"/>
        </patternFill>
      </fill>
    </dxf>
    <dxf>
      <fill>
        <patternFill>
          <bgColor theme="8" tint="0.5999633777886288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/>
        <vertical/>
        <horizontal/>
      </border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</dxf>
    <dxf>
      <font>
        <color theme="8" tint="0.7999816888943144"/>
      </font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/>
        <right/>
        <vertical/>
        <horizontal/>
      </border>
    </dxf>
    <dxf>
      <font>
        <color rgb="FFC00000"/>
      </font>
      <fill>
        <patternFill>
          <bgColor theme="0" tint="-0.049989318521683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/>
        <right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theme="8" tint="-0.499984740745262"/>
      </font>
      <fill>
        <patternFill>
          <bgColor theme="8" tint="0.3999450666829432"/>
        </patternFill>
      </fill>
    </dxf>
    <dxf>
      <fill>
        <patternFill>
          <bgColor theme="8" tint="0.5999633777886288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/>
        <vertical/>
        <horizontal/>
      </border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numFmt numFmtId="178" formatCode="_-[$$-409]* #,##0.00_ ;_-[$$-409]* \-#,##0.00\ ;_-[$$-409]* &quot;-&quot;??_ ;_-@_ "/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* #,##0.00\ [$Kč-405]_-;\-* #,##0.00\ [$Kč-405]_-;_-* &quot;-&quot;??\ [$Kč-405]_-;_-@_-"/>
    </dxf>
    <dxf>
      <numFmt numFmtId="180" formatCode="_-* #,##0.00\ [$zł-415]_-;\-* #,##0.00\ [$zł-415]_-;_-* &quot;-&quot;??\ [$zł-415]_-;_-@_-"/>
    </dxf>
    <dxf>
      <numFmt numFmtId="177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numFmt numFmtId="180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80" formatCode="_-* #,##0.00\ [$zł-415]_-;\-* #,##0.00\ [$zł-415]_-;_-* &quot;-&quot;??\ [$zł-415]_-;_-@_-"/>
    </dxf>
    <dxf>
      <numFmt numFmtId="179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externalLink" Target="/xl/externalLinks/externalLink1.xml" Id="rId59"/><Relationship Type="http://schemas.openxmlformats.org/officeDocument/2006/relationships/externalLink" Target="/xl/externalLinks/externalLink2.xml" Id="rId60"/><Relationship Type="http://schemas.openxmlformats.org/officeDocument/2006/relationships/externalLink" Target="/xl/externalLinks/externalLink3.xml" Id="rId61"/><Relationship Type="http://schemas.openxmlformats.org/officeDocument/2006/relationships/externalLink" Target="/xl/externalLinks/externalLink4.xml" Id="rId62"/><Relationship Type="http://schemas.openxmlformats.org/officeDocument/2006/relationships/styles" Target="styles.xml" Id="rId63"/><Relationship Type="http://schemas.openxmlformats.org/officeDocument/2006/relationships/theme" Target="theme/theme1.xml" Id="rId64"/></Relationships>
</file>

<file path=xl/comments/comment1.xml><?xml version="1.0" encoding="utf-8"?>
<comments xmlns="http://schemas.openxmlformats.org/spreadsheetml/2006/main">
  <authors>
    <author>Simon Still</author>
  </authors>
  <commentList>
    <comment ref="D13" authorId="0" shapeId="0">
      <text>
        <t>Simon Still:
This will contain the following: MU6+AO4 - these, in combination, send signals to the VAV dampers (4 max) as well as the 0-10V signal for the extract fan. MW1 - This is the main PLC in the system which contains all of the logic and includes a DI5 &amp; DO6. It is present in all LHC-2 systems but in MARVELs case it also replaces the calculator and the auxilliary alarm controller. There may be either 1 or 2  MW1s depending on whether Aerolys is present. Edge - This is the "router" which contains the SIM card and attaches to the antenna. Antenna - present for recieveing a 4G signal to the Edge. Network Switch - This marshalls communications between the HMI, Edge, MW1s. HMI - This is the touchscreen. There are also various electrical sundries such as a 24VDC power supply, ethernet cables etc. Full list of these can be found on the BOM held by Steve Kembrey.</t>
      </text>
    </comment>
    <comment ref="D24" authorId="0" shapeId="0">
      <text>
        <t>Supervisor:
Monitors canopy section. Ref: LHC-2-MU1+VV1 (Not required if UV quoted as already in UV cost)</t>
      </text>
    </comment>
    <comment ref="D25" authorId="0" shapeId="0">
      <text>
        <t>ICM Cable:
Supervisor connection cable. (Not requied if UV quoted as already in UV cost)</t>
      </text>
    </comment>
    <comment ref="D27" authorId="0" shapeId="0">
      <text>
        <t xml:space="preserve">NTC Sensor:
Temperature Sensor - measures plenum temp.
</t>
      </text>
    </comment>
    <comment ref="D28" authorId="0" shapeId="0">
      <text>
        <t>Infra Red Sensor:
maximum centres are 1.2m or 1no per piece of equipment or 4no maximum per section of canopy</t>
      </text>
    </comment>
    <comment ref="D29" authorId="0" shapeId="0">
      <text>
        <t>Motorised Damper:
Actuated Blade Damper (ABD) two standard sizes 400x300mm or 600x300mm both 65mm high supplied by SK Sales (Slim Fit range)</t>
      </text>
    </comment>
    <comment ref="D30" authorId="0" shapeId="0">
      <text>
        <t>HFA Circular Damper:
To extract at a variable (VAV) or constant (CAV) airflow volume if not a dedicated extract fan, has its own power supply and settings and can be connected to the calculator</t>
      </text>
    </comment>
    <comment ref="D31" authorId="0" shapeId="0">
      <text>
        <t>HFR Rectangular Damper:
To extract at a variable (VAV) or constant (CAV) airflow volume if not a dedicated extract fan, has its own power supply and settings and can be connected to the calculator</t>
      </text>
    </comment>
    <comment ref="D34" authorId="0" shapeId="0">
      <text>
        <t>BELIMO TYPE DAMPER:
1no to be allowed for each extract spigot</t>
      </text>
    </comment>
    <comment ref="D37" authorId="0" shapeId="0">
      <text>
        <t>HFA Circular Damper:
To suppy at a variable (VAV) or constant (CAV) airflow volume if not a dedicated supply fan, has its own power supply and settings and can be connected to the calculator</t>
      </text>
    </comment>
    <comment ref="D45" authorId="0" shapeId="0">
      <text>
        <t>UKV Rectangular Main Duct Damper:
500mm x 400mm x 600mm (W x H x L) to be used in the main extract duct and connected to the calculator if access to main extract fan is unavailable</t>
      </text>
    </comment>
    <comment ref="D46" authorId="0" shapeId="0">
      <text>
        <t>UKV Rectangular Main Duct Damper:
600mm x 400mm x 600mm (W x H x L) to be used in the main extract duct and connected to the calculator if access to main extract fan is unavailable</t>
      </text>
    </comment>
    <comment ref="D47" authorId="0" shapeId="0">
      <text>
        <t>UKV Rectangular Main Duct Damper:
700mm x 400mm x 600mm (W x H x L) to be used in the main extract duct and connected to the calculator if access to main extract fan is unavailable</t>
      </text>
    </comment>
    <comment ref="D48" authorId="0" shapeId="0">
      <text>
        <t>UKV Rectangular Main Duct Damper:
800mm x 500mm x 600mm (W x H x L) to be used in the main extract duct and connected to the calculator if access to main extract fan is unavailable</t>
      </text>
    </comment>
    <comment ref="D49" authorId="0" shapeId="0">
      <text>
        <t>UKV Rectangular Main Duct Damper:
1000mm x 500mm x 600mm (W x H x L) to be used in the main extract duct and connected to the calculator if access to main extract fan is unavailable</t>
      </text>
    </comment>
    <comment ref="D50" authorId="0" shapeId="0">
      <text>
        <t>UKV Rectangular Main Duct Damper:
1000mm x 800mm x 600mm (W x H x L) to be used in the main extract duct and connected to the calculator if access to main extract fan is unavailable</t>
      </text>
    </comment>
    <comment ref="D51" authorId="0" shapeId="0">
      <text>
        <t>UKV Rectangular Main Duct Damper:
1000mm x 1000mm x 600mm (W x H x L) to be used in the main extract duct and connected to the calculator if access to main extract fan is unavailable</t>
      </text>
    </comment>
    <comment ref="D55" authorId="0" shapeId="0">
      <text>
        <t>Programming:
1 day per system or calculator.</t>
      </text>
    </comment>
    <comment ref="D56" authorId="0" shapeId="0">
      <text>
        <t>Workshop:
Installation of some of the components whilst in the workshop (IR Sensors etc)</t>
      </text>
    </comment>
    <comment ref="D57" authorId="0" shapeId="0">
      <text>
        <t>Site Installation:
Quarter day per section including connecting all components within that section</t>
      </text>
    </comment>
    <comment ref="D58" authorId="0" shapeId="0">
      <text>
        <t>Consumables:
Cable tray, cable ties, fittings etc</t>
      </text>
    </comment>
    <comment ref="D59" authorId="0" shapeId="0">
      <text>
        <t>1st T &amp; C:
Setting the system prior to the cooking equipment being made live</t>
      </text>
    </comment>
    <comment ref="D60" authorId="0" shapeId="0">
      <text>
        <t>2nd T &amp; C:
Cooking equipment is made live final test &amp; commission can be carried out</t>
      </text>
    </comment>
  </commentList>
</comments>
</file>

<file path=xl/comments/comment2.xml><?xml version="1.0" encoding="utf-8"?>
<comments xmlns="http://schemas.openxmlformats.org/spreadsheetml/2006/main">
  <authors>
    <author>Simon Still</author>
  </authors>
  <commentList>
    <comment ref="AW111" authorId="0" shapeId="0">
      <text>
        <t xml:space="preserve">Simon Still:
1/2inch single tap wall mounted c/w 24inch dbl swing 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jpeg" Id="rId1"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jpeg" Id="rId1"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jpeg" Id="rId1"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jpeg" Id="rId1"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jpeg" Id="rId1"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jpeg" Id="rId1"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jpeg" Id="rId1"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jpeg" Id="rId1"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jpeg" Id="rId1"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jpe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/></Relationships>
</file>

<file path=xl/drawings/_rels/drawing20.xml.rels><Relationships xmlns="http://schemas.openxmlformats.org/package/2006/relationships"><Relationship Type="http://schemas.openxmlformats.org/officeDocument/2006/relationships/image" Target="/xl/media/image20.jpeg" Id="rId1"/></Relationships>
</file>

<file path=xl/drawings/_rels/drawing21.xml.rels><Relationships xmlns="http://schemas.openxmlformats.org/package/2006/relationships"><Relationship Type="http://schemas.openxmlformats.org/officeDocument/2006/relationships/image" Target="/xl/media/image21.jpeg" Id="rId1"/></Relationships>
</file>

<file path=xl/drawings/_rels/drawing22.xml.rels><Relationships xmlns="http://schemas.openxmlformats.org/package/2006/relationships"><Relationship Type="http://schemas.openxmlformats.org/officeDocument/2006/relationships/image" Target="/xl/media/image22.jpeg" Id="rId1"/></Relationships>
</file>

<file path=xl/drawings/_rels/drawing23.xml.rels><Relationships xmlns="http://schemas.openxmlformats.org/package/2006/relationships"><Relationship Type="http://schemas.openxmlformats.org/officeDocument/2006/relationships/image" Target="/xl/media/image23.jpeg" Id="rId1"/></Relationships>
</file>

<file path=xl/drawings/_rels/drawing24.xml.rels><Relationships xmlns="http://schemas.openxmlformats.org/package/2006/relationships"><Relationship Type="http://schemas.openxmlformats.org/officeDocument/2006/relationships/image" Target="/xl/media/image24.jpeg" Id="rId1"/></Relationships>
</file>

<file path=xl/drawings/_rels/drawing25.xml.rels><Relationships xmlns="http://schemas.openxmlformats.org/package/2006/relationships"><Relationship Type="http://schemas.openxmlformats.org/officeDocument/2006/relationships/image" Target="/xl/media/image25.jpeg" Id="rId1"/></Relationships>
</file>

<file path=xl/drawings/_rels/drawing26.xml.rels><Relationships xmlns="http://schemas.openxmlformats.org/package/2006/relationships"><Relationship Type="http://schemas.openxmlformats.org/officeDocument/2006/relationships/image" Target="/xl/media/image26.jpeg" Id="rId1"/></Relationships>
</file>

<file path=xl/drawings/_rels/drawing27.xml.rels><Relationships xmlns="http://schemas.openxmlformats.org/package/2006/relationships"><Relationship Type="http://schemas.openxmlformats.org/officeDocument/2006/relationships/image" Target="/xl/media/image27.jpeg" Id="rId1"/></Relationships>
</file>

<file path=xl/drawings/_rels/drawing28.xml.rels><Relationships xmlns="http://schemas.openxmlformats.org/package/2006/relationships"><Relationship Type="http://schemas.openxmlformats.org/officeDocument/2006/relationships/image" Target="/xl/media/image28.jpeg" Id="rId1"/></Relationships>
</file>

<file path=xl/drawings/_rels/drawing29.xml.rels><Relationships xmlns="http://schemas.openxmlformats.org/package/2006/relationships"><Relationship Type="http://schemas.openxmlformats.org/officeDocument/2006/relationships/image" Target="/xl/media/image29.jpe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jpeg" Id="rId1"/></Relationships>
</file>

<file path=xl/drawings/_rels/drawing30.xml.rels><Relationships xmlns="http://schemas.openxmlformats.org/package/2006/relationships"><Relationship Type="http://schemas.openxmlformats.org/officeDocument/2006/relationships/image" Target="/xl/media/image30.jpeg" Id="rId1"/></Relationships>
</file>

<file path=xl/drawings/_rels/drawing31.xml.rels><Relationships xmlns="http://schemas.openxmlformats.org/package/2006/relationships"><Relationship Type="http://schemas.openxmlformats.org/officeDocument/2006/relationships/image" Target="/xl/media/image31.jpeg" Id="rId1"/></Relationships>
</file>

<file path=xl/drawings/_rels/drawing32.xml.rels><Relationships xmlns="http://schemas.openxmlformats.org/package/2006/relationships"><Relationship Type="http://schemas.openxmlformats.org/officeDocument/2006/relationships/image" Target="/xl/media/image32.jpeg" Id="rId1"/></Relationships>
</file>

<file path=xl/drawings/_rels/drawing33.xml.rels><Relationships xmlns="http://schemas.openxmlformats.org/package/2006/relationships"><Relationship Type="http://schemas.openxmlformats.org/officeDocument/2006/relationships/image" Target="/xl/media/image33.jpeg" Id="rId1"/></Relationships>
</file>

<file path=xl/drawings/_rels/drawing34.xml.rels><Relationships xmlns="http://schemas.openxmlformats.org/package/2006/relationships"><Relationship Type="http://schemas.openxmlformats.org/officeDocument/2006/relationships/image" Target="/xl/media/image34.jpeg" Id="rId1"/></Relationships>
</file>

<file path=xl/drawings/_rels/drawing35.xml.rels><Relationships xmlns="http://schemas.openxmlformats.org/package/2006/relationships"><Relationship Type="http://schemas.openxmlformats.org/officeDocument/2006/relationships/image" Target="/xl/media/image35.jpeg" Id="rId1"/></Relationships>
</file>

<file path=xl/drawings/_rels/drawing36.xml.rels><Relationships xmlns="http://schemas.openxmlformats.org/package/2006/relationships"><Relationship Type="http://schemas.openxmlformats.org/officeDocument/2006/relationships/image" Target="/xl/media/image36.jpeg" Id="rId1"/></Relationships>
</file>

<file path=xl/drawings/_rels/drawing37.xml.rels><Relationships xmlns="http://schemas.openxmlformats.org/package/2006/relationships"><Relationship Type="http://schemas.openxmlformats.org/officeDocument/2006/relationships/image" Target="/xl/media/image37.jpeg" Id="rId1"/></Relationships>
</file>

<file path=xl/drawings/_rels/drawing38.xml.rels><Relationships xmlns="http://schemas.openxmlformats.org/package/2006/relationships"><Relationship Type="http://schemas.openxmlformats.org/officeDocument/2006/relationships/image" Target="/xl/media/image38.jpeg" Id="rId1"/></Relationships>
</file>

<file path=xl/drawings/_rels/drawing39.xml.rels><Relationships xmlns="http://schemas.openxmlformats.org/package/2006/relationships"><Relationship Type="http://schemas.openxmlformats.org/officeDocument/2006/relationships/image" Target="/xl/media/image39.jpe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jpeg" Id="rId1"/></Relationships>
</file>

<file path=xl/drawings/_rels/drawing40.xml.rels><Relationships xmlns="http://schemas.openxmlformats.org/package/2006/relationships"><Relationship Type="http://schemas.openxmlformats.org/officeDocument/2006/relationships/image" Target="/xl/media/image40.jpeg" Id="rId1"/></Relationships>
</file>

<file path=xl/drawings/_rels/drawing41.xml.rels><Relationships xmlns="http://schemas.openxmlformats.org/package/2006/relationships"><Relationship Type="http://schemas.openxmlformats.org/officeDocument/2006/relationships/image" Target="/xl/media/image41.jpeg" Id="rId1"/></Relationships>
</file>

<file path=xl/drawings/_rels/drawing42.xml.rels><Relationships xmlns="http://schemas.openxmlformats.org/package/2006/relationships"><Relationship Type="http://schemas.openxmlformats.org/officeDocument/2006/relationships/image" Target="/xl/media/image42.jpeg" Id="rId1"/></Relationships>
</file>

<file path=xl/drawings/_rels/drawing43.xml.rels><Relationships xmlns="http://schemas.openxmlformats.org/package/2006/relationships"><Relationship Type="http://schemas.openxmlformats.org/officeDocument/2006/relationships/image" Target="/xl/media/image43.jpeg" Id="rId1"/></Relationships>
</file>

<file path=xl/drawings/_rels/drawing44.xml.rels><Relationships xmlns="http://schemas.openxmlformats.org/package/2006/relationships"><Relationship Type="http://schemas.openxmlformats.org/officeDocument/2006/relationships/image" Target="/xl/media/image44.jpeg" Id="rId1"/></Relationships>
</file>

<file path=xl/drawings/_rels/drawing45.xml.rels><Relationships xmlns="http://schemas.openxmlformats.org/package/2006/relationships"><Relationship Type="http://schemas.openxmlformats.org/officeDocument/2006/relationships/image" Target="/xl/media/image45.jpeg" Id="rId1"/></Relationships>
</file>

<file path=xl/drawings/_rels/drawing46.xml.rels><Relationships xmlns="http://schemas.openxmlformats.org/package/2006/relationships"><Relationship Type="http://schemas.openxmlformats.org/officeDocument/2006/relationships/image" Target="/xl/media/image46.jpeg" Id="rId1"/><Relationship Type="http://schemas.openxmlformats.org/officeDocument/2006/relationships/image" Target="/xl/media/image47.jpeg" Id="rId2"/></Relationships>
</file>

<file path=xl/drawings/_rels/drawing47.xml.rels><Relationships xmlns="http://schemas.openxmlformats.org/package/2006/relationships"><Relationship Type="http://schemas.openxmlformats.org/officeDocument/2006/relationships/image" Target="/xl/media/image48.jpeg" Id="rId1"/></Relationships>
</file>

<file path=xl/drawings/_rels/drawing48.xml.rels><Relationships xmlns="http://schemas.openxmlformats.org/package/2006/relationships"><Relationship Type="http://schemas.openxmlformats.org/officeDocument/2006/relationships/image" Target="/xl/media/image49.jpeg" Id="rId1"/></Relationships>
</file>

<file path=xl/drawings/_rels/drawing49.xml.rels><Relationships xmlns="http://schemas.openxmlformats.org/package/2006/relationships"><Relationship Type="http://schemas.openxmlformats.org/officeDocument/2006/relationships/image" Target="/xl/media/image50.jpeg" Id="rId1"/></Relationships>
</file>

<file path=xl/drawings/_rels/drawing5.xml.rels><Relationships xmlns="http://schemas.openxmlformats.org/package/2006/relationships"><Relationship Type="http://schemas.openxmlformats.org/officeDocument/2006/relationships/image" Target="/xl/media/image5.jpeg" Id="rId1"/></Relationships>
</file>

<file path=xl/drawings/_rels/drawing6.xml.rels><Relationships xmlns="http://schemas.openxmlformats.org/package/2006/relationships"><Relationship Type="http://schemas.openxmlformats.org/officeDocument/2006/relationships/image" Target="/xl/media/image6.jpeg" Id="rId1"/></Relationships>
</file>

<file path=xl/drawings/_rels/drawing7.xml.rels><Relationships xmlns="http://schemas.openxmlformats.org/package/2006/relationships"><Relationship Type="http://schemas.openxmlformats.org/officeDocument/2006/relationships/image" Target="/xl/media/image7.jpeg" Id="rId1"/></Relationships>
</file>

<file path=xl/drawings/_rels/drawing8.xml.rels><Relationships xmlns="http://schemas.openxmlformats.org/package/2006/relationships"><Relationship Type="http://schemas.openxmlformats.org/officeDocument/2006/relationships/image" Target="/xl/media/image8.jpeg" Id="rId1"/></Relationships>
</file>

<file path=xl/drawings/_rels/drawing9.xml.rels><Relationships xmlns="http://schemas.openxmlformats.org/package/2006/relationships"><Relationship Type="http://schemas.openxmlformats.org/officeDocument/2006/relationships/image" Target="/xl/media/image9.jpeg" Id="rId1"/></Relationships>
</file>

<file path=xl/drawings/drawing1.xml><?xml version="1.0" encoding="utf-8"?>
<wsDr xmlns="http://schemas.openxmlformats.org/drawingml/2006/spreadsheetDrawing">
  <twoCellAnchor editAs="oneCell">
    <from>
      <col>13</col>
      <colOff>56737</colOff>
      <row>2</row>
      <rowOff>57151</rowOff>
    </from>
    <to>
      <col>14</col>
      <colOff>819149</colOff>
      <row>4</row>
      <rowOff>57150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515562" y="438151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0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936478</colOff>
      <row>4</row>
      <rowOff>947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51200" y="381000"/>
          <a:ext cx="1838178" cy="3819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1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936478</colOff>
      <row>4</row>
      <rowOff>947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51200" y="381000"/>
          <a:ext cx="1838178" cy="3819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2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936478</colOff>
      <row>4</row>
      <rowOff>947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51200" y="381000"/>
          <a:ext cx="1838178" cy="3819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3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936478</colOff>
      <row>4</row>
      <rowOff>947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51200" y="381000"/>
          <a:ext cx="1838178" cy="3819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4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936478</colOff>
      <row>4</row>
      <rowOff>947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51200" y="381000"/>
          <a:ext cx="1838178" cy="3819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5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936478</colOff>
      <row>4</row>
      <rowOff>947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51200" y="381000"/>
          <a:ext cx="1838178" cy="3819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6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936478</colOff>
      <row>4</row>
      <rowOff>947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51200" y="381000"/>
          <a:ext cx="1838178" cy="3819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7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936478</colOff>
      <row>4</row>
      <rowOff>947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51200" y="381000"/>
          <a:ext cx="1838178" cy="3819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8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936478</colOff>
      <row>4</row>
      <rowOff>947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059025" y="381000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9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894569</colOff>
      <row>4</row>
      <rowOff>947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268700" y="381000"/>
          <a:ext cx="1847069" cy="3819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699247</colOff>
      <row>2</row>
      <rowOff>80681</rowOff>
    </from>
    <to>
      <col>10</col>
      <colOff>777764</colOff>
      <row>4</row>
      <rowOff>88973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919322" y="461681"/>
          <a:ext cx="1714912" cy="38548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0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894569</colOff>
      <row>4</row>
      <rowOff>947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268700" y="381000"/>
          <a:ext cx="1847069" cy="3819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1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894569</colOff>
      <row>4</row>
      <rowOff>947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268700" y="381000"/>
          <a:ext cx="1847069" cy="3819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2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894569</colOff>
      <row>4</row>
      <rowOff>947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268700" y="381000"/>
          <a:ext cx="1847069" cy="3819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3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894569</colOff>
      <row>4</row>
      <rowOff>947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268700" y="381000"/>
          <a:ext cx="1847069" cy="3819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4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894569</colOff>
      <row>4</row>
      <rowOff>947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658975" y="381000"/>
          <a:ext cx="1717528" cy="3819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5.xml><?xml version="1.0" encoding="utf-8"?>
<wsDr xmlns="http://schemas.openxmlformats.org/drawingml/2006/spreadsheetDrawing">
  <twoCellAnchor editAs="oneCell">
    <from>
      <col>9</col>
      <colOff>116541</colOff>
      <row>3</row>
      <rowOff>35859</rowOff>
    </from>
    <to>
      <col>11</col>
      <colOff>0</colOff>
      <row>5</row>
      <rowOff>22411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552329" y="663388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6.xml><?xml version="1.0" encoding="utf-8"?>
<wsDr xmlns="http://schemas.openxmlformats.org/drawingml/2006/spreadsheetDrawing">
  <twoCellAnchor editAs="oneCell">
    <from>
      <col>9</col>
      <colOff>116541</colOff>
      <row>3</row>
      <rowOff>35859</rowOff>
    </from>
    <to>
      <col>10</col>
      <colOff>855981</colOff>
      <row>5</row>
      <rowOff>22411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544261" y="660699"/>
          <a:ext cx="1745280" cy="38279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7.xml><?xml version="1.0" encoding="utf-8"?>
<wsDr xmlns="http://schemas.openxmlformats.org/drawingml/2006/spreadsheetDrawing">
  <twoCellAnchor editAs="oneCell">
    <from>
      <col>9</col>
      <colOff>179294</colOff>
      <row>2</row>
      <rowOff>98612</rowOff>
    </from>
    <to>
      <col>10</col>
      <colOff>967928</colOff>
      <row>4</row>
      <rowOff>134357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896165" y="510988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8.xml><?xml version="1.0" encoding="utf-8"?>
<wsDr xmlns="http://schemas.openxmlformats.org/drawingml/2006/spreadsheetDrawing">
  <twoCellAnchor editAs="oneCell">
    <from>
      <col>9</col>
      <colOff>502024</colOff>
      <row>2</row>
      <rowOff>44825</rowOff>
    </from>
    <to>
      <col>10</col>
      <colOff>991012</colOff>
      <row>4</row>
      <rowOff>72950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825318" y="457201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9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834801</colOff>
      <row>4</row>
      <rowOff>57149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475075" y="438150"/>
          <a:ext cx="1873026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7</col>
      <colOff>699247</colOff>
      <row>2</row>
      <rowOff>80681</rowOff>
    </from>
    <to>
      <col>10</col>
      <colOff>841688</colOff>
      <row>4</row>
      <rowOff>88973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161929" y="457199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0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834801</colOff>
      <row>4</row>
      <rowOff>57149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475075" y="438150"/>
          <a:ext cx="1873026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1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834801</colOff>
      <row>4</row>
      <rowOff>57149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475075" y="438150"/>
          <a:ext cx="1873026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2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834801</colOff>
      <row>4</row>
      <rowOff>57149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475075" y="438150"/>
          <a:ext cx="1873026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3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834801</colOff>
      <row>4</row>
      <rowOff>57149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475075" y="438150"/>
          <a:ext cx="1873026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4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834801</colOff>
      <row>4</row>
      <rowOff>57149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475075" y="438150"/>
          <a:ext cx="1873026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5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834801</colOff>
      <row>4</row>
      <rowOff>57149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475075" y="438150"/>
          <a:ext cx="1873026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6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834801</colOff>
      <row>4</row>
      <rowOff>57149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475075" y="438150"/>
          <a:ext cx="1873026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7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834801</colOff>
      <row>4</row>
      <rowOff>57149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475075" y="438150"/>
          <a:ext cx="1873026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8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834801</colOff>
      <row>4</row>
      <rowOff>57149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475075" y="438150"/>
          <a:ext cx="1873026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9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834801</colOff>
      <row>4</row>
      <rowOff>57149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475075" y="438150"/>
          <a:ext cx="1873026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936478</colOff>
      <row>4</row>
      <rowOff>947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51200" y="381000"/>
          <a:ext cx="1838178" cy="3819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0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834801</colOff>
      <row>4</row>
      <rowOff>57149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475075" y="438150"/>
          <a:ext cx="1873026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1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834801</colOff>
      <row>4</row>
      <rowOff>57149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475075" y="438150"/>
          <a:ext cx="1873026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2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834801</colOff>
      <row>4</row>
      <rowOff>57149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475075" y="438150"/>
          <a:ext cx="1873026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3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834801</colOff>
      <row>4</row>
      <rowOff>57149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360015" y="438150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4.xml><?xml version="1.0" encoding="utf-8"?>
<wsDr xmlns="http://schemas.openxmlformats.org/drawingml/2006/spreadsheetDrawing">
  <twoCellAnchor editAs="oneCell">
    <from>
      <col>10</col>
      <colOff>224117</colOff>
      <row>2</row>
      <rowOff>53788</rowOff>
    </from>
    <to>
      <col>11</col>
      <colOff>815528</colOff>
      <row>4</row>
      <rowOff>54460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653992" y="434788"/>
          <a:ext cx="1721076" cy="38548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5.xml><?xml version="1.0" encoding="utf-8"?>
<wsDr xmlns="http://schemas.openxmlformats.org/drawingml/2006/spreadsheetDrawing">
  <twoCellAnchor editAs="oneCell">
    <from>
      <col>10</col>
      <colOff>224117</colOff>
      <row>2</row>
      <rowOff>53788</rowOff>
    </from>
    <to>
      <col>11</col>
      <colOff>815528</colOff>
      <row>4</row>
      <rowOff>54460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784541" y="430306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6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817657</colOff>
      <row>4</row>
      <rowOff>57149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443835" y="438150"/>
          <a:ext cx="1751107" cy="38480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66675</colOff>
      <row>2</row>
      <rowOff>57150</rowOff>
    </from>
    <to>
      <col>14</col>
      <colOff>817657</colOff>
      <row>4</row>
      <rowOff>57149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5443835" y="438150"/>
          <a:ext cx="1751107" cy="38480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7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821467</colOff>
      <row>4</row>
      <rowOff>60959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367635" y="438150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8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834802</colOff>
      <row>4</row>
      <rowOff>57149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935200" y="438150"/>
          <a:ext cx="1724437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9.xml><?xml version="1.0" encoding="utf-8"?>
<wsDr xmlns="http://schemas.openxmlformats.org/drawingml/2006/spreadsheetDrawing">
  <twoCellAnchor editAs="oneCell">
    <from>
      <col>14</col>
      <colOff>66675</colOff>
      <row>2</row>
      <rowOff>57150</rowOff>
    </from>
    <to>
      <col>15</col>
      <colOff>829088</colOff>
      <row>4</row>
      <rowOff>57149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211425" y="438150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936478</colOff>
      <row>4</row>
      <rowOff>947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51200" y="381000"/>
          <a:ext cx="1838178" cy="3819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936478</colOff>
      <row>4</row>
      <rowOff>947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51200" y="381000"/>
          <a:ext cx="1838178" cy="3819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936478</colOff>
      <row>4</row>
      <rowOff>947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51200" y="381000"/>
          <a:ext cx="1838178" cy="3819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8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936478</colOff>
      <row>4</row>
      <rowOff>947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51200" y="381000"/>
          <a:ext cx="1838178" cy="3819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9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936478</colOff>
      <row>4</row>
      <rowOff>947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51200" y="381000"/>
          <a:ext cx="1838178" cy="3819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microsoft.com/office/2006/relationships/xlExternalLinkPath/xlPathMissing" Target="CANOPY%20(15)" TargetMode="External" Id="rId1"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FIRE%20SUPPRESSION%20(5)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https://halton-my.sharepoint.com/personal/simon_still_halton_com/Documents/Desktop/HFL%20Cost%20Sheet%20Opera%202013.xlsx" TargetMode="External" Id="rId1"/></Relationships>
</file>

<file path=xl/externalLinks/_rels/externalLink4.xml.rels><Relationships xmlns="http://schemas.openxmlformats.org/package/2006/relationships"><Relationship Type="http://schemas.microsoft.com/office/2006/relationships/xlExternalLinkPath/xlPathMissing" Target="EDGE%20BOX%20(15)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NOPY (15)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IRE SUPPRESSION (5)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VENT CLG"/>
      <sheetName val="Contract"/>
      <sheetName val="SDU"/>
      <sheetName val="FILTER CANOPY"/>
      <sheetName val="ANSUL"/>
      <sheetName val="UV CANOPY"/>
    </sheetNames>
    <sheetDataSet>
      <sheetData sheetId="0"/>
      <sheetData sheetId="1"/>
      <sheetData sheetId="2"/>
      <sheetData sheetId="3"/>
      <sheetData sheetId="4"/>
      <sheetData sheetId="5">
        <row r="1">
          <cell r="T1" t="str">
            <v>Select Plant hire (weekly)</v>
          </cell>
        </row>
        <row r="2">
          <cell r="T2" t="str">
            <v>SL10 Genie</v>
          </cell>
        </row>
        <row r="3">
          <cell r="T3" t="str">
            <v>Extension forks</v>
          </cell>
        </row>
        <row r="4">
          <cell r="T4" t="str">
            <v>2.5m Combi ladder</v>
          </cell>
        </row>
        <row r="5">
          <cell r="T5" t="str">
            <v>Podium</v>
          </cell>
        </row>
        <row r="6">
          <cell r="T6" t="str">
            <v>3m Tower</v>
          </cell>
        </row>
        <row r="7">
          <cell r="T7" t="str">
            <v>Combi ladder</v>
          </cell>
        </row>
        <row r="8">
          <cell r="T8" t="str">
            <v>Trestles</v>
          </cell>
        </row>
        <row r="9">
          <cell r="T9" t="str">
            <v>3m Youngman board</v>
          </cell>
        </row>
        <row r="10">
          <cell r="T10" t="str">
            <v>GS1930 Scissor lift</v>
          </cell>
        </row>
        <row r="11">
          <cell r="T11" t="str">
            <v>4-6 Sherascopic</v>
          </cell>
        </row>
        <row r="12">
          <cell r="T12" t="str">
            <v>7-9 Sherascopic</v>
          </cell>
        </row>
        <row r="13">
          <cell r="T13" t="str">
            <v>8 Tread steps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EDGE BOX (15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28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0.xml" Id="rId1"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1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2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3.xml" Id="rId1"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4.xml" Id="rId1"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5.xml" Id="rId1"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36.xml" Id="rId1"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37.xml" Id="rId1"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38.xml" Id="rId1"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39.xml" Id="rId1"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0.xml" Id="rId1"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1.xml" Id="rId1"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2.xml" Id="rId1"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3.xml" Id="rId1"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4.xml" Id="rId1"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45.xml" Id="rId1"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46.xml" Id="rId1"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47.xml" Id="rId1"/></Relationships>
</file>

<file path=xl/worksheets/_rels/sheet53.xml.rels><Relationships xmlns="http://schemas.openxmlformats.org/package/2006/relationships"><Relationship Type="http://schemas.openxmlformats.org/officeDocument/2006/relationships/drawing" Target="/xl/drawings/drawing48.xml" Id="rId1"/></Relationships>
</file>

<file path=xl/worksheets/_rels/sheet54.xml.rels><Relationships xmlns="http://schemas.openxmlformats.org/package/2006/relationships"><Relationship Type="http://schemas.openxmlformats.org/officeDocument/2006/relationships/drawing" Target="/xl/drawings/drawing49.xml" Id="rId1"/></Relationships>
</file>

<file path=xl/worksheets/_rels/sheet55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4">
    <tabColor rgb="FFFFFF00"/>
    <outlinePr summaryBelow="1" summaryRight="1"/>
    <pageSetUpPr fitToPage="1"/>
  </sheetPr>
  <dimension ref="A1:AB141"/>
  <sheetViews>
    <sheetView showGridLines="0" topLeftCell="N6" zoomScale="117" zoomScaleNormal="80" zoomScaleSheetLayoutView="50" workbookViewId="0">
      <selection activeCell="S38" sqref="S38"/>
    </sheetView>
  </sheetViews>
  <sheetFormatPr baseColWidth="10" defaultColWidth="8.83203125" defaultRowHeight="15" customHeight="1"/>
  <cols>
    <col width="2" customWidth="1" style="215" min="1" max="1"/>
    <col width="30.33203125" customWidth="1" style="1070" min="2" max="2"/>
    <col width="25.83203125" bestFit="1" customWidth="1" style="1070" min="3" max="3"/>
    <col width="20.5" customWidth="1" style="1070" min="4" max="4"/>
    <col width="5" customWidth="1" style="1070" min="5" max="5"/>
    <col width="18.83203125" customWidth="1" style="1070" min="6" max="6"/>
    <col width="12.1640625" customWidth="1" style="1070" min="7" max="7"/>
    <col width="7.6640625" customWidth="1" style="1072" min="8" max="8"/>
    <col width="11.6640625" customWidth="1" style="1072" min="9" max="9"/>
    <col width="6.33203125" customWidth="1" style="1073" min="10" max="10"/>
    <col width="17.5" customWidth="1" style="228" min="11" max="11"/>
    <col width="5.6640625" bestFit="1" customWidth="1" style="228" min="12" max="12"/>
    <col width="4.5" bestFit="1" customWidth="1" style="346" min="13" max="13"/>
    <col width="14.5" bestFit="1" customWidth="1" style="1073" min="14" max="14"/>
    <col width="13.6640625" bestFit="1" customWidth="1" style="14" min="15" max="15"/>
    <col width="8.83203125" customWidth="1" style="1070" min="16" max="17"/>
    <col width="18.6640625" customWidth="1" style="1070" min="18" max="18"/>
    <col width="15.5" customWidth="1" style="1070" min="19" max="19"/>
    <col width="14.5" customWidth="1" style="1070" min="20" max="20"/>
    <col width="10.33203125" customWidth="1" style="1070" min="21" max="21"/>
    <col width="8.83203125" customWidth="1" style="1070" min="22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0"/>
    <col width="8.83203125" customWidth="1" style="1070" min="101" max="16384"/>
  </cols>
  <sheetData>
    <row r="1" ht="15" customHeight="1" s="1085">
      <c r="B1" s="26" t="inlineStr">
        <is>
          <t>PROJECT TOTAL</t>
        </is>
      </c>
      <c r="C1" s="216" t="n"/>
      <c r="D1" s="216" t="n"/>
      <c r="E1" s="216" t="n"/>
      <c r="F1" s="216" t="n"/>
      <c r="G1" s="216" t="n"/>
      <c r="H1" s="29" t="n"/>
      <c r="I1" s="29" t="n"/>
      <c r="J1" s="336" t="n"/>
      <c r="K1" s="337" t="n"/>
      <c r="L1" s="338" t="n"/>
      <c r="M1" s="339" t="n"/>
      <c r="N1" s="336" t="n"/>
      <c r="O1" s="312" t="n"/>
      <c r="S1" s="80" t="n"/>
      <c r="T1" s="218" t="n"/>
    </row>
    <row r="2" ht="15" customHeight="1" s="1085">
      <c r="B2" s="79" t="n"/>
      <c r="C2" s="221" t="n"/>
      <c r="D2" s="221" t="n"/>
      <c r="F2" s="79" t="n"/>
      <c r="G2" s="77" t="n"/>
      <c r="H2" s="222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B3" s="78" t="inlineStr">
        <is>
          <t>Job No.</t>
        </is>
      </c>
      <c r="C3" s="1074">
        <f>IF(CANOPY!C3="","",CANOPY!C3)</f>
        <v/>
      </c>
      <c r="F3" s="76" t="inlineStr">
        <is>
          <t>Project Name</t>
        </is>
      </c>
      <c r="G3" s="1071">
        <f>IF(CANOPY!G3="","",CANOPY!G3)</f>
        <v/>
      </c>
      <c r="L3" s="342" t="n"/>
      <c r="M3" s="343" t="n"/>
      <c r="N3" s="344" t="n"/>
      <c r="T3" s="225" t="n"/>
    </row>
    <row r="4" ht="15" customHeight="1" s="1085">
      <c r="B4" s="79" t="n"/>
      <c r="C4" s="223" t="n"/>
      <c r="D4" s="223" t="n"/>
      <c r="F4" s="77" t="n"/>
      <c r="G4" s="222" t="n"/>
      <c r="H4" s="227" t="n"/>
      <c r="I4" s="227" t="n"/>
      <c r="J4" s="341" t="n"/>
      <c r="L4" s="342" t="n"/>
      <c r="M4" s="343" t="n"/>
      <c r="N4" s="344" t="n"/>
      <c r="T4" s="225" t="n"/>
    </row>
    <row r="5" ht="15" customHeight="1" s="1085">
      <c r="B5" s="78" t="inlineStr">
        <is>
          <t>Customer</t>
        </is>
      </c>
      <c r="C5" s="1074">
        <f>IF(CANOPY!C5="","",CANOPY!C5)</f>
        <v/>
      </c>
      <c r="F5" s="76" t="inlineStr">
        <is>
          <t>Location</t>
        </is>
      </c>
      <c r="G5" s="1071">
        <f>IF(CANOPY!G5="","",CANOPY!G5)</f>
        <v/>
      </c>
      <c r="M5" s="343" t="n"/>
      <c r="N5" s="344" t="n"/>
      <c r="Q5" s="229" t="n"/>
      <c r="R5" s="229" t="n"/>
      <c r="T5" s="225" t="n"/>
      <c r="U5" s="226" t="n"/>
    </row>
    <row r="6" ht="15" customHeight="1" s="1085">
      <c r="B6" s="78" t="n"/>
      <c r="C6" s="230" t="n"/>
      <c r="D6" s="230" t="n"/>
      <c r="F6" s="76" t="n"/>
      <c r="G6" s="222" t="n"/>
      <c r="H6" s="79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B7" s="80" t="inlineStr">
        <is>
          <t>Sales Manager / Estimator initials</t>
        </is>
      </c>
      <c r="C7" s="1069" t="n"/>
      <c r="F7" s="76" t="inlineStr">
        <is>
          <t>Date</t>
        </is>
      </c>
      <c r="G7" s="1075">
        <f>IF(CANOPY!G7="","",CANOPY!G7)</f>
        <v/>
      </c>
      <c r="N7" s="347" t="inlineStr">
        <is>
          <t>Revision No</t>
        </is>
      </c>
      <c r="O7" s="576" t="inlineStr">
        <is>
          <t>B</t>
        </is>
      </c>
      <c r="P7" s="232" t="n"/>
      <c r="R7" s="224" t="n"/>
      <c r="T7" s="225" t="n"/>
      <c r="U7" s="226" t="n"/>
      <c r="AA7" s="231" t="n"/>
    </row>
    <row r="8" ht="15" customHeight="1" s="1085">
      <c r="D8" s="219" t="n"/>
      <c r="E8" s="219" t="n"/>
      <c r="G8" s="219" t="n"/>
      <c r="J8" s="346" t="n"/>
      <c r="K8" s="14" t="n"/>
      <c r="T8" s="225" t="n"/>
      <c r="AA8" s="231" t="n"/>
    </row>
    <row r="9" ht="15" customFormat="1" customHeight="1" s="80">
      <c r="A9" s="215" t="n"/>
      <c r="B9" s="38" t="inlineStr">
        <is>
          <t>CURRENCY</t>
        </is>
      </c>
      <c r="C9" s="373" t="n">
        <v>0</v>
      </c>
      <c r="D9" s="377">
        <f>IF(C9=0,0,(SUBTOTAL(9,M14:M27)/(1-C9))-M9)</f>
        <v/>
      </c>
      <c r="H9" s="234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6" t="inlineStr">
        <is>
          <t>CURRENCY</t>
        </is>
      </c>
      <c r="C10" s="6" t="inlineStr">
        <is>
          <t>%</t>
        </is>
      </c>
      <c r="D10" s="6" t="inlineStr">
        <is>
          <t>COMMISSION</t>
        </is>
      </c>
      <c r="E10" s="6" t="n"/>
      <c r="F10" s="6" t="n"/>
      <c r="G10" s="6" t="n"/>
      <c r="H10" s="6" t="n"/>
      <c r="I10" s="37" t="n"/>
      <c r="J10" s="1" t="n"/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9" t="n"/>
      <c r="C11" s="9" t="n"/>
      <c r="D11" s="9" t="n"/>
      <c r="E11" s="9" t="n"/>
      <c r="F11" s="9" t="n"/>
      <c r="G11" s="34" t="inlineStr">
        <is>
          <t>SECTION UNDER 1000mm</t>
        </is>
      </c>
      <c r="H11" s="9" t="n"/>
      <c r="I11" s="34">
        <f>IF(ISNUMBER(SEARCH("UV",D14)),49.7,71.75)</f>
        <v/>
      </c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1089" t="n"/>
      <c r="C12" s="1089" t="n"/>
      <c r="D12" s="1089" t="n"/>
      <c r="E12" s="1089" t="n"/>
      <c r="F12" s="1089" t="n"/>
      <c r="G12" s="1089" t="n"/>
      <c r="H12" s="1089" t="n"/>
      <c r="I12" s="1089" t="n"/>
      <c r="J12" s="1089" t="n"/>
      <c r="K12" s="154">
        <f>SUBTOTAL(9,K14:K26)</f>
        <v/>
      </c>
      <c r="L12" s="15">
        <f>IF(O12=0,"-",O12/M12)</f>
        <v/>
      </c>
      <c r="M12" s="154">
        <f>SUBTOTAL(9,M14:M26)</f>
        <v/>
      </c>
      <c r="N12" s="464">
        <f>SUM(N14:N26)</f>
        <v/>
      </c>
      <c r="O12" s="154">
        <f>SUM(O14:O26)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B14" s="28" t="inlineStr">
        <is>
          <t>CONTRACT</t>
        </is>
      </c>
      <c r="C14" s="28" t="n"/>
      <c r="D14" s="28" t="n"/>
      <c r="E14" s="28" t="n"/>
      <c r="F14" s="28" t="n"/>
      <c r="G14" s="28" t="n"/>
      <c r="H14" s="28" t="n"/>
      <c r="I14" s="28" t="n"/>
      <c r="J14" s="28" t="n"/>
      <c r="K14" s="378" t="n"/>
      <c r="L14" s="392" t="n"/>
      <c r="M14" s="311" t="n"/>
      <c r="N14" s="378" t="n"/>
      <c r="O14" s="379" t="n"/>
      <c r="R14" s="971" t="inlineStr">
        <is>
          <t>Tab</t>
        </is>
      </c>
      <c r="S14" s="971" t="inlineStr">
        <is>
          <t>Cost</t>
        </is>
      </c>
      <c r="T14" s="971" t="inlineStr">
        <is>
          <t>Sell</t>
        </is>
      </c>
      <c r="U14" s="972" t="inlineStr">
        <is>
          <t>GP</t>
        </is>
      </c>
      <c r="AA14" s="1070" t="n"/>
    </row>
    <row r="15" ht="15" customHeight="1" s="1085">
      <c r="B15" s="28" t="inlineStr">
        <is>
          <t>CANOPIES</t>
        </is>
      </c>
      <c r="C15" s="28" t="n"/>
      <c r="D15" s="28" t="n"/>
      <c r="E15" s="28" t="n"/>
      <c r="F15" s="28" t="n"/>
      <c r="G15" s="28" t="n"/>
      <c r="H15" s="28" t="n"/>
      <c r="I15" s="28" t="n"/>
      <c r="J15" s="28" t="n"/>
      <c r="K15" s="378" t="n"/>
      <c r="L15" s="392" t="n"/>
      <c r="M15" s="311" t="n"/>
      <c r="N15" s="378" t="n"/>
      <c r="O15" s="378" t="n"/>
      <c r="S15" s="973" t="n"/>
      <c r="T15" s="973" t="n"/>
      <c r="U15" s="974" t="n"/>
      <c r="AA15" s="1070" t="n"/>
    </row>
    <row r="16" ht="15" customHeight="1" s="1085">
      <c r="B16" s="28" t="inlineStr">
        <is>
          <t>SDU's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378" t="n"/>
      <c r="L16" s="392" t="n"/>
      <c r="M16" s="311" t="n"/>
      <c r="N16" s="378" t="n"/>
      <c r="O16" s="379" t="n"/>
      <c r="R16" s="1070" t="inlineStr">
        <is>
          <t>Canopy</t>
        </is>
      </c>
      <c r="S16" s="973" t="n">
        <v>0</v>
      </c>
      <c r="T16" s="973" t="n">
        <v>0</v>
      </c>
      <c r="U16" s="974">
        <f>IF(AND(ISNUMBER(T16), ISNUMBER(S16), T16&lt;&gt;0), (T16-S16)/T16, "")</f>
        <v/>
      </c>
      <c r="AA16" s="1070" t="n"/>
    </row>
    <row r="17" ht="15" customHeight="1" s="1085">
      <c r="B17" s="28" t="inlineStr">
        <is>
          <t>POLLUSTOP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378" t="n"/>
      <c r="L17" s="392" t="n"/>
      <c r="M17" s="311" t="n"/>
      <c r="N17" s="378" t="n"/>
      <c r="O17" s="379" t="n"/>
      <c r="R17" s="1070" t="inlineStr">
        <is>
          <t>Fire Suppression</t>
        </is>
      </c>
      <c r="S17" s="973" t="n">
        <v>0</v>
      </c>
      <c r="T17" s="973" t="n">
        <v>0</v>
      </c>
      <c r="U17" s="974">
        <f>IF(AND(ISNUMBER(T17), ISNUMBER(S17), T17&lt;&gt;0), (T17-S17)/T17, "")</f>
        <v/>
      </c>
      <c r="AA17" s="1070" t="n"/>
    </row>
    <row r="18" ht="15" customHeight="1" s="1085">
      <c r="B18" s="28" t="inlineStr">
        <is>
          <t>M.A.R.V.E.L.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378" t="n"/>
      <c r="L18" s="392" t="n"/>
      <c r="M18" s="311" t="n"/>
      <c r="N18" s="378" t="n"/>
      <c r="O18" s="379" t="n"/>
      <c r="R18" s="1070" t="inlineStr">
        <is>
          <t>SDU</t>
        </is>
      </c>
      <c r="S18" s="973" t="n">
        <v>0</v>
      </c>
      <c r="T18" s="973" t="n">
        <v>0</v>
      </c>
      <c r="U18" s="974">
        <f>IF(AND(ISNUMBER(T18), ISNUMBER(S18), T18&lt;&gt;0), (T18-S18)/T18, "")</f>
        <v/>
      </c>
      <c r="AA18" s="1070" t="n"/>
    </row>
    <row r="19" ht="15" customHeight="1" s="1085">
      <c r="B19" s="28" t="inlineStr">
        <is>
          <t>VENTILATED CEILINGS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378" t="n"/>
      <c r="L19" s="392" t="n"/>
      <c r="M19" s="311" t="n"/>
      <c r="N19" s="378" t="n"/>
      <c r="O19" s="379" t="n"/>
      <c r="R19" s="1070" t="inlineStr">
        <is>
          <t>Vent Clg</t>
        </is>
      </c>
      <c r="S19" s="973" t="n">
        <v>0</v>
      </c>
      <c r="T19" s="973" t="n">
        <v>0</v>
      </c>
      <c r="U19" s="974">
        <f>IF(AND(ISNUMBER(T19), ISNUMBER(S19), T19&lt;&gt;0), (T19-S19)/T19, "")</f>
        <v/>
      </c>
      <c r="AA19" s="1070" t="n"/>
    </row>
    <row r="20" ht="15" customHeight="1" s="1085">
      <c r="B20" s="28" t="inlineStr">
        <is>
          <t>CANOPY BESPOKE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378" t="n"/>
      <c r="L20" s="392" t="n"/>
      <c r="M20" s="311" t="n"/>
      <c r="N20" s="378" t="n"/>
      <c r="O20" s="379" t="n"/>
      <c r="R20" s="1070" t="inlineStr">
        <is>
          <t>MARVEL</t>
        </is>
      </c>
      <c r="S20" s="973" t="n">
        <v>0</v>
      </c>
      <c r="T20" s="973" t="n">
        <v>0</v>
      </c>
      <c r="U20" s="974">
        <f>IF(AND(ISNUMBER(T20), ISNUMBER(S20), T20&lt;&gt;0), (T20-S20)/T20, "")</f>
        <v/>
      </c>
      <c r="AA20" s="1070" t="n"/>
    </row>
    <row r="21" ht="15" customHeight="1" s="1085">
      <c r="B21" s="28" t="inlineStr">
        <is>
          <t>ANSUL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378" t="n"/>
      <c r="L21" s="392" t="n"/>
      <c r="M21" s="311" t="n"/>
      <c r="N21" s="378" t="n"/>
      <c r="O21" s="379" t="n"/>
      <c r="R21" s="1070" t="inlineStr">
        <is>
          <t>Edge</t>
        </is>
      </c>
      <c r="S21" s="973" t="n">
        <v>0</v>
      </c>
      <c r="T21" s="973" t="n">
        <v>0</v>
      </c>
      <c r="U21" s="974">
        <f>IF(AND(ISNUMBER(T21), ISNUMBER(S21), T21&lt;&gt;0), (T21-S21)/T21, "")</f>
        <v/>
      </c>
      <c r="AA21" s="1070" t="n"/>
    </row>
    <row r="22" ht="15" customHeight="1" s="1085">
      <c r="B22" s="28" t="inlineStr">
        <is>
          <t>SPARE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378" t="n"/>
      <c r="L22" s="392" t="n"/>
      <c r="M22" s="311" t="n"/>
      <c r="N22" s="378" t="n"/>
      <c r="O22" s="379" t="n"/>
      <c r="R22" s="1070" t="inlineStr">
        <is>
          <t>Aerolys</t>
        </is>
      </c>
      <c r="S22" s="973" t="n">
        <v>0</v>
      </c>
      <c r="T22" s="973" t="n">
        <v>0</v>
      </c>
      <c r="U22" s="974">
        <f>IF(AND(ISNUMBER(T22), ISNUMBER(S22), T22&lt;&gt;0), (T22-S22)/T22, "")</f>
        <v/>
      </c>
      <c r="AA22" s="1070" t="n"/>
    </row>
    <row r="23" ht="15" customHeight="1" s="1085">
      <c r="B23" s="28" t="inlineStr">
        <is>
          <t>SPARE</t>
        </is>
      </c>
      <c r="C23" s="28" t="n"/>
      <c r="D23" s="28" t="n"/>
      <c r="E23" s="28" t="n"/>
      <c r="F23" s="28" t="n"/>
      <c r="G23" s="28" t="n"/>
      <c r="H23" s="28" t="n"/>
      <c r="I23" s="28" t="n"/>
      <c r="J23" s="28" t="n"/>
      <c r="K23" s="378" t="n"/>
      <c r="L23" s="392" t="n"/>
      <c r="M23" s="311" t="n"/>
      <c r="N23" s="378" t="n"/>
      <c r="O23" s="379" t="n"/>
      <c r="R23" s="1070" t="inlineStr">
        <is>
          <t>Pollustop</t>
        </is>
      </c>
      <c r="S23" s="973" t="n">
        <v>0</v>
      </c>
      <c r="T23" s="973" t="n">
        <v>0</v>
      </c>
      <c r="U23" s="974">
        <f>IF(AND(ISNUMBER(T23), ISNUMBER(S23), T23&lt;&gt;0), (T23-S23)/T23, "")</f>
        <v/>
      </c>
      <c r="AA23" s="1070" t="n"/>
    </row>
    <row r="24" ht="15" customHeight="1" s="1085">
      <c r="B24" s="28" t="inlineStr">
        <is>
          <t>SPARE</t>
        </is>
      </c>
      <c r="C24" s="28" t="n"/>
      <c r="D24" s="28" t="n"/>
      <c r="E24" s="28" t="n"/>
      <c r="F24" s="28" t="n"/>
      <c r="G24" s="28" t="n"/>
      <c r="H24" s="28" t="n"/>
      <c r="I24" s="28" t="n"/>
      <c r="J24" s="28" t="n"/>
      <c r="K24" s="378" t="n"/>
      <c r="L24" s="392" t="n"/>
      <c r="M24" s="311" t="n"/>
      <c r="N24" s="378" t="n"/>
      <c r="O24" s="379" t="n"/>
      <c r="R24" s="1070" t="inlineStr">
        <is>
          <t>Reco</t>
        </is>
      </c>
      <c r="S24" s="973" t="n">
        <v>0</v>
      </c>
      <c r="T24" s="973" t="n">
        <v>0</v>
      </c>
      <c r="U24" s="974">
        <f>IF(AND(ISNUMBER(T24), ISNUMBER(S24), T24&lt;&gt;0), (T24-S24)/T24, "")</f>
        <v/>
      </c>
      <c r="AA24" s="1070" t="n"/>
    </row>
    <row r="25" ht="15" customHeight="1" s="1085">
      <c r="B25" s="28" t="inlineStr">
        <is>
          <t>SPARE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378" t="n"/>
      <c r="L25" s="392" t="n"/>
      <c r="M25" s="311" t="n"/>
      <c r="N25" s="378" t="n"/>
      <c r="O25" s="379" t="n"/>
      <c r="R25" s="1070" t="inlineStr">
        <is>
          <t>Reactaway</t>
        </is>
      </c>
      <c r="S25" s="973" t="n">
        <v>0</v>
      </c>
      <c r="T25" s="973" t="n">
        <v>0</v>
      </c>
      <c r="U25" s="974">
        <f>IF(AND(ISNUMBER(T25), ISNUMBER(S25), T25&lt;&gt;0), (T25-S25)/T25, "")</f>
        <v/>
      </c>
      <c r="AA25" s="1070" t="n"/>
    </row>
    <row r="26" ht="15" customHeight="1" s="1085">
      <c r="B26" s="28" t="inlineStr">
        <is>
          <t>SPARE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378" t="n"/>
      <c r="L26" s="392" t="n"/>
      <c r="M26" s="311" t="n"/>
      <c r="N26" s="378" t="n"/>
      <c r="O26" s="379" t="n"/>
      <c r="S26" s="973" t="n">
        <v>0</v>
      </c>
      <c r="T26" s="973" t="n">
        <v>0</v>
      </c>
      <c r="U26" s="974">
        <f>IF(AND(ISNUMBER(T26), ISNUMBER(S26), T26&lt;&gt;0), (T26-S26)/T26, "")</f>
        <v/>
      </c>
      <c r="AA26" s="1070" t="n"/>
    </row>
    <row r="27" ht="15" customHeight="1" s="1085">
      <c r="G27" s="34" t="inlineStr">
        <is>
          <t>SECTION UNDER 1000mm</t>
        </is>
      </c>
      <c r="I27" s="34">
        <f>IF(ISNUMBER(SEARCH("UV",#REF!)),49.7,71.75)</f>
        <v/>
      </c>
      <c r="S27" s="973" t="n">
        <v>0</v>
      </c>
      <c r="T27" s="973" t="n">
        <v>0</v>
      </c>
      <c r="U27" s="974">
        <f>IF(AND(ISNUMBER(T27), ISNUMBER(S27), T27&lt;&gt;0), (T27-S27)/T27, "")</f>
        <v/>
      </c>
    </row>
    <row r="28" ht="15" customHeight="1" s="1085">
      <c r="B28" s="239" t="n"/>
      <c r="C28" s="239" t="n"/>
      <c r="D28" s="239" t="n"/>
      <c r="E28" s="239" t="n"/>
      <c r="F28" s="239" t="n"/>
      <c r="G28" s="243" t="n"/>
      <c r="H28" s="244" t="n"/>
      <c r="I28" s="244" t="n"/>
      <c r="J28" s="354" t="n"/>
      <c r="K28" s="353" t="n"/>
      <c r="L28" s="355" t="n"/>
      <c r="M28" s="353" t="n"/>
      <c r="N28" s="353" t="n"/>
      <c r="R28" s="1070" t="inlineStr">
        <is>
          <t>Total</t>
        </is>
      </c>
      <c r="S28" s="973" t="n">
        <v>0</v>
      </c>
      <c r="T28" s="973" t="n">
        <v>0</v>
      </c>
      <c r="U28" s="974">
        <f>IF(AND(ISNUMBER(T28), ISNUMBER(S28), T28&lt;&gt;0), (T28-S28)/T28, "")</f>
        <v/>
      </c>
    </row>
    <row r="29" ht="15" customHeight="1" s="1085">
      <c r="B29" s="197" t="inlineStr">
        <is>
          <t>Office Use Only</t>
        </is>
      </c>
      <c r="C29" s="198" t="n"/>
      <c r="D29" s="199" t="n"/>
      <c r="E29" s="199" t="n"/>
      <c r="F29" s="198" t="n"/>
      <c r="G29" s="200" t="n"/>
      <c r="H29" s="198" t="n"/>
      <c r="I29" s="198" t="n"/>
      <c r="J29" s="198" t="n"/>
      <c r="K29" s="198" t="n"/>
      <c r="L29" s="198" t="n"/>
      <c r="M29" s="198" t="n"/>
      <c r="N29" s="198" t="n"/>
      <c r="O29" s="198" t="n"/>
      <c r="T29" s="973" t="n">
        <v>0</v>
      </c>
      <c r="U29" s="229" t="n"/>
    </row>
    <row r="30" ht="15" customHeight="1" s="1085">
      <c r="B30" s="202" t="n"/>
      <c r="C30" s="203" t="n"/>
      <c r="D30" s="202" t="n"/>
      <c r="E30" s="204" t="n"/>
      <c r="F30" s="202" t="n"/>
      <c r="G30" s="209" t="n"/>
      <c r="H30" s="203" t="n"/>
      <c r="I30" s="203" t="n"/>
      <c r="J30" s="203" t="n"/>
      <c r="K30" s="205" t="n"/>
      <c r="L30" s="205" t="n"/>
      <c r="M30" s="205" t="n"/>
      <c r="N30" s="205" t="n"/>
      <c r="O30" s="205" t="n"/>
      <c r="U30" s="229" t="n"/>
    </row>
    <row r="31" ht="15" customHeight="1" s="1085">
      <c r="B31" s="202" t="n"/>
      <c r="C31" s="203" t="n"/>
      <c r="D31" s="202" t="n"/>
      <c r="E31" s="204" t="n"/>
      <c r="F31" s="202" t="n"/>
      <c r="G31" s="209" t="n"/>
      <c r="H31" s="203" t="n"/>
      <c r="I31" s="203" t="n"/>
      <c r="J31" s="203" t="n"/>
      <c r="K31" s="205" t="n"/>
      <c r="L31" s="205" t="n"/>
      <c r="M31" s="205" t="n"/>
      <c r="N31" s="205" t="n"/>
      <c r="O31" s="205" t="n"/>
      <c r="U31" s="229" t="n"/>
    </row>
    <row r="32" ht="15" customHeight="1" s="1085">
      <c r="B32" s="202" t="n"/>
      <c r="C32" s="203" t="n"/>
      <c r="D32" s="202" t="n"/>
      <c r="E32" s="204" t="n"/>
      <c r="F32" s="202" t="n"/>
      <c r="G32" s="209" t="n"/>
      <c r="H32" s="203" t="n"/>
      <c r="I32" s="203" t="n"/>
      <c r="J32" s="203" t="n"/>
      <c r="K32" s="209" t="n"/>
      <c r="L32" s="209" t="n"/>
      <c r="M32" s="209" t="n"/>
      <c r="N32" s="209" t="n"/>
      <c r="O32" s="209" t="n"/>
      <c r="U32" s="229" t="n"/>
    </row>
    <row r="33" ht="15" customHeight="1" s="1085">
      <c r="B33" s="202" t="n"/>
      <c r="C33" s="203" t="n"/>
      <c r="D33" s="202" t="n"/>
      <c r="E33" s="204" t="n"/>
      <c r="F33" s="202" t="n"/>
      <c r="G33" s="209" t="n"/>
      <c r="H33" s="206" t="n"/>
      <c r="I33" s="203" t="n"/>
      <c r="J33" s="203" t="n"/>
      <c r="K33" s="209" t="n"/>
      <c r="L33" s="209" t="n"/>
      <c r="M33" s="209" t="n"/>
      <c r="N33" s="209" t="n"/>
      <c r="O33" s="209" t="n"/>
      <c r="U33" s="229" t="n"/>
    </row>
    <row r="34" ht="15" customHeight="1" s="1085">
      <c r="B34" s="202" t="n"/>
      <c r="C34" s="203" t="n"/>
      <c r="D34" s="202" t="n"/>
      <c r="E34" s="202" t="n"/>
      <c r="F34" s="202" t="n"/>
      <c r="G34" s="207" t="n"/>
      <c r="H34" s="209" t="n"/>
      <c r="I34" s="203" t="n"/>
      <c r="J34" s="203" t="n"/>
      <c r="K34" s="205" t="n"/>
      <c r="L34" s="205" t="n"/>
      <c r="M34" s="205" t="n"/>
      <c r="N34" s="205" t="n"/>
      <c r="O34" s="205" t="n"/>
      <c r="U34" s="229" t="n"/>
    </row>
    <row r="35" ht="15" customHeight="1" s="1085">
      <c r="B35" s="202" t="n"/>
      <c r="C35" s="202" t="n"/>
      <c r="D35" s="202" t="n"/>
      <c r="E35" s="202" t="n"/>
      <c r="F35" s="202" t="n"/>
      <c r="G35" s="207" t="n"/>
      <c r="H35" s="209" t="n"/>
      <c r="I35" s="203" t="n"/>
      <c r="J35" s="203" t="n"/>
      <c r="K35" s="205" t="n"/>
      <c r="L35" s="205" t="n"/>
      <c r="M35" s="205" t="n"/>
      <c r="N35" s="205" t="n"/>
      <c r="O35" s="205" t="n"/>
      <c r="U35" s="229" t="n"/>
    </row>
    <row r="36" ht="15" customHeight="1" s="1085">
      <c r="J36" s="228" t="n"/>
      <c r="M36" s="228" t="n"/>
      <c r="O36" s="228" t="n"/>
      <c r="U36" s="229" t="n"/>
    </row>
    <row r="37" ht="15" customHeight="1" s="1085">
      <c r="J37" s="228" t="n"/>
      <c r="M37" s="228" t="n"/>
      <c r="O37" s="228" t="n"/>
      <c r="U37" s="229" t="n"/>
    </row>
    <row r="38" ht="15" customHeight="1" s="1085">
      <c r="G38" s="219" t="n"/>
      <c r="U38" s="229" t="n"/>
    </row>
    <row r="39" ht="15" customHeight="1" s="1085">
      <c r="G39" s="219" t="n"/>
      <c r="U39" s="229" t="n"/>
    </row>
    <row r="40" ht="15" customHeight="1" s="1085">
      <c r="G40" s="219" t="n"/>
      <c r="U40" s="229" t="n"/>
    </row>
    <row r="41" ht="15" customHeight="1" s="1085">
      <c r="G41" s="219" t="n"/>
      <c r="U41" s="229" t="n"/>
    </row>
    <row r="42" ht="15" customHeight="1" s="1085">
      <c r="G42" s="219" t="n"/>
      <c r="U42" s="229" t="n"/>
    </row>
    <row r="43" ht="15" customHeight="1" s="1085">
      <c r="G43" s="219" t="n"/>
      <c r="U43" s="229" t="n"/>
    </row>
    <row r="44" ht="15" customHeight="1" s="1085">
      <c r="G44" s="219" t="n"/>
      <c r="U44" s="229" t="n"/>
    </row>
    <row r="45" ht="15" customHeight="1" s="1085">
      <c r="G45" s="219" t="n"/>
      <c r="U45" s="229" t="n"/>
    </row>
    <row r="46" ht="15" customHeight="1" s="1085">
      <c r="G46" s="219" t="n"/>
      <c r="U46" s="229" t="n"/>
    </row>
    <row r="47" ht="15" customHeight="1" s="1085">
      <c r="B47" s="245" t="n"/>
      <c r="C47" s="245" t="n"/>
      <c r="D47" s="245" t="n"/>
      <c r="E47" s="245" t="n"/>
      <c r="F47" s="245" t="n"/>
      <c r="G47" s="245" t="n"/>
      <c r="U47" s="229" t="n"/>
    </row>
    <row r="48" ht="15" customHeight="1" s="1085">
      <c r="U48" s="229" t="n"/>
    </row>
    <row r="49" ht="15" customHeight="1" s="1085">
      <c r="U49" s="229" t="n"/>
    </row>
    <row r="50" ht="15" customHeight="1" s="1085">
      <c r="U50" s="229" t="n"/>
    </row>
    <row r="51" ht="15" customHeight="1" s="1085">
      <c r="U51" s="229" t="n"/>
    </row>
    <row r="52" ht="15" customHeight="1" s="1085">
      <c r="U52" s="229" t="n"/>
    </row>
    <row r="53" ht="15" customHeight="1" s="1085">
      <c r="U53" s="229" t="n"/>
    </row>
    <row r="54" ht="15" customHeight="1" s="1085">
      <c r="U54" s="229" t="n"/>
    </row>
    <row r="55" ht="15" customHeight="1" s="1085">
      <c r="U55" s="229" t="n"/>
    </row>
    <row r="56" ht="15" customHeight="1" s="1085">
      <c r="U56" s="229" t="n"/>
    </row>
    <row r="57" ht="15" customHeight="1" s="1085">
      <c r="U57" s="229" t="n"/>
    </row>
    <row r="58" ht="15" customHeight="1" s="1085">
      <c r="U58" s="229" t="n"/>
    </row>
    <row r="59" ht="15" customHeight="1" s="1085">
      <c r="U59" s="229" t="n"/>
    </row>
    <row r="60" ht="15" customHeight="1" s="1085">
      <c r="U60" s="229" t="n"/>
    </row>
    <row r="61" ht="15" customHeight="1" s="1085">
      <c r="U61" s="229" t="n"/>
    </row>
    <row r="62" ht="15" customHeight="1" s="1085">
      <c r="U62" s="229" t="n"/>
    </row>
    <row r="63" ht="15" customHeight="1" s="1085">
      <c r="U63" s="229" t="n"/>
    </row>
    <row r="64" ht="15" customHeight="1" s="1085">
      <c r="U64" s="229" t="n"/>
    </row>
    <row r="65" ht="15" customHeight="1" s="1085">
      <c r="U65" s="229" t="n"/>
    </row>
    <row r="66" ht="15" customHeight="1" s="1085">
      <c r="U66" s="229" t="n"/>
    </row>
    <row r="67" ht="15" customHeight="1" s="1085">
      <c r="U67" s="229" t="n"/>
    </row>
    <row r="68" ht="15" customHeight="1" s="1085"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2" ht="15" customHeight="1" s="1085">
      <c r="U112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1" ht="15" customHeight="1" s="1085">
      <c r="U121" s="229" t="n"/>
    </row>
    <row r="122" ht="15" customHeight="1" s="1085">
      <c r="U122" s="229" t="n"/>
    </row>
    <row r="123" ht="15" customHeight="1" s="1085">
      <c r="U123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</sheetData>
  <mergeCells count="6">
    <mergeCell ref="C7:D7"/>
    <mergeCell ref="G3:J3"/>
    <mergeCell ref="C5:D5"/>
    <mergeCell ref="G7:J7"/>
    <mergeCell ref="C3:D3"/>
    <mergeCell ref="G5:J5"/>
  </mergeCells>
  <conditionalFormatting sqref="B9">
    <cfRule type="expression" priority="480" dxfId="680">
      <formula>B9="CURRENCY"</formula>
    </cfRule>
    <cfRule type="containsText" priority="479" operator="containsText" dxfId="680" text="SELECT">
      <formula>NOT(ISERROR(SEARCH("SELECT",B9)))</formula>
    </cfRule>
  </conditionalFormatting>
  <conditionalFormatting sqref="C9:D9">
    <cfRule type="cellIs" priority="476" operator="greaterThan" dxfId="552">
      <formula>0</formula>
    </cfRule>
    <cfRule type="cellIs" priority="475" operator="lessThan" dxfId="207">
      <formula>0</formula>
    </cfRule>
  </conditionalFormatting>
  <conditionalFormatting sqref="G11">
    <cfRule type="expression" priority="483" dxfId="176">
      <formula>((F14-50)/H14)&lt;950</formula>
    </cfRule>
  </conditionalFormatting>
  <conditionalFormatting sqref="G27">
    <cfRule type="expression" priority="833" dxfId="176">
      <formula>((#REF!-50)/#REF!)&lt;950</formula>
    </cfRule>
  </conditionalFormatting>
  <conditionalFormatting sqref="J29:J35">
    <cfRule type="expression" priority="468" dxfId="2">
      <formula>#REF!="EURO"</formula>
    </cfRule>
  </conditionalFormatting>
  <conditionalFormatting sqref="K14:K26">
    <cfRule type="cellIs" priority="379" operator="greaterThan" dxfId="141">
      <formula>0</formula>
    </cfRule>
  </conditionalFormatting>
  <conditionalFormatting sqref="K29:K35">
    <cfRule type="expression" priority="465" dxfId="0">
      <formula>$B$9="CZK"</formula>
    </cfRule>
    <cfRule type="expression" priority="467" dxfId="2">
      <formula>$B$9="EURO"</formula>
    </cfRule>
    <cfRule type="expression" priority="466" dxfId="3">
      <formula>$B$9="USD"</formula>
    </cfRule>
    <cfRule type="expression" priority="464" dxfId="4">
      <formula>$B$9="PLN"</formula>
    </cfRule>
  </conditionalFormatting>
  <conditionalFormatting sqref="L14:L26">
    <cfRule type="expression" priority="382" dxfId="116">
      <formula>$C$9&lt;0</formula>
    </cfRule>
    <cfRule type="expression" priority="383" dxfId="115">
      <formula>$C$9&gt;0</formula>
    </cfRule>
  </conditionalFormatting>
  <conditionalFormatting sqref="N12">
    <cfRule type="expression" priority="454" dxfId="2">
      <formula>$B$9="EURO"</formula>
    </cfRule>
    <cfRule type="expression" priority="453" dxfId="3">
      <formula>$B$9="USD"</formula>
    </cfRule>
    <cfRule type="expression" priority="452" dxfId="0">
      <formula>$B$9="CZK"</formula>
    </cfRule>
    <cfRule type="expression" priority="451" dxfId="4">
      <formula>$B$9="PLN"</formula>
    </cfRule>
  </conditionalFormatting>
  <conditionalFormatting sqref="N14:N26 N15:O15">
    <cfRule type="expression" priority="41" dxfId="0">
      <formula>$B$9="CZK"</formula>
    </cfRule>
    <cfRule type="expression" priority="40" dxfId="4">
      <formula>$B$9="PLN"</formula>
    </cfRule>
    <cfRule type="expression" priority="39" dxfId="3">
      <formula>$B$9="USD"</formula>
    </cfRule>
    <cfRule type="expression" priority="38" dxfId="2">
      <formula>$B$9="EURO"</formula>
    </cfRule>
    <cfRule type="cellIs" priority="37" operator="greaterThan" dxfId="1">
      <formula>0</formula>
    </cfRule>
  </conditionalFormatting>
  <conditionalFormatting sqref="O14 O16:O26">
    <cfRule type="cellIs" priority="412" operator="greaterThan" dxfId="5">
      <formula>0</formula>
    </cfRule>
  </conditionalFormatting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60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 codeName="Sheet29">
    <tabColor theme="8" tint="0.7999816888943144"/>
    <outlinePr summaryBelow="1" summaryRight="1"/>
    <pageSetUpPr fitToPage="1"/>
  </sheetPr>
  <dimension ref="A1:Z310"/>
  <sheetViews>
    <sheetView showGridLines="0" topLeftCell="G2" zoomScale="106" zoomScaleNormal="80" zoomScaleSheetLayoutView="50" workbookViewId="0">
      <selection activeCell="P182" sqref="P182"/>
    </sheetView>
  </sheetViews>
  <sheetFormatPr baseColWidth="10" defaultColWidth="8.83203125" defaultRowHeight="15" customHeight="1" outlineLevelRow="1"/>
  <cols>
    <col width="2" customWidth="1" style="666" min="1" max="1"/>
    <col width="29.6640625" customWidth="1" style="1095" min="2" max="2"/>
    <col width="24.6640625" customWidth="1" style="1095" min="3" max="3"/>
    <col width="27.1640625" customWidth="1" style="1095" min="4" max="4"/>
    <col width="26.6640625" customWidth="1" style="1095" min="5" max="5"/>
    <col width="18.83203125" customWidth="1" style="1095" min="6" max="6"/>
    <col width="22.6640625" customWidth="1" style="1095" min="7" max="7"/>
    <col width="10" bestFit="1" customWidth="1" style="1096" min="8" max="8"/>
    <col width="11.6640625" bestFit="1" customWidth="1" style="1096" min="9" max="9"/>
    <col width="12.33203125" customWidth="1" style="1097" min="10" max="10"/>
    <col width="15" customWidth="1" style="1098" min="11" max="11"/>
    <col width="7.6640625" bestFit="1" customWidth="1" style="1098" min="12" max="12"/>
    <col hidden="1" width="12.33203125" customWidth="1" style="1099" min="13" max="13"/>
    <col width="12.8320312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8"/>
    <col width="8.83203125" customWidth="1" style="1095" min="99" max="16384"/>
  </cols>
  <sheetData>
    <row r="1" ht="15" customHeight="1" s="1085">
      <c r="B1" s="1116" t="inlineStr">
        <is>
          <t>F24 - 19  CANOPY COST SHEET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 t="n"/>
      <c r="F3" s="690" t="inlineStr">
        <is>
          <t>Project Name</t>
        </is>
      </c>
      <c r="G3" s="1071" t="n"/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 t="n"/>
      <c r="F5" s="690" t="inlineStr">
        <is>
          <t>Location</t>
        </is>
      </c>
      <c r="G5" s="1071" t="n"/>
      <c r="M5" s="684" t="n"/>
      <c r="N5" s="685" t="n"/>
      <c r="P5" s="1118" t="inlineStr">
        <is>
          <t>RECO CANOPIES MUST HAVE COALESCERS</t>
        </is>
      </c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 t="n"/>
      <c r="F7" s="690" t="inlineStr">
        <is>
          <t>Date</t>
        </is>
      </c>
      <c r="G7" s="1075" t="n"/>
      <c r="N7" s="699" t="inlineStr">
        <is>
          <t>Revision No</t>
        </is>
      </c>
      <c r="O7" s="809" t="inlineStr">
        <is>
          <t>B</t>
        </is>
      </c>
      <c r="P7" s="1091" t="inlineStr">
        <is>
          <t>GP SHOULD BE MINIMUM 44%</t>
        </is>
      </c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47" t="n"/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8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 xml:space="preserve">ITEM 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68">
        <f>N12-N19</f>
        <v/>
      </c>
      <c r="Q12" s="1095" t="n"/>
      <c r="R12" s="1095" t="n"/>
      <c r="S12" s="713" t="n"/>
      <c r="T12" s="1095" t="n"/>
      <c r="X12" s="1095" t="n"/>
      <c r="Y12" s="1095" t="n"/>
      <c r="Z12" s="1095" t="n"/>
    </row>
    <row r="13" hidden="1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hidden="1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CANOPY TYPE</t>
        </is>
      </c>
      <c r="E14" s="734" t="n"/>
      <c r="F14" s="734" t="n"/>
      <c r="G14" s="734" t="n"/>
      <c r="H14" s="735" t="n"/>
      <c r="I14" s="734" t="n"/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hidden="1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LIGHT SELECTION</t>
        </is>
      </c>
      <c r="D15" s="741" t="n"/>
      <c r="E15" s="848" t="n"/>
      <c r="F15" s="743" t="n"/>
      <c r="G15" s="744" t="n"/>
      <c r="H15" s="668" t="n"/>
      <c r="I15" s="668" t="n"/>
      <c r="J15" s="736">
        <f>IF(ISNA(C12),0,IF(D15=0,0,IF(C15="FLO",VLOOKUP(E15,'Base Costs'!$M$4:$N$14,2,FALSE),IF(C15="LED STRIP",VLOOKUP(E15,'Base Costs'!$M$4:$N$14,2,FALSE),(VLOOKUP(C15,'Base Costs'!$M$4:$N$14,2,FALSE))))))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hidden="1" outlineLevel="1" ht="15" customHeight="1" s="1085">
      <c r="A16" s="666" t="n">
        <v>234</v>
      </c>
      <c r="B16" s="269" t="inlineStr">
        <is>
          <t>SPECIAL WORKS</t>
        </is>
      </c>
      <c r="C16" s="33" t="inlineStr">
        <is>
          <t>SELECT WORKS</t>
        </is>
      </c>
      <c r="D16" s="735" t="n"/>
      <c r="E16" s="753">
        <f>IF(C16="","",VLOOKUP(C16,CCBASE!$A$53:$D$73,4,FALSE))</f>
        <v/>
      </c>
      <c r="F16" s="754" t="n"/>
      <c r="G16" s="749" t="n"/>
      <c r="H16" s="750" t="n"/>
      <c r="I16" s="755" t="n"/>
      <c r="J16" s="736">
        <f>IF(C16="",0,VLOOKUP(C16,CCBASE!$A$53:$C$73,2,FALSE))</f>
        <v/>
      </c>
      <c r="K16" s="737">
        <f>J16*D16</f>
        <v/>
      </c>
      <c r="L16" s="738" t="n">
        <v>0.44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hidden="1" outlineLevel="1" ht="15" customHeight="1" s="1085">
      <c r="B17" s="269" t="inlineStr">
        <is>
          <t>SPECIAL WORKS</t>
        </is>
      </c>
      <c r="C17" s="752" t="inlineStr">
        <is>
          <t>SELECT WORKS</t>
        </is>
      </c>
      <c r="D17" s="735" t="n"/>
      <c r="E17" s="753">
        <f>IF(C17="","",VLOOKUP(C17,CCBASE!$A$53:$D$73,4,FALSE))</f>
        <v/>
      </c>
      <c r="F17" s="754" t="n"/>
      <c r="G17" s="749" t="n"/>
      <c r="H17" s="750" t="n"/>
      <c r="I17" s="755" t="n"/>
      <c r="J17" s="736">
        <f>IF(C17="",0,VLOOKUP(C17,CCBASE!$A$53:$C$73,2,FALSE))</f>
        <v/>
      </c>
      <c r="K17" s="737">
        <f>J17*D17</f>
        <v/>
      </c>
      <c r="L17" s="738" t="n">
        <v>0.44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hidden="1" outlineLevel="1" ht="15" customHeight="1" s="1085">
      <c r="B18" s="978" t="inlineStr">
        <is>
          <t>SPECIAL WORKS</t>
        </is>
      </c>
      <c r="C18" s="979" t="inlineStr">
        <is>
          <t>BIM/ REVIT per CANOPY</t>
        </is>
      </c>
      <c r="D18" s="980" t="n">
        <v>1</v>
      </c>
      <c r="E18" s="981">
        <f>IF(C18="","",VLOOKUP(C18,CCBASE!$A$53:$D$73,4,FALSE))</f>
        <v/>
      </c>
      <c r="F18" s="982" t="n"/>
      <c r="G18" s="977" t="n"/>
      <c r="H18" s="983" t="n"/>
      <c r="I18" s="984" t="n"/>
      <c r="J18" s="985">
        <f>IF(C18="",0,VLOOKUP(C18,CCBASE!$A$53:$C$73,2,FALSE))</f>
        <v/>
      </c>
      <c r="K18" s="986">
        <f>J18*D18</f>
        <v/>
      </c>
      <c r="L18" s="987" t="n">
        <v>0.44</v>
      </c>
      <c r="M18" s="988">
        <f>K18/(1-L18)*(1+$C$9)</f>
        <v/>
      </c>
      <c r="N18" s="986">
        <f>M18*VLOOKUP($B$9,'Base Costs'!$A$32:$B$37,2,FALSE)</f>
        <v/>
      </c>
      <c r="O18" s="989">
        <f>M18-K18</f>
        <v/>
      </c>
      <c r="P18" s="990" t="inlineStr">
        <is>
          <t>always include</t>
        </is>
      </c>
      <c r="S18" s="694" t="n"/>
      <c r="Y18" s="1095" t="n"/>
    </row>
    <row r="19" hidden="1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SELECT CLADDING</t>
        </is>
      </c>
      <c r="D19" s="756">
        <f>IF(NOT(ISBLANK(C19)), ROUNDUP($F14/1000,0), 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S19" s="694" t="n"/>
      <c r="Y19" s="1095" t="n"/>
    </row>
    <row r="20" hidden="1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hidden="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hidden="1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S22" s="694" t="n"/>
      <c r="Y22" s="1095" t="n"/>
    </row>
    <row r="23" hidden="1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>
        <f>IF(ISNA(D23),0,(VLOOKUP(D23,'Base Costs'!$Q$4:$R$14,2,FALSE)))</f>
        <v/>
      </c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hidden="1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hidden="1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hidden="1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hidden="1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collapsed="1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 xml:space="preserve">ITEM 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68">
        <f>N29-N36</f>
        <v/>
      </c>
      <c r="Q29" s="1095" t="n"/>
      <c r="R29" s="1095" t="n"/>
      <c r="S29" s="713" t="n"/>
      <c r="T29" s="1095" t="n"/>
      <c r="X29" s="1095" t="n"/>
      <c r="Y29" s="1095" t="n"/>
      <c r="Z29" s="1095" t="n"/>
    </row>
    <row r="30" hidden="1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hidden="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hidden="1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hidden="1" outlineLevel="1" ht="15" customHeight="1" s="1085">
      <c r="A33" s="666" t="n">
        <v>234</v>
      </c>
      <c r="B33" s="731" t="inlineStr">
        <is>
          <t>SPECIAL WORKS</t>
        </is>
      </c>
      <c r="C33" s="752" t="inlineStr">
        <is>
          <t>SELECT WORKS</t>
        </is>
      </c>
      <c r="D33" s="735" t="n"/>
      <c r="E33" s="753">
        <f>IF(C33="","",VLOOKUP(C33,CCBASE!$A$53:$D$73,4,FALSE))</f>
        <v/>
      </c>
      <c r="F33" s="754" t="n"/>
      <c r="G33" s="749" t="n"/>
      <c r="H33" s="750" t="n"/>
      <c r="I33" s="755" t="n"/>
      <c r="J33" s="736">
        <f>IF(C33="",0,VLOOKUP(C33,CCBASE!$A$53:$C$73,2,FALSE))</f>
        <v/>
      </c>
      <c r="K33" s="737">
        <f>J33*D33</f>
        <v/>
      </c>
      <c r="L33" s="738" t="n">
        <v>0.44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hidden="1" outlineLevel="1" ht="15" customHeight="1" s="1085">
      <c r="B34" s="731" t="inlineStr">
        <is>
          <t>SPECIAL WORKS</t>
        </is>
      </c>
      <c r="C34" s="752" t="inlineStr">
        <is>
          <t>SELECT WORKS</t>
        </is>
      </c>
      <c r="D34" s="735" t="n"/>
      <c r="E34" s="753">
        <f>IF(C34="","",VLOOKUP(C34,CCBASE!$A$53:$D$73,4,FALSE))</f>
        <v/>
      </c>
      <c r="F34" s="754" t="n"/>
      <c r="G34" s="749" t="n"/>
      <c r="H34" s="750" t="n"/>
      <c r="I34" s="755" t="n"/>
      <c r="J34" s="736">
        <f>IF(C34="",0,VLOOKUP(C34,CCBASE!$A$53:$C$73,2,FALSE))</f>
        <v/>
      </c>
      <c r="K34" s="737">
        <f>J34*D34</f>
        <v/>
      </c>
      <c r="L34" s="738" t="n">
        <v>0.44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hidden="1" outlineLevel="1" ht="15" customHeight="1" s="1085">
      <c r="B35" s="978" t="inlineStr">
        <is>
          <t>SPECIAL WORKS</t>
        </is>
      </c>
      <c r="C35" s="979" t="inlineStr">
        <is>
          <t>BIM/ REVIT per CANOPY</t>
        </is>
      </c>
      <c r="D35" s="980" t="n"/>
      <c r="E35" s="1111" t="n"/>
      <c r="G35" s="977" t="n"/>
      <c r="H35" s="983" t="n"/>
      <c r="I35" s="984" t="n"/>
      <c r="J35" s="985">
        <f>IF(C35="",0,VLOOKUP(C35,CCBASE!$A$53:$C$73,2,FALSE))</f>
        <v/>
      </c>
      <c r="K35" s="986">
        <f>J35*D35</f>
        <v/>
      </c>
      <c r="L35" s="987" t="n">
        <v>0.44</v>
      </c>
      <c r="M35" s="988">
        <f>K35/(1-L35)*(1+$C$9)</f>
        <v/>
      </c>
      <c r="N35" s="986">
        <f>M35*VLOOKUP($B$9,'Base Costs'!$A$32:$B$37,2,FALSE)</f>
        <v/>
      </c>
      <c r="O35" s="989">
        <f>M35-K35</f>
        <v/>
      </c>
      <c r="P35" s="990" t="inlineStr">
        <is>
          <t>always include</t>
        </is>
      </c>
      <c r="S35" s="694" t="n"/>
      <c r="Y35" s="1095" t="n"/>
    </row>
    <row r="36" hidden="1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SELECT CLADDING</t>
        </is>
      </c>
      <c r="D36" s="756">
        <f>IF(NOT(ISBLANK(C36)), ROUNDUP($F31/1000,0), 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Y36" s="1095" t="n"/>
    </row>
    <row r="37" hidden="1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hidden="1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hidden="1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S39" s="694" t="n"/>
      <c r="Y39" s="1095" t="n"/>
    </row>
    <row r="40" hidden="1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>
        <f>IF(ISNA(D40),0,(VLOOKUP(D40,'Base Costs'!$Q$4:$R$13,2,FALSE)))</f>
        <v/>
      </c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hidden="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hidden="1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hidden="1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hidden="1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collapsed="1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68">
        <f>N46-N53</f>
        <v/>
      </c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731" t="inlineStr">
        <is>
          <t>SPECIAL WORKS</t>
        </is>
      </c>
      <c r="C50" s="752" t="inlineStr">
        <is>
          <t>SELECT WORKS</t>
        </is>
      </c>
      <c r="D50" s="735" t="n"/>
      <c r="E50" s="753">
        <f>IF(C50="","",VLOOKUP(C50,CCBASE!$A$53:$D$73,4,FALSE))</f>
        <v/>
      </c>
      <c r="F50" s="754" t="n"/>
      <c r="G50" s="749" t="n"/>
      <c r="H50" s="750" t="n"/>
      <c r="I50" s="755" t="n"/>
      <c r="J50" s="736">
        <f>IF(C50="",0,VLOOKUP(C50,CCBASE!$A$53:$C$73,2,FALSE))</f>
        <v/>
      </c>
      <c r="K50" s="737">
        <f>J50*D50</f>
        <v/>
      </c>
      <c r="L50" s="738" t="n">
        <v>0.44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731" t="inlineStr">
        <is>
          <t>SPECIAL WORKS</t>
        </is>
      </c>
      <c r="C51" s="752" t="inlineStr">
        <is>
          <t>SELECT WORKS</t>
        </is>
      </c>
      <c r="D51" s="735" t="n"/>
      <c r="E51" s="753">
        <f>IF(C51="","",VLOOKUP(C51,CCBASE!$A$53:$D$73,4,FALSE))</f>
        <v/>
      </c>
      <c r="F51" s="754" t="n"/>
      <c r="G51" s="749" t="n"/>
      <c r="H51" s="750" t="n"/>
      <c r="I51" s="755" t="n"/>
      <c r="J51" s="736">
        <f>IF(C51="",0,VLOOKUP(C51,CCBASE!$A$53:$C$73,2,FALSE))</f>
        <v/>
      </c>
      <c r="K51" s="737">
        <f>J51*D51</f>
        <v/>
      </c>
      <c r="L51" s="738" t="n">
        <v>0.44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978" t="inlineStr">
        <is>
          <t>SPECIAL WORKS</t>
        </is>
      </c>
      <c r="C52" s="979" t="inlineStr">
        <is>
          <t>BIM/ REVIT per CANOPY</t>
        </is>
      </c>
      <c r="D52" s="980" t="n"/>
      <c r="E52" s="981">
        <f>IF(C52="","",VLOOKUP(C52,CCBASE!$A$53:$D$73,4,FALSE))</f>
        <v/>
      </c>
      <c r="F52" s="982" t="n"/>
      <c r="G52" s="977" t="n"/>
      <c r="H52" s="983" t="n"/>
      <c r="I52" s="984" t="n"/>
      <c r="J52" s="985">
        <f>IF(C52="",0,VLOOKUP(C52,CCBASE!$A$53:$C$73,2,FALSE))</f>
        <v/>
      </c>
      <c r="K52" s="986">
        <f>J52*D52</f>
        <v/>
      </c>
      <c r="L52" s="987" t="n">
        <v>0.44</v>
      </c>
      <c r="M52" s="988">
        <f>K52/(1-L52)*(1+$C$9)</f>
        <v/>
      </c>
      <c r="N52" s="986">
        <f>M52*VLOOKUP($B$9,'Base Costs'!$A$32:$B$37,2,FALSE)</f>
        <v/>
      </c>
      <c r="O52" s="989">
        <f>M52-K52</f>
        <v/>
      </c>
      <c r="P52" s="990" t="inlineStr">
        <is>
          <t>always include</t>
        </is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SELECT CLADDING</t>
        </is>
      </c>
      <c r="D53" s="756">
        <f>IF(NOT(ISBLANK(C53)), ROUNDUP($F48/1000,0), 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>
        <f>IF(ISNA(D57),0,(VLOOKUP(D57,'Base Costs'!$Q$4:$R$13,2,FALSE)))</f>
        <v/>
      </c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68">
        <f>N63-N70</f>
        <v/>
      </c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731" t="inlineStr">
        <is>
          <t>SPECIAL WORKS</t>
        </is>
      </c>
      <c r="C67" s="752" t="inlineStr">
        <is>
          <t>SELECT WORKS</t>
        </is>
      </c>
      <c r="D67" s="735" t="n"/>
      <c r="E67" s="753">
        <f>IF(C67="","",VLOOKUP(C67,CCBASE!$A$53:$D$73,4,FALSE))</f>
        <v/>
      </c>
      <c r="F67" s="754" t="n"/>
      <c r="G67" s="749" t="n"/>
      <c r="H67" s="750" t="n"/>
      <c r="I67" s="755" t="n"/>
      <c r="J67" s="736">
        <f>IF(C67="",0,VLOOKUP(C67,CCBASE!$A$53:$C$73,2,FALSE))</f>
        <v/>
      </c>
      <c r="K67" s="737">
        <f>J67*D67</f>
        <v/>
      </c>
      <c r="L67" s="738" t="n">
        <v>0.44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731" t="inlineStr">
        <is>
          <t>SPECIAL WORKS</t>
        </is>
      </c>
      <c r="C68" s="752" t="inlineStr">
        <is>
          <t>SELECT WORKS</t>
        </is>
      </c>
      <c r="D68" s="735" t="n"/>
      <c r="E68" s="753">
        <f>IF(C68="","",VLOOKUP(C68,CCBASE!$A$53:$D$73,4,FALSE))</f>
        <v/>
      </c>
      <c r="F68" s="754" t="n"/>
      <c r="G68" s="749" t="n"/>
      <c r="H68" s="750" t="n"/>
      <c r="I68" s="755" t="n"/>
      <c r="J68" s="736">
        <f>IF(C68="",0,VLOOKUP(C68,CCBASE!$A$53:$C$73,2,FALSE))</f>
        <v/>
      </c>
      <c r="K68" s="737">
        <f>J68*D68</f>
        <v/>
      </c>
      <c r="L68" s="738" t="n">
        <v>0.44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978" t="inlineStr">
        <is>
          <t>SPECIAL WORKS</t>
        </is>
      </c>
      <c r="C69" s="979" t="inlineStr">
        <is>
          <t>BIM/ REVIT per CANOPY</t>
        </is>
      </c>
      <c r="D69" s="980" t="n"/>
      <c r="E69" s="981">
        <f>IF(C69="","",VLOOKUP(C69,CCBASE!$A$53:$D$73,4,FALSE))</f>
        <v/>
      </c>
      <c r="F69" s="982" t="n"/>
      <c r="G69" s="977" t="n"/>
      <c r="H69" s="983" t="n"/>
      <c r="I69" s="984" t="n"/>
      <c r="J69" s="985">
        <f>IF(C69="",0,VLOOKUP(C69,CCBASE!$A$53:$C$73,2,FALSE))</f>
        <v/>
      </c>
      <c r="K69" s="986">
        <f>J69*D69</f>
        <v/>
      </c>
      <c r="L69" s="987" t="n">
        <v>0.44</v>
      </c>
      <c r="M69" s="988">
        <f>K69/(1-L69)*(1+$C$9)</f>
        <v/>
      </c>
      <c r="N69" s="986">
        <f>M69*VLOOKUP($B$9,'Base Costs'!$A$32:$B$37,2,FALSE)</f>
        <v/>
      </c>
      <c r="O69" s="989">
        <f>M69-K69</f>
        <v/>
      </c>
      <c r="P69" s="990" t="inlineStr">
        <is>
          <t>always include</t>
        </is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IF(NOT(ISBLANK(C70)), ROUNDUP(F65/1000,0), 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>
        <f>IF(ISNA(D74),0,(VLOOKUP(D74,'Base Costs'!$Q$4:$R$13,2,FALSE)))</f>
        <v/>
      </c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68">
        <f>N80-N87</f>
        <v/>
      </c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731" t="inlineStr">
        <is>
          <t>SPECIAL WORKS</t>
        </is>
      </c>
      <c r="C84" s="752" t="inlineStr">
        <is>
          <t>SELECT WORKS</t>
        </is>
      </c>
      <c r="D84" s="735" t="n"/>
      <c r="E84" s="753">
        <f>IF(C84="","",VLOOKUP(C84,CCBASE!$A$53:$D$73,4,FALSE))</f>
        <v/>
      </c>
      <c r="F84" s="754" t="n"/>
      <c r="G84" s="749" t="n"/>
      <c r="H84" s="750" t="n"/>
      <c r="I84" s="755" t="n"/>
      <c r="J84" s="736">
        <f>IF(C84="",0,VLOOKUP(C84,CCBASE!$A$53:$C$73,2,FALSE))</f>
        <v/>
      </c>
      <c r="K84" s="737">
        <f>J84*D84</f>
        <v/>
      </c>
      <c r="L84" s="738" t="n">
        <v>0.44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SPECIAL WORKS</t>
        </is>
      </c>
      <c r="C85" s="752" t="inlineStr">
        <is>
          <t>SELECT WORKS</t>
        </is>
      </c>
      <c r="D85" s="735" t="n"/>
      <c r="E85" s="753">
        <f>IF(C85="","",VLOOKUP(C85,CCBASE!$A$53:$D$73,4,FALSE))</f>
        <v/>
      </c>
      <c r="F85" s="754" t="n"/>
      <c r="G85" s="749" t="n"/>
      <c r="H85" s="750" t="n"/>
      <c r="I85" s="755" t="n"/>
      <c r="J85" s="736">
        <f>IF(C85="",0,VLOOKUP(C85,CCBASE!$A$53:$C$73,2,FALSE))</f>
        <v/>
      </c>
      <c r="K85" s="737">
        <f>J85*D85</f>
        <v/>
      </c>
      <c r="L85" s="738" t="n">
        <v>0.44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978" t="inlineStr">
        <is>
          <t>SPECIAL WORKS</t>
        </is>
      </c>
      <c r="C86" s="979" t="inlineStr">
        <is>
          <t>BIM/ REVIT per CANOPY</t>
        </is>
      </c>
      <c r="D86" s="980" t="n"/>
      <c r="E86" s="981">
        <f>IF(C86="","",VLOOKUP(C86,CCBASE!$A$53:$D$73,4,FALSE))</f>
        <v/>
      </c>
      <c r="F86" s="982" t="n"/>
      <c r="G86" s="977" t="n"/>
      <c r="H86" s="983" t="n"/>
      <c r="I86" s="984" t="n"/>
      <c r="J86" s="985">
        <f>IF(C86="",0,VLOOKUP(C86,CCBASE!$A$53:$C$73,2,FALSE))</f>
        <v/>
      </c>
      <c r="K86" s="986">
        <f>J86*D86</f>
        <v/>
      </c>
      <c r="L86" s="987" t="n">
        <v>0.44</v>
      </c>
      <c r="M86" s="988">
        <f>K86/(1-L86)*(1+$C$9)</f>
        <v/>
      </c>
      <c r="N86" s="986">
        <f>M86*VLOOKUP($B$9,'Base Costs'!$A$32:$B$37,2,FALSE)</f>
        <v/>
      </c>
      <c r="O86" s="989">
        <f>M86-K86</f>
        <v/>
      </c>
      <c r="P86" s="990" t="inlineStr">
        <is>
          <t>always include</t>
        </is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IF(NOT(ISBLANK(C87)), ROUNDUP(F82/1000,0), 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>
        <f>IF(ISNA(D91),0,(VLOOKUP(D91,'Base Costs'!$Q$4:$R$13,2,FALSE)))</f>
        <v/>
      </c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IF(ISNUMBER(SEARCH("UV",D99)),49.7,71.75)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68">
        <f>N97-N104</f>
        <v/>
      </c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731" t="inlineStr">
        <is>
          <t>SPECIAL WORKS</t>
        </is>
      </c>
      <c r="C101" s="752" t="inlineStr">
        <is>
          <t>SELECT WORKS</t>
        </is>
      </c>
      <c r="D101" s="735" t="n"/>
      <c r="E101" s="753">
        <f>IF(C101="","",VLOOKUP(C101,CCBASE!$A$53:$D$73,4,FALSE))</f>
        <v/>
      </c>
      <c r="F101" s="754" t="n"/>
      <c r="G101" s="749" t="n"/>
      <c r="H101" s="750" t="n"/>
      <c r="I101" s="755" t="n"/>
      <c r="J101" s="736">
        <f>IF(C101="",0,VLOOKUP(C101,CCBASE!$A$53:$C$73,2,FALSE))</f>
        <v/>
      </c>
      <c r="K101" s="737">
        <f>J101*D101</f>
        <v/>
      </c>
      <c r="L101" s="738" t="n">
        <v>0.44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584" t="inlineStr">
        <is>
          <t>SPECIAL WORKS</t>
        </is>
      </c>
      <c r="C102" s="33" t="inlineStr">
        <is>
          <t>SELECT WORKS</t>
        </is>
      </c>
      <c r="D102" s="735" t="n"/>
      <c r="E102" s="753">
        <f>IF(C102="","",VLOOKUP(C102,CCBASE!$A$53:$D$73,4,FALSE))</f>
        <v/>
      </c>
      <c r="F102" s="754" t="n"/>
      <c r="G102" s="749" t="n"/>
      <c r="H102" s="750" t="n"/>
      <c r="I102" s="755" t="n"/>
      <c r="J102" s="736">
        <f>IF(C102="",0,VLOOKUP(C102,CCBASE!$A$53:$C$73,2,FALSE))</f>
        <v/>
      </c>
      <c r="K102" s="737">
        <f>J102*D102</f>
        <v/>
      </c>
      <c r="L102" s="738" t="n">
        <v>0.44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991" t="inlineStr">
        <is>
          <t>SPECIAL WORKS</t>
        </is>
      </c>
      <c r="C103" s="992" t="inlineStr">
        <is>
          <t>BIM/ REVIT per CANOPY</t>
        </is>
      </c>
      <c r="D103" s="980" t="n"/>
      <c r="E103" s="981">
        <f>IF(C103="","",VLOOKUP(C103,CCBASE!$A$53:$D$73,4,FALSE))</f>
        <v/>
      </c>
      <c r="F103" s="982" t="n"/>
      <c r="G103" s="977" t="n"/>
      <c r="H103" s="983" t="n"/>
      <c r="I103" s="984" t="n"/>
      <c r="J103" s="985">
        <f>IF(C103="",0,VLOOKUP(C103,CCBASE!$A$53:$C$73,2,FALSE))</f>
        <v/>
      </c>
      <c r="K103" s="986">
        <f>J103*D103</f>
        <v/>
      </c>
      <c r="L103" s="987" t="n">
        <v>0.44</v>
      </c>
      <c r="M103" s="988">
        <f>K103/(1-L103)*(1+$C$9)</f>
        <v/>
      </c>
      <c r="N103" s="986">
        <f>M103*VLOOKUP($B$9,'Base Costs'!$A$32:$B$37,2,FALSE)</f>
        <v/>
      </c>
      <c r="O103" s="989">
        <f>M103-K103</f>
        <v/>
      </c>
      <c r="P103" s="990" t="inlineStr">
        <is>
          <t>always include</t>
        </is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IF(NOT(ISBLANK(C104)), ROUNDUP(F99/1000,0), 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>
        <f>IF(ISNA(D108),0,(VLOOKUP(D108,'Base Costs'!$Q$4:$R$13,2,FALSE)))</f>
        <v/>
      </c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IF(ISNUMBER(SEARCH("UV",D116)),49.7,71.75)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68">
        <f>N114-N121</f>
        <v/>
      </c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731" t="inlineStr">
        <is>
          <t>SPECIAL WORKS</t>
        </is>
      </c>
      <c r="C118" s="752" t="inlineStr">
        <is>
          <t>SELECT WORKS</t>
        </is>
      </c>
      <c r="D118" s="735" t="n"/>
      <c r="E118" s="753">
        <f>IF(C118="","",VLOOKUP(C118,CCBASE!$A$53:$D$73,4,FALSE))</f>
        <v/>
      </c>
      <c r="F118" s="754" t="n"/>
      <c r="G118" s="749" t="n"/>
      <c r="H118" s="750" t="n"/>
      <c r="I118" s="755" t="n"/>
      <c r="J118" s="736">
        <f>IF(C118="",0,VLOOKUP(C118,CCBASE!$A$53:$C$73,2,FALSE))</f>
        <v/>
      </c>
      <c r="K118" s="737">
        <f>J118*D118</f>
        <v/>
      </c>
      <c r="L118" s="738" t="n">
        <v>0.44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584" t="inlineStr">
        <is>
          <t>SPECIAL WORKS</t>
        </is>
      </c>
      <c r="C119" s="33" t="inlineStr">
        <is>
          <t>SELECT WORKS</t>
        </is>
      </c>
      <c r="D119" s="735" t="n"/>
      <c r="E119" s="753">
        <f>IF(C119="","",VLOOKUP(C119,CCBASE!$A$53:$D$73,4,FALSE))</f>
        <v/>
      </c>
      <c r="F119" s="754" t="n"/>
      <c r="G119" s="749" t="n"/>
      <c r="H119" s="750" t="n"/>
      <c r="I119" s="755" t="n"/>
      <c r="J119" s="736">
        <f>IF(C119="",0,VLOOKUP(C119,CCBASE!$A$53:$C$73,2,FALSE))</f>
        <v/>
      </c>
      <c r="K119" s="737">
        <f>J119*D119</f>
        <v/>
      </c>
      <c r="L119" s="738" t="n">
        <v>0.44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991" t="inlineStr">
        <is>
          <t>SPECIAL WORKS</t>
        </is>
      </c>
      <c r="C120" s="992" t="inlineStr">
        <is>
          <t>BIM/ REVIT per CANOPY</t>
        </is>
      </c>
      <c r="D120" s="980" t="n"/>
      <c r="E120" s="981">
        <f>IF(C120="","",VLOOKUP(C120,CCBASE!$A$53:$D$73,4,FALSE))</f>
        <v/>
      </c>
      <c r="F120" s="982" t="n"/>
      <c r="G120" s="977" t="n"/>
      <c r="H120" s="983" t="n"/>
      <c r="I120" s="984" t="n"/>
      <c r="J120" s="985">
        <f>IF(C120="",0,VLOOKUP(C120,CCBASE!$A$53:$C$73,2,FALSE))</f>
        <v/>
      </c>
      <c r="K120" s="986">
        <f>J120*D120</f>
        <v/>
      </c>
      <c r="L120" s="987" t="n">
        <v>0.44</v>
      </c>
      <c r="M120" s="988">
        <f>K120/(1-L120)*(1+$C$9)</f>
        <v/>
      </c>
      <c r="N120" s="986">
        <f>M120*VLOOKUP($B$9,'Base Costs'!$A$32:$B$37,2,FALSE)</f>
        <v/>
      </c>
      <c r="O120" s="989">
        <f>M120-K120</f>
        <v/>
      </c>
      <c r="P120" s="990" t="inlineStr">
        <is>
          <t>always include</t>
        </is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IF(NOT(ISBLANK(C121)), ROUNDUP(F116/1000,0), 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>
        <f>IF(ISNA(D125),0,(VLOOKUP(D125,'Base Costs'!$Q$4:$R$13,2,FALSE)))</f>
        <v/>
      </c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68">
        <f>N131-N138</f>
        <v/>
      </c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733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731" t="inlineStr">
        <is>
          <t>SPECIAL WORKS</t>
        </is>
      </c>
      <c r="C135" s="752" t="inlineStr">
        <is>
          <t>SELECT WORKS</t>
        </is>
      </c>
      <c r="D135" s="735" t="n"/>
      <c r="E135" s="753">
        <f>IF(C135="","",VLOOKUP(C135,CCBASE!$A$53:$D$73,4,FALSE))</f>
        <v/>
      </c>
      <c r="F135" s="754" t="n"/>
      <c r="G135" s="749" t="n"/>
      <c r="H135" s="750" t="n"/>
      <c r="I135" s="755" t="n"/>
      <c r="J135" s="736">
        <f>IF(C135="",0,VLOOKUP(C135,CCBASE!$A$53:$C$73,2,FALSE))</f>
        <v/>
      </c>
      <c r="K135" s="737">
        <f>J135*D135</f>
        <v/>
      </c>
      <c r="L135" s="738" t="n">
        <v>0.44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584" t="inlineStr">
        <is>
          <t>SPECIAL WORKS</t>
        </is>
      </c>
      <c r="C136" s="33" t="inlineStr">
        <is>
          <t>SELECT WORKS</t>
        </is>
      </c>
      <c r="D136" s="735" t="n"/>
      <c r="E136" s="753">
        <f>IF(C136="","",VLOOKUP(C136,CCBASE!$A$53:$D$73,4,FALSE))</f>
        <v/>
      </c>
      <c r="F136" s="754" t="n"/>
      <c r="G136" s="749" t="n"/>
      <c r="H136" s="750" t="n"/>
      <c r="I136" s="755" t="n"/>
      <c r="J136" s="736">
        <f>IF(C136="",0,VLOOKUP(C136,CCBASE!$A$53:$C$73,2,FALSE))</f>
        <v/>
      </c>
      <c r="K136" s="737">
        <f>J136*D136</f>
        <v/>
      </c>
      <c r="L136" s="738" t="n">
        <v>0.44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991" t="inlineStr">
        <is>
          <t>SPECIAL WORKS</t>
        </is>
      </c>
      <c r="C137" s="992" t="inlineStr">
        <is>
          <t>BIM/ REVIT per CANOPY</t>
        </is>
      </c>
      <c r="D137" s="980" t="n"/>
      <c r="E137" s="981">
        <f>IF(C137="","",VLOOKUP(C137,CCBASE!$A$53:$D$73,4,FALSE))</f>
        <v/>
      </c>
      <c r="F137" s="982" t="n"/>
      <c r="G137" s="977" t="n"/>
      <c r="H137" s="983" t="n"/>
      <c r="I137" s="984" t="n"/>
      <c r="J137" s="985">
        <f>IF(C137="",0,VLOOKUP(C137,CCBASE!$A$53:$C$73,2,FALSE))</f>
        <v/>
      </c>
      <c r="K137" s="986">
        <f>J137*D137</f>
        <v/>
      </c>
      <c r="L137" s="987" t="n">
        <v>0.44</v>
      </c>
      <c r="M137" s="988">
        <f>K137/(1-L137)*(1+$C$9)</f>
        <v/>
      </c>
      <c r="N137" s="986">
        <f>M137*VLOOKUP($B$9,'Base Costs'!$A$32:$B$37,2,FALSE)</f>
        <v/>
      </c>
      <c r="O137" s="989">
        <f>M137-K137</f>
        <v/>
      </c>
      <c r="P137" s="990" t="inlineStr">
        <is>
          <t>always include</t>
        </is>
      </c>
      <c r="S137" s="694" t="n"/>
      <c r="Y137" s="1095" t="n"/>
    </row>
    <row r="138" hidden="1" outlineLevel="1" ht="15" customHeight="1" s="1085">
      <c r="A138" s="666" t="n">
        <v>289</v>
      </c>
      <c r="B138" s="584" t="inlineStr">
        <is>
          <t>WALL CLADDING</t>
        </is>
      </c>
      <c r="C138" s="33" t="inlineStr">
        <is>
          <t>SELECT CLADDING</t>
        </is>
      </c>
      <c r="D138" s="756">
        <f>IF(NOT(ISBLANK(C138)), ROUNDUP(F133/1000,0), 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584" t="inlineStr">
        <is>
          <t>INFILL PANEL</t>
        </is>
      </c>
      <c r="C139" s="752" t="n"/>
      <c r="D139" s="742" t="inlineStr">
        <is>
          <t>m²</t>
        </is>
      </c>
      <c r="E139" s="749" t="n"/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>
        <f>IF(ISNA(D142),0,(VLOOKUP(D142,'Base Costs'!$Q$4:$R$13,2,FALSE)))</f>
        <v/>
      </c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IF(ISNUMBER(SEARCH("UV",D150)),49.7,71.75)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68">
        <f>N148-N155</f>
        <v/>
      </c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731" t="inlineStr">
        <is>
          <t>SPECIAL WORKS</t>
        </is>
      </c>
      <c r="C152" s="752" t="inlineStr">
        <is>
          <t>SELECT WORKS</t>
        </is>
      </c>
      <c r="D152" s="735" t="n"/>
      <c r="E152" s="753">
        <f>IF(C152="","",VLOOKUP(C152,CCBASE!$A$53:$D$73,4,FALSE))</f>
        <v/>
      </c>
      <c r="F152" s="754" t="n"/>
      <c r="G152" s="749" t="n"/>
      <c r="H152" s="750" t="n"/>
      <c r="I152" s="755" t="n"/>
      <c r="J152" s="736">
        <f>IF(C152="",0,VLOOKUP(C152,CCBASE!$A$53:$C$73,2,FALSE))</f>
        <v/>
      </c>
      <c r="K152" s="737">
        <f>J152*D152</f>
        <v/>
      </c>
      <c r="L152" s="738" t="n">
        <v>0.44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584" t="inlineStr">
        <is>
          <t>SPECIAL WORKS</t>
        </is>
      </c>
      <c r="C153" s="33" t="inlineStr">
        <is>
          <t>SELECT WORKS</t>
        </is>
      </c>
      <c r="D153" s="735" t="n"/>
      <c r="E153" s="753">
        <f>IF(C153="","",VLOOKUP(C153,CCBASE!$A$53:$D$73,4,FALSE))</f>
        <v/>
      </c>
      <c r="F153" s="754" t="n"/>
      <c r="G153" s="749" t="n"/>
      <c r="H153" s="750" t="n"/>
      <c r="I153" s="755" t="n"/>
      <c r="J153" s="736">
        <f>IF(C153="",0,VLOOKUP(C153,CCBASE!$A$53:$C$73,2,FALSE))</f>
        <v/>
      </c>
      <c r="K153" s="737">
        <f>J153*D153</f>
        <v/>
      </c>
      <c r="L153" s="738" t="n">
        <v>0.44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991" t="inlineStr">
        <is>
          <t>SPECIAL WORKS</t>
        </is>
      </c>
      <c r="C154" s="992" t="inlineStr">
        <is>
          <t>BIM/ REVIT per CANOPY</t>
        </is>
      </c>
      <c r="D154" s="980" t="n"/>
      <c r="E154" s="981">
        <f>IF(C154="","",VLOOKUP(C154,CCBASE!$A$53:$D$73,4,FALSE))</f>
        <v/>
      </c>
      <c r="F154" s="982" t="n"/>
      <c r="G154" s="977" t="n"/>
      <c r="H154" s="983" t="n"/>
      <c r="I154" s="984" t="n"/>
      <c r="J154" s="985">
        <f>IF(C154="",0,VLOOKUP(C154,CCBASE!$A$53:$C$73,2,FALSE))</f>
        <v/>
      </c>
      <c r="K154" s="986">
        <f>J154*D154</f>
        <v/>
      </c>
      <c r="L154" s="987" t="n">
        <v>0.44</v>
      </c>
      <c r="M154" s="988">
        <f>K154/(1-L154)*(1+$C$9)</f>
        <v/>
      </c>
      <c r="N154" s="986">
        <f>M154*VLOOKUP($B$9,'Base Costs'!$A$32:$B$37,2,FALSE)</f>
        <v/>
      </c>
      <c r="O154" s="989">
        <f>M154-K154</f>
        <v/>
      </c>
      <c r="P154" s="990" t="inlineStr">
        <is>
          <t>always include</t>
        </is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IF(NOT(ISBLANK(C155)), ROUNDUP(F150/1000,0), 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>
        <f>IF(ISNA(D159),0,(VLOOKUP(D159,'Base Costs'!$Q$4:$R$13,2,FALSE)))</f>
        <v/>
      </c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IF(ISNUMBER(SEARCH("UV",D167)),49.7,71.75)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68">
        <f>N165-N172</f>
        <v/>
      </c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731" t="inlineStr">
        <is>
          <t>SPECIAL WORKS</t>
        </is>
      </c>
      <c r="C169" s="752" t="inlineStr">
        <is>
          <t>SELECT WORKS</t>
        </is>
      </c>
      <c r="D169" s="735" t="n"/>
      <c r="E169" s="753">
        <f>IF(C169="","",VLOOKUP(C169,CCBASE!$A$53:$D$73,4,FALSE))</f>
        <v/>
      </c>
      <c r="F169" s="754" t="n"/>
      <c r="G169" s="749" t="n"/>
      <c r="H169" s="750" t="n"/>
      <c r="I169" s="755" t="n"/>
      <c r="J169" s="736">
        <f>IF(C169="",0,VLOOKUP(C169,CCBASE!$A$53:$C$73,2,FALSE))</f>
        <v/>
      </c>
      <c r="K169" s="737">
        <f>J169*D169</f>
        <v/>
      </c>
      <c r="L169" s="738" t="n">
        <v>0.44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584" t="inlineStr">
        <is>
          <t>SPECIAL WORKS</t>
        </is>
      </c>
      <c r="C170" s="33" t="inlineStr">
        <is>
          <t>SELECT WORKS</t>
        </is>
      </c>
      <c r="D170" s="735" t="n"/>
      <c r="E170" s="753">
        <f>IF(C170="","",VLOOKUP(C170,CCBASE!$A$53:$D$73,4,FALSE))</f>
        <v/>
      </c>
      <c r="F170" s="754" t="n"/>
      <c r="G170" s="749" t="n"/>
      <c r="H170" s="750" t="n"/>
      <c r="I170" s="755" t="n"/>
      <c r="J170" s="736">
        <f>IF(C170="",0,VLOOKUP(C170,CCBASE!$A$53:$C$73,2,FALSE))</f>
        <v/>
      </c>
      <c r="K170" s="737">
        <f>J170*D170</f>
        <v/>
      </c>
      <c r="L170" s="738" t="n">
        <v>0.44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991" t="inlineStr">
        <is>
          <t>SPECIAL WORKS</t>
        </is>
      </c>
      <c r="C171" s="992" t="inlineStr">
        <is>
          <t>BIM/ REVIT per CANOPY</t>
        </is>
      </c>
      <c r="D171" s="980" t="n"/>
      <c r="E171" s="981">
        <f>IF(C171="","",VLOOKUP(C171,CCBASE!$A$53:$D$73,4,FALSE))</f>
        <v/>
      </c>
      <c r="F171" s="982" t="n"/>
      <c r="G171" s="977" t="n"/>
      <c r="H171" s="983" t="n"/>
      <c r="I171" s="984" t="n"/>
      <c r="J171" s="985">
        <f>IF(C171="",0,VLOOKUP(C171,CCBASE!$A$53:$C$73,2,FALSE))</f>
        <v/>
      </c>
      <c r="K171" s="986">
        <f>J171*D171</f>
        <v/>
      </c>
      <c r="L171" s="987" t="n">
        <v>0.44</v>
      </c>
      <c r="M171" s="988">
        <f>K171/(1-L171)*(1+$C$9)</f>
        <v/>
      </c>
      <c r="N171" s="986">
        <f>M171*VLOOKUP($B$9,'Base Costs'!$A$32:$B$37,2,FALSE)</f>
        <v/>
      </c>
      <c r="O171" s="989">
        <f>M171-K171</f>
        <v/>
      </c>
      <c r="P171" s="990" t="inlineStr">
        <is>
          <t>always include</t>
        </is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IF(NOT(ISBLANK(C172)), ROUNDUP(F167/1000,0), 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>
        <f>IF(ISNA(D176),0,(VLOOKUP(D176,'Base Costs'!$Q$4:$R$13,2,FALSE)))</f>
        <v/>
      </c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10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P182" s="1068">
        <f>N182-N193</f>
        <v/>
      </c>
      <c r="S182" s="694" t="n"/>
    </row>
    <row r="183" ht="15" customHeight="1" s="1085">
      <c r="A183" s="666" t="n">
        <v>222</v>
      </c>
      <c r="B183" s="589" t="inlineStr">
        <is>
          <t>DELIVERY 1 x 7.5T TAIL LIFT 3200KGS</t>
        </is>
      </c>
      <c r="C183" s="774" t="n"/>
      <c r="D183" s="775" t="inlineStr">
        <is>
          <t>SELECT LOCATION…</t>
        </is>
      </c>
      <c r="E183" s="1111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Q183" s="745" t="n"/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/>
      <c r="D184" s="775" t="inlineStr">
        <is>
          <t>PLANT SELECTION (weekly)</t>
        </is>
      </c>
      <c r="E184" s="1108" t="inlineStr">
        <is>
          <t>Install of 6no Pieces of Canopy Max</t>
        </is>
      </c>
      <c r="G184" s="748" t="n"/>
      <c r="H184" s="748" t="n"/>
      <c r="I184" s="748" t="n"/>
      <c r="J184" s="776">
        <f>VLOOKUP(D184,'Base Costs'!$A$3:$B$15,2,FALSE)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269" t="inlineStr">
        <is>
          <t xml:space="preserve">PLANT HIRE </t>
        </is>
      </c>
      <c r="C185" s="777" t="n"/>
      <c r="D185" s="775" t="inlineStr">
        <is>
          <t>PLANT SELECTION (weekly)</t>
        </is>
      </c>
      <c r="E185" s="1108" t="inlineStr">
        <is>
          <t>Install of 6no Pieces of Canopy Max</t>
        </is>
      </c>
      <c r="G185" s="748" t="n"/>
      <c r="H185" s="748" t="n"/>
      <c r="I185" s="748" t="n"/>
      <c r="J185" s="776">
        <f>VLOOKUP(D185,'Base Costs'!$A$3:$B$15,2,FALSE)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S185" s="694" t="n"/>
    </row>
    <row r="186" ht="15" customHeight="1" s="1085">
      <c r="A186" s="666" t="n">
        <v>222</v>
      </c>
      <c r="B186" s="270" t="n"/>
      <c r="C186" s="946" t="n"/>
      <c r="D186" s="775" t="inlineStr">
        <is>
          <t>SELECT LOCATION…</t>
        </is>
      </c>
      <c r="E186" s="1109" t="n"/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610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>
        <f>ROUNDUP((IF(C14="WALL",(F14/1000),(F14/1000)*2)+IF(C31="WALL",(F31/1000),(F31/1000)*2)+IF(C48="WALL",(F48/1000),(F48/1000)*2)+IF(C65="WALL",(F65/1000),(F65/1000)*2)+IF(C82="WALL",(F82/1000),(F82/1000)*2)+IF(C99="WALL",(F99/1000),(F99/1000)*2)+IF(C116="WALL",(F116/1000),(F116/1000)*2)+IF(C133="WALL",(F133/1000),(F133/1000)*2)+IF(C150="WALL",(F150/1000),(F150/1000)*2)+IF(C167="WALL",(F167/1000),(F167/1000)*2)),0)</f>
        <v/>
      </c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731" t="inlineStr">
        <is>
          <t>INSTALLATION NORMAL HOURS</t>
        </is>
      </c>
      <c r="C189" s="777" t="n"/>
      <c r="D189" s="1102" t="inlineStr">
        <is>
          <t>2 Pieces = 1 Day, 4 Pieces = 1.5 Days, 6 Pieces = 2 Days, 8 Pieces = 2.5 Days (1 Section up to 3m long equals 2 Pieces) + logistics</t>
        </is>
      </c>
      <c r="J189" s="776" t="n">
        <v>610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S189" s="694" t="n"/>
    </row>
    <row r="190" ht="15" customHeight="1" s="1085">
      <c r="A190" s="666" t="n">
        <v>400</v>
      </c>
      <c r="B190" s="731" t="inlineStr">
        <is>
          <t>INSTALLATION AFTER HOURS</t>
        </is>
      </c>
      <c r="C190" s="777" t="n"/>
      <c r="D190" s="1102" t="inlineStr">
        <is>
          <t>2 Pieces = 1 Day, 4 Pieces = 1.5 Days, 6 Pieces = 2 Days, 8 Pieces = 2.5 Days (1 Section up to 3m long equals 2 Pieces) + logistics</t>
        </is>
      </c>
      <c r="J190" s="776" t="n">
        <v>1220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610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220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15" t="inlineStr">
        <is>
          <t>ONE Engineer,  1 day per 4no UV or W/W Sections of Canopy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9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09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20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2">
    <mergeCell ref="B203:O203"/>
    <mergeCell ref="H91:I91"/>
    <mergeCell ref="D189:I189"/>
    <mergeCell ref="E121:F121"/>
    <mergeCell ref="H38:I38"/>
    <mergeCell ref="H125:I125"/>
    <mergeCell ref="B200:O200"/>
    <mergeCell ref="G186:I186"/>
    <mergeCell ref="D194:F194"/>
    <mergeCell ref="C5:D5"/>
    <mergeCell ref="H141:I141"/>
    <mergeCell ref="E185:F185"/>
    <mergeCell ref="D197:F197"/>
    <mergeCell ref="B182:G182"/>
    <mergeCell ref="B202:O202"/>
    <mergeCell ref="H55:I55"/>
    <mergeCell ref="H40:I40"/>
    <mergeCell ref="H74:I74"/>
    <mergeCell ref="H176:I176"/>
    <mergeCell ref="H56:I56"/>
    <mergeCell ref="P7:R7"/>
    <mergeCell ref="E35:F35"/>
    <mergeCell ref="H39:I39"/>
    <mergeCell ref="E87:F87"/>
    <mergeCell ref="G9:J9"/>
    <mergeCell ref="H21:I21"/>
    <mergeCell ref="H73:I73"/>
    <mergeCell ref="H157:I157"/>
    <mergeCell ref="D195:E195"/>
    <mergeCell ref="D193:F193"/>
    <mergeCell ref="E138:F138"/>
    <mergeCell ref="E19:F19"/>
    <mergeCell ref="H142:I142"/>
    <mergeCell ref="E155:F155"/>
    <mergeCell ref="H89:I89"/>
    <mergeCell ref="H123:I123"/>
    <mergeCell ref="G5:J5"/>
    <mergeCell ref="B1:C1"/>
    <mergeCell ref="E9:F9"/>
    <mergeCell ref="H108:I108"/>
    <mergeCell ref="H106:I106"/>
    <mergeCell ref="E186:F186"/>
    <mergeCell ref="G183:I183"/>
    <mergeCell ref="E104:F104"/>
    <mergeCell ref="H72:I72"/>
    <mergeCell ref="H174:I174"/>
    <mergeCell ref="H90:I90"/>
    <mergeCell ref="B205:O205"/>
    <mergeCell ref="H57:I57"/>
    <mergeCell ref="G7:J7"/>
    <mergeCell ref="H159:I159"/>
    <mergeCell ref="E36:F36"/>
    <mergeCell ref="H22:I22"/>
    <mergeCell ref="E70:F70"/>
    <mergeCell ref="H140:I140"/>
    <mergeCell ref="H158:I158"/>
    <mergeCell ref="D196:E196"/>
    <mergeCell ref="E172:F172"/>
    <mergeCell ref="C7:D7"/>
    <mergeCell ref="D190:I190"/>
    <mergeCell ref="G3:J3"/>
    <mergeCell ref="E183:F183"/>
    <mergeCell ref="H124:I124"/>
    <mergeCell ref="B201:O201"/>
    <mergeCell ref="E184:F184"/>
    <mergeCell ref="H107:I107"/>
    <mergeCell ref="E53:F53"/>
    <mergeCell ref="B204:O204"/>
    <mergeCell ref="H23:I23"/>
    <mergeCell ref="C3:D3"/>
    <mergeCell ref="P5:T5"/>
    <mergeCell ref="H175:I175"/>
  </mergeCells>
  <conditionalFormatting sqref="B9">
    <cfRule type="containsText" priority="663" operator="containsText" dxfId="680" text="SELECT">
      <formula>NOT(ISERROR(SEARCH("SELECT",B9)))</formula>
    </cfRule>
    <cfRule type="expression" priority="664" dxfId="680">
      <formula>B9="CURRENCY"</formula>
    </cfRule>
  </conditionalFormatting>
  <conditionalFormatting sqref="B11">
    <cfRule type="expression" priority="626" dxfId="637">
      <formula>$B11&lt;&gt;""</formula>
    </cfRule>
  </conditionalFormatting>
  <conditionalFormatting sqref="B14:B23">
    <cfRule type="expression" priority="618" dxfId="633">
      <formula>$J14&gt;0</formula>
    </cfRule>
  </conditionalFormatting>
  <conditionalFormatting sqref="B24">
    <cfRule type="expression" priority="615" dxfId="633">
      <formula>ISNUMBER(SEARCH("UV",$D14))</formula>
    </cfRule>
    <cfRule type="expression" priority="616" dxfId="358">
      <formula>($D14="CANOPY TYPE")</formula>
    </cfRule>
  </conditionalFormatting>
  <conditionalFormatting sqref="B25:B27">
    <cfRule type="expression" priority="443" dxfId="633">
      <formula>$J25&gt;0</formula>
    </cfRule>
  </conditionalFormatting>
  <conditionalFormatting sqref="B28">
    <cfRule type="expression" priority="624" dxfId="637">
      <formula>$B28&lt;&gt;""</formula>
    </cfRule>
  </conditionalFormatting>
  <conditionalFormatting sqref="B31:B40">
    <cfRule type="expression" priority="388" dxfId="633">
      <formula>$J31&gt;0</formula>
    </cfRule>
  </conditionalFormatting>
  <conditionalFormatting sqref="B41">
    <cfRule type="expression" priority="583" dxfId="633">
      <formula>ISNUMBER(SEARCH("UV",$D31))</formula>
    </cfRule>
    <cfRule type="expression" priority="584" dxfId="358">
      <formula>($D31="CANOPY TYPE")</formula>
    </cfRule>
  </conditionalFormatting>
  <conditionalFormatting sqref="B42:B44">
    <cfRule type="expression" priority="585" dxfId="633">
      <formula>$J42&gt;0</formula>
    </cfRule>
  </conditionalFormatting>
  <conditionalFormatting sqref="B45">
    <cfRule type="expression" priority="623" dxfId="637">
      <formula>$B45&lt;&gt;""</formula>
    </cfRule>
  </conditionalFormatting>
  <conditionalFormatting sqref="B48:B57">
    <cfRule type="expression" priority="103" dxfId="633">
      <formula>$J48&gt;0</formula>
    </cfRule>
  </conditionalFormatting>
  <conditionalFormatting sqref="B58">
    <cfRule type="expression" priority="557" dxfId="358">
      <formula>($D48="CANOPY TYPE")</formula>
    </cfRule>
    <cfRule type="expression" priority="556" dxfId="633">
      <formula>ISNUMBER(SEARCH("UV",$D48))</formula>
    </cfRule>
  </conditionalFormatting>
  <conditionalFormatting sqref="B59:B61">
    <cfRule type="expression" priority="442" dxfId="633">
      <formula>$J59&gt;0</formula>
    </cfRule>
  </conditionalFormatting>
  <conditionalFormatting sqref="B62">
    <cfRule type="expression" priority="622" dxfId="637">
      <formula>$B62&lt;&gt;""</formula>
    </cfRule>
  </conditionalFormatting>
  <conditionalFormatting sqref="B65:B74">
    <cfRule type="expression" priority="89" dxfId="633">
      <formula>$J65&gt;0</formula>
    </cfRule>
  </conditionalFormatting>
  <conditionalFormatting sqref="B75">
    <cfRule type="expression" priority="528" dxfId="633">
      <formula>ISNUMBER(SEARCH("UV",$D65))</formula>
    </cfRule>
    <cfRule type="expression" priority="529" dxfId="358">
      <formula>($D65="CANOPY TYPE")</formula>
    </cfRule>
  </conditionalFormatting>
  <conditionalFormatting sqref="B76:B78">
    <cfRule type="expression" priority="441" dxfId="633">
      <formula>$J76&gt;0</formula>
    </cfRule>
  </conditionalFormatting>
  <conditionalFormatting sqref="B79">
    <cfRule type="expression" priority="621" dxfId="637">
      <formula>$B79&lt;&gt;""</formula>
    </cfRule>
  </conditionalFormatting>
  <conditionalFormatting sqref="B82:B91">
    <cfRule type="expression" priority="75" dxfId="633">
      <formula>$J82&gt;0</formula>
    </cfRule>
  </conditionalFormatting>
  <conditionalFormatting sqref="B92">
    <cfRule type="expression" priority="499" dxfId="633">
      <formula>ISNUMBER(SEARCH("UV",$D82))</formula>
    </cfRule>
    <cfRule type="expression" priority="500" dxfId="358">
      <formula>($D82="CANOPY TYPE")</formula>
    </cfRule>
  </conditionalFormatting>
  <conditionalFormatting sqref="B93:B95">
    <cfRule type="expression" priority="440" dxfId="633">
      <formula>$J93&gt;0</formula>
    </cfRule>
  </conditionalFormatting>
  <conditionalFormatting sqref="B96">
    <cfRule type="expression" priority="620" dxfId="637">
      <formula>$B96&lt;&gt;""</formula>
    </cfRule>
  </conditionalFormatting>
  <conditionalFormatting sqref="B99:B108">
    <cfRule type="expression" priority="61" dxfId="633">
      <formula>$J99&gt;0</formula>
    </cfRule>
  </conditionalFormatting>
  <conditionalFormatting sqref="B109">
    <cfRule type="expression" priority="472" dxfId="358">
      <formula>($D99="CANOPY TYPE")</formula>
    </cfRule>
    <cfRule type="expression" priority="471" dxfId="633">
      <formula>ISNUMBER(SEARCH("UV",$D99))</formula>
    </cfRule>
  </conditionalFormatting>
  <conditionalFormatting sqref="B110:B112 B127:B129 B144:B146 B161:B163 B178:B180">
    <cfRule type="expression" priority="439" dxfId="633">
      <formula>$J110&gt;0</formula>
    </cfRule>
  </conditionalFormatting>
  <conditionalFormatting sqref="B113">
    <cfRule type="expression" priority="320" dxfId="637">
      <formula>$B113&lt;&gt;""</formula>
    </cfRule>
  </conditionalFormatting>
  <conditionalFormatting sqref="B116:B125">
    <cfRule type="expression" priority="47" dxfId="633">
      <formula>$J116&gt;0</formula>
    </cfRule>
  </conditionalFormatting>
  <conditionalFormatting sqref="B126">
    <cfRule type="expression" priority="295" dxfId="633">
      <formula>ISNUMBER(SEARCH("UV",$D116))</formula>
    </cfRule>
    <cfRule type="expression" priority="296" dxfId="358">
      <formula>($D116="CANOPY TYPE")</formula>
    </cfRule>
  </conditionalFormatting>
  <conditionalFormatting sqref="B130">
    <cfRule type="expression" priority="265" dxfId="637">
      <formula>$B130&lt;&gt;""</formula>
    </cfRule>
  </conditionalFormatting>
  <conditionalFormatting sqref="B133:B142">
    <cfRule type="expression" priority="33" dxfId="633">
      <formula>$J133&gt;0</formula>
    </cfRule>
  </conditionalFormatting>
  <conditionalFormatting sqref="B143">
    <cfRule type="expression" priority="241" dxfId="358">
      <formula>($D133="CANOPY TYPE")</formula>
    </cfRule>
    <cfRule type="expression" priority="240" dxfId="633">
      <formula>ISNUMBER(SEARCH("UV",$D133))</formula>
    </cfRule>
  </conditionalFormatting>
  <conditionalFormatting sqref="B147">
    <cfRule type="expression" priority="214" dxfId="637">
      <formula>$B147&lt;&gt;""</formula>
    </cfRule>
  </conditionalFormatting>
  <conditionalFormatting sqref="B150:B159">
    <cfRule type="expression" priority="19" dxfId="633">
      <formula>$J150&gt;0</formula>
    </cfRule>
  </conditionalFormatting>
  <conditionalFormatting sqref="B160">
    <cfRule type="expression" priority="190" dxfId="358">
      <formula>($D150="CANOPY TYPE")</formula>
    </cfRule>
    <cfRule type="expression" priority="189" dxfId="633">
      <formula>ISNUMBER(SEARCH("UV",$D150))</formula>
    </cfRule>
  </conditionalFormatting>
  <conditionalFormatting sqref="B164">
    <cfRule type="expression" priority="163" dxfId="637">
      <formula>$B164&lt;&gt;""</formula>
    </cfRule>
  </conditionalFormatting>
  <conditionalFormatting sqref="B167:B176">
    <cfRule type="expression" priority="5" dxfId="633">
      <formula>$J167&gt;0</formula>
    </cfRule>
  </conditionalFormatting>
  <conditionalFormatting sqref="B177">
    <cfRule type="expression" priority="138" dxfId="633">
      <formula>ISNUMBER(SEARCH("UV",$D167))</formula>
    </cfRule>
    <cfRule type="expression" priority="139" dxfId="358">
      <formula>($D167="CANOPY TYPE")</formula>
    </cfRule>
  </conditionalFormatting>
  <conditionalFormatting sqref="B183:B197">
    <cfRule type="expression" priority="617" dxfId="633">
      <formula>$C183&gt;0</formula>
    </cfRule>
  </conditionalFormatting>
  <conditionalFormatting sqref="C14">
    <cfRule type="containsText" priority="429" operator="containsText" dxfId="204" text="CONFIG">
      <formula>NOT(ISERROR(SEARCH("CONFIG",C14)))</formula>
    </cfRule>
  </conditionalFormatting>
  <conditionalFormatting sqref="C15">
    <cfRule type="containsText" priority="434" operator="containsText" dxfId="561" text="LIGHT SELECTION">
      <formula>NOT(ISERROR(SEARCH("LIGHT SELECTION",C15)))</formula>
    </cfRule>
  </conditionalFormatting>
  <conditionalFormatting sqref="C20:C21">
    <cfRule type="cellIs" priority="669" operator="lessThan" dxfId="561">
      <formula>1</formula>
    </cfRule>
  </conditionalFormatting>
  <conditionalFormatting sqref="C22:C23">
    <cfRule type="expression" priority="409" dxfId="383">
      <formula>D22="WW PODS"</formula>
    </cfRule>
  </conditionalFormatting>
  <conditionalFormatting sqref="C24">
    <cfRule type="expression" priority="686" dxfId="559">
      <formula>ISNUMBER(SEARCH("UV",D14))</formula>
    </cfRule>
  </conditionalFormatting>
  <conditionalFormatting sqref="C25">
    <cfRule type="expression" priority="651" dxfId="472">
      <formula>(ISNUMBER(SEARCH("CMW",D14)))=TRUE</formula>
    </cfRule>
  </conditionalFormatting>
  <conditionalFormatting sqref="C26">
    <cfRule type="expression" priority="650" dxfId="472">
      <formula>(ISNUMBER(SEARCH("CMW",D14)))=TRUE</formula>
    </cfRule>
  </conditionalFormatting>
  <conditionalFormatting sqref="C27">
    <cfRule type="expression" priority="619" dxfId="472">
      <formula>(ISNUMBER(SEARCH("CMW",$D14)))=TRUE</formula>
    </cfRule>
  </conditionalFormatting>
  <conditionalFormatting sqref="C31">
    <cfRule type="containsText" priority="594" operator="containsText" dxfId="204" text="CONFIG">
      <formula>NOT(ISERROR(SEARCH("CONFIG",C31)))</formula>
    </cfRule>
  </conditionalFormatting>
  <conditionalFormatting sqref="C32">
    <cfRule type="containsText" priority="436" operator="containsText" dxfId="561" text="LIGHT SELECTION">
      <formula>NOT(ISERROR(SEARCH("LIGHT SELECTION",C32)))</formula>
    </cfRule>
  </conditionalFormatting>
  <conditionalFormatting sqref="C37:C38">
    <cfRule type="cellIs" priority="593" operator="lessThan" dxfId="561">
      <formula>1</formula>
    </cfRule>
  </conditionalFormatting>
  <conditionalFormatting sqref="C39:C40">
    <cfRule type="expression" priority="387" dxfId="383">
      <formula>D39="WW PODS"</formula>
    </cfRule>
  </conditionalFormatting>
  <conditionalFormatting sqref="C41">
    <cfRule type="expression" priority="608" dxfId="559">
      <formula>ISNUMBER(SEARCH("UV",D31))</formula>
    </cfRule>
  </conditionalFormatting>
  <conditionalFormatting sqref="C42">
    <cfRule type="expression" priority="591" dxfId="472">
      <formula>(ISNUMBER(SEARCH("CMW",D31)))=TRUE</formula>
    </cfRule>
  </conditionalFormatting>
  <conditionalFormatting sqref="C43">
    <cfRule type="expression" priority="468" dxfId="472">
      <formula>(ISNUMBER(SEARCH("CMW",D31)))=TRUE</formula>
    </cfRule>
  </conditionalFormatting>
  <conditionalFormatting sqref="C44">
    <cfRule type="expression" priority="586" dxfId="472">
      <formula>(ISNUMBER(SEARCH("CMW",$D31)))=TRUE</formula>
    </cfRule>
  </conditionalFormatting>
  <conditionalFormatting sqref="C48">
    <cfRule type="containsText" priority="563" operator="containsText" dxfId="204" text="CONFIG">
      <formula>NOT(ISERROR(SEARCH("CONFIG",C48)))</formula>
    </cfRule>
  </conditionalFormatting>
  <conditionalFormatting sqref="C49">
    <cfRule type="containsText" priority="433" operator="containsText" dxfId="561" text="LIGHT SELECTION">
      <formula>NOT(ISERROR(SEARCH("LIGHT SELECTION",C49)))</formula>
    </cfRule>
  </conditionalFormatting>
  <conditionalFormatting sqref="C54:C55">
    <cfRule type="cellIs" priority="562" operator="lessThan" dxfId="561">
      <formula>1</formula>
    </cfRule>
  </conditionalFormatting>
  <conditionalFormatting sqref="C56:C57">
    <cfRule type="expression" priority="368" dxfId="383">
      <formula>D56="WW PODS"</formula>
    </cfRule>
  </conditionalFormatting>
  <conditionalFormatting sqref="C58">
    <cfRule type="expression" priority="576" dxfId="559">
      <formula>ISNUMBER(SEARCH("UV",D48))</formula>
    </cfRule>
  </conditionalFormatting>
  <conditionalFormatting sqref="C59">
    <cfRule type="expression" priority="560" dxfId="472">
      <formula>(ISNUMBER(SEARCH("CMW",D48)))=TRUE</formula>
    </cfRule>
  </conditionalFormatting>
  <conditionalFormatting sqref="C60">
    <cfRule type="expression" priority="467" dxfId="472">
      <formula>(ISNUMBER(SEARCH("CMW",D48)))=TRUE</formula>
    </cfRule>
  </conditionalFormatting>
  <conditionalFormatting sqref="C61">
    <cfRule type="expression" priority="558" dxfId="472">
      <formula>(ISNUMBER(SEARCH("CMW",$D48)))=TRUE</formula>
    </cfRule>
  </conditionalFormatting>
  <conditionalFormatting sqref="C65">
    <cfRule type="containsText" priority="536" operator="containsText" dxfId="204" text="CONFIG">
      <formula>NOT(ISERROR(SEARCH("CONFIG",C65)))</formula>
    </cfRule>
  </conditionalFormatting>
  <conditionalFormatting sqref="C66">
    <cfRule type="containsText" priority="432" operator="containsText" dxfId="561" text="LIGHT SELECTION">
      <formula>NOT(ISERROR(SEARCH("LIGHT SELECTION",C66)))</formula>
    </cfRule>
  </conditionalFormatting>
  <conditionalFormatting sqref="C71:C72">
    <cfRule type="cellIs" priority="535" operator="lessThan" dxfId="561">
      <formula>1</formula>
    </cfRule>
  </conditionalFormatting>
  <conditionalFormatting sqref="C73:C74">
    <cfRule type="expression" priority="353" dxfId="383">
      <formula>D73="WW PODS"</formula>
    </cfRule>
  </conditionalFormatting>
  <conditionalFormatting sqref="C75">
    <cfRule type="expression" priority="549" dxfId="559">
      <formula>ISNUMBER(SEARCH("UV",D65))</formula>
    </cfRule>
  </conditionalFormatting>
  <conditionalFormatting sqref="C76">
    <cfRule type="expression" priority="532" dxfId="472">
      <formula>(ISNUMBER(SEARCH("CMW",D65)))=TRUE</formula>
    </cfRule>
  </conditionalFormatting>
  <conditionalFormatting sqref="C77">
    <cfRule type="expression" priority="466" dxfId="472">
      <formula>(ISNUMBER(SEARCH("CMW",D65)))=TRUE</formula>
    </cfRule>
  </conditionalFormatting>
  <conditionalFormatting sqref="C78">
    <cfRule type="expression" priority="530" dxfId="472">
      <formula>(ISNUMBER(SEARCH("CMW",$D65)))=TRUE</formula>
    </cfRule>
  </conditionalFormatting>
  <conditionalFormatting sqref="C82">
    <cfRule type="containsText" priority="507" operator="containsText" dxfId="204" text="CONFIG">
      <formula>NOT(ISERROR(SEARCH("CONFIG",C82)))</formula>
    </cfRule>
  </conditionalFormatting>
  <conditionalFormatting sqref="C83">
    <cfRule type="containsText" priority="431" operator="containsText" dxfId="561" text="LIGHT SELECTION">
      <formula>NOT(ISERROR(SEARCH("LIGHT SELECTION",C83)))</formula>
    </cfRule>
  </conditionalFormatting>
  <conditionalFormatting sqref="C88:C89">
    <cfRule type="cellIs" priority="506" operator="lessThan" dxfId="561">
      <formula>1</formula>
    </cfRule>
  </conditionalFormatting>
  <conditionalFormatting sqref="C90:C91">
    <cfRule type="expression" priority="338" dxfId="383">
      <formula>D90="WW PODS"</formula>
    </cfRule>
  </conditionalFormatting>
  <conditionalFormatting sqref="C92">
    <cfRule type="expression" priority="521" dxfId="559">
      <formula>ISNUMBER(SEARCH("UV",D82))</formula>
    </cfRule>
  </conditionalFormatting>
  <conditionalFormatting sqref="C93">
    <cfRule type="expression" priority="503" dxfId="472">
      <formula>(ISNUMBER(SEARCH("CMW",D82)))=TRUE</formula>
    </cfRule>
  </conditionalFormatting>
  <conditionalFormatting sqref="C94">
    <cfRule type="expression" priority="465" dxfId="472">
      <formula>(ISNUMBER(SEARCH("CMW",D82)))=TRUE</formula>
    </cfRule>
  </conditionalFormatting>
  <conditionalFormatting sqref="C95">
    <cfRule type="expression" priority="501" dxfId="472">
      <formula>(ISNUMBER(SEARCH("CMW",$D82)))=TRUE</formula>
    </cfRule>
  </conditionalFormatting>
  <conditionalFormatting sqref="C99">
    <cfRule type="containsText" priority="478" operator="containsText" dxfId="204" text="CONFIG">
      <formula>NOT(ISERROR(SEARCH("CONFIG",C99)))</formula>
    </cfRule>
  </conditionalFormatting>
  <conditionalFormatting sqref="C100">
    <cfRule type="containsText" priority="430" operator="containsText" dxfId="561" text="LIGHT SELECTION">
      <formula>NOT(ISERROR(SEARCH("LIGHT SELECTION",C100)))</formula>
    </cfRule>
  </conditionalFormatting>
  <conditionalFormatting sqref="C105:C106">
    <cfRule type="cellIs" priority="477" operator="lessThan" dxfId="561">
      <formula>1</formula>
    </cfRule>
  </conditionalFormatting>
  <conditionalFormatting sqref="C107:C108">
    <cfRule type="expression" priority="323" dxfId="383">
      <formula>D107="WW PODS"</formula>
    </cfRule>
  </conditionalFormatting>
  <conditionalFormatting sqref="C109">
    <cfRule type="expression" priority="492" dxfId="559">
      <formula>ISNUMBER(SEARCH("UV",D99))</formula>
    </cfRule>
  </conditionalFormatting>
  <conditionalFormatting sqref="C110">
    <cfRule type="expression" priority="475" dxfId="472">
      <formula>(ISNUMBER(SEARCH("CMW",D99)))=TRUE</formula>
    </cfRule>
  </conditionalFormatting>
  <conditionalFormatting sqref="C111">
    <cfRule type="expression" priority="464" dxfId="472">
      <formula>(ISNUMBER(SEARCH("CMW",D99)))=TRUE</formula>
    </cfRule>
  </conditionalFormatting>
  <conditionalFormatting sqref="C112 C129 C146 C163 C180">
    <cfRule type="expression" priority="473" dxfId="472">
      <formula>(ISNUMBER(SEARCH("CMW",$D99)))=TRUE</formula>
    </cfRule>
  </conditionalFormatting>
  <conditionalFormatting sqref="C116">
    <cfRule type="containsText" priority="301" operator="containsText" dxfId="204" text="CONFIG">
      <formula>NOT(ISERROR(SEARCH("CONFIG",C116)))</formula>
    </cfRule>
  </conditionalFormatting>
  <conditionalFormatting sqref="C117">
    <cfRule type="containsText" priority="288" operator="containsText" dxfId="561" text="LIGHT SELECTION">
      <formula>NOT(ISERROR(SEARCH("LIGHT SELECTION",C117)))</formula>
    </cfRule>
  </conditionalFormatting>
  <conditionalFormatting sqref="C122:C123">
    <cfRule type="cellIs" priority="300" operator="lessThan" dxfId="561">
      <formula>1</formula>
    </cfRule>
  </conditionalFormatting>
  <conditionalFormatting sqref="C124:C125">
    <cfRule type="expression" priority="272" dxfId="383">
      <formula>D124="WW PODS"</formula>
    </cfRule>
  </conditionalFormatting>
  <conditionalFormatting sqref="C126">
    <cfRule type="expression" priority="315" dxfId="559">
      <formula>ISNUMBER(SEARCH("UV",D116))</formula>
    </cfRule>
  </conditionalFormatting>
  <conditionalFormatting sqref="C127">
    <cfRule type="expression" priority="298" dxfId="472">
      <formula>(ISNUMBER(SEARCH("CMW",D116)))=TRUE</formula>
    </cfRule>
  </conditionalFormatting>
  <conditionalFormatting sqref="C128">
    <cfRule type="expression" priority="293" dxfId="472">
      <formula>(ISNUMBER(SEARCH("CMW",D116)))=TRUE</formula>
    </cfRule>
  </conditionalFormatting>
  <conditionalFormatting sqref="C133">
    <cfRule type="containsText" priority="246" operator="containsText" dxfId="204" text="CONFIG">
      <formula>NOT(ISERROR(SEARCH("CONFIG",C133)))</formula>
    </cfRule>
  </conditionalFormatting>
  <conditionalFormatting sqref="C134">
    <cfRule type="containsText" priority="233" operator="containsText" dxfId="561" text="LIGHT SELECTION">
      <formula>NOT(ISERROR(SEARCH("LIGHT SELECTION",C134)))</formula>
    </cfRule>
  </conditionalFormatting>
  <conditionalFormatting sqref="C139:C140">
    <cfRule type="cellIs" priority="245" operator="lessThan" dxfId="561">
      <formula>1</formula>
    </cfRule>
  </conditionalFormatting>
  <conditionalFormatting sqref="C141:C142">
    <cfRule type="expression" priority="217" dxfId="383">
      <formula>D141="WW PODS"</formula>
    </cfRule>
  </conditionalFormatting>
  <conditionalFormatting sqref="C143">
    <cfRule type="expression" priority="260" dxfId="559">
      <formula>ISNUMBER(SEARCH("UV",D133))</formula>
    </cfRule>
  </conditionalFormatting>
  <conditionalFormatting sqref="C144">
    <cfRule type="expression" priority="243" dxfId="472">
      <formula>(ISNUMBER(SEARCH("CMW",D133)))=TRUE</formula>
    </cfRule>
  </conditionalFormatting>
  <conditionalFormatting sqref="C145">
    <cfRule type="expression" priority="238" dxfId="472">
      <formula>(ISNUMBER(SEARCH("CMW",D133)))=TRUE</formula>
    </cfRule>
  </conditionalFormatting>
  <conditionalFormatting sqref="C150">
    <cfRule type="containsText" priority="195" operator="containsText" dxfId="204" text="CONFIG">
      <formula>NOT(ISERROR(SEARCH("CONFIG",C150)))</formula>
    </cfRule>
  </conditionalFormatting>
  <conditionalFormatting sqref="C151">
    <cfRule type="containsText" priority="182" operator="containsText" dxfId="561" text="LIGHT SELECTION">
      <formula>NOT(ISERROR(SEARCH("LIGHT SELECTION",C151)))</formula>
    </cfRule>
  </conditionalFormatting>
  <conditionalFormatting sqref="C156:C157">
    <cfRule type="cellIs" priority="194" operator="lessThan" dxfId="561">
      <formula>1</formula>
    </cfRule>
  </conditionalFormatting>
  <conditionalFormatting sqref="C158:C159">
    <cfRule type="expression" priority="166" dxfId="383">
      <formula>D158="WW PODS"</formula>
    </cfRule>
  </conditionalFormatting>
  <conditionalFormatting sqref="C160">
    <cfRule type="expression" priority="209" dxfId="559">
      <formula>ISNUMBER(SEARCH("UV",D150))</formula>
    </cfRule>
  </conditionalFormatting>
  <conditionalFormatting sqref="C161">
    <cfRule type="expression" priority="192" dxfId="472">
      <formula>(ISNUMBER(SEARCH("CMW",D150)))=TRUE</formula>
    </cfRule>
  </conditionalFormatting>
  <conditionalFormatting sqref="C162">
    <cfRule type="expression" priority="187" dxfId="472">
      <formula>(ISNUMBER(SEARCH("CMW",D150)))=TRUE</formula>
    </cfRule>
  </conditionalFormatting>
  <conditionalFormatting sqref="C167">
    <cfRule type="containsText" priority="144" operator="containsText" dxfId="204" text="CONFIG">
      <formula>NOT(ISERROR(SEARCH("CONFIG",C167)))</formula>
    </cfRule>
  </conditionalFormatting>
  <conditionalFormatting sqref="C168">
    <cfRule type="containsText" priority="131" operator="containsText" dxfId="561" text="LIGHT SELECTION">
      <formula>NOT(ISERROR(SEARCH("LIGHT SELECTION",C168)))</formula>
    </cfRule>
  </conditionalFormatting>
  <conditionalFormatting sqref="C173:C174">
    <cfRule type="cellIs" priority="143" operator="lessThan" dxfId="561">
      <formula>1</formula>
    </cfRule>
  </conditionalFormatting>
  <conditionalFormatting sqref="C175:C176">
    <cfRule type="expression" priority="115" dxfId="383">
      <formula>D175="WW PODS"</formula>
    </cfRule>
  </conditionalFormatting>
  <conditionalFormatting sqref="C177">
    <cfRule type="expression" priority="158" dxfId="559">
      <formula>ISNUMBER(SEARCH("UV",D167))</formula>
    </cfRule>
  </conditionalFormatting>
  <conditionalFormatting sqref="C178">
    <cfRule type="expression" priority="141" dxfId="472">
      <formula>(ISNUMBER(SEARCH("CMW",D167)))=TRUE</formula>
    </cfRule>
  </conditionalFormatting>
  <conditionalFormatting sqref="C179">
    <cfRule type="expression" priority="136" dxfId="472">
      <formula>(ISNUMBER(SEARCH("CMW",D167)))=TRUE</formula>
    </cfRule>
  </conditionalFormatting>
  <conditionalFormatting sqref="C183:C184">
    <cfRule type="cellIs" priority="671" operator="lessThan" dxfId="554">
      <formula>1</formula>
    </cfRule>
  </conditionalFormatting>
  <conditionalFormatting sqref="C185">
    <cfRule type="cellIs" priority="660" operator="lessThan" dxfId="164">
      <formula>1</formula>
    </cfRule>
  </conditionalFormatting>
  <conditionalFormatting sqref="C186:C197">
    <cfRule type="cellIs" priority="270" operator="lessThan" dxfId="554">
      <formula>1</formula>
    </cfRule>
  </conditionalFormatting>
  <conditionalFormatting sqref="C9:D9">
    <cfRule type="cellIs" priority="661" operator="lessThan" dxfId="207">
      <formula>0</formula>
    </cfRule>
    <cfRule type="cellIs" priority="662" operator="greaterThan" dxfId="552">
      <formula>0</formula>
    </cfRule>
  </conditionalFormatting>
  <conditionalFormatting sqref="D14">
    <cfRule type="containsText" priority="672" operator="containsText" dxfId="164" text="CANOPY TYPE">
      <formula>NOT(ISERROR(SEARCH("CANOPY TYPE",D14)))</formula>
    </cfRule>
  </conditionalFormatting>
  <conditionalFormatting sqref="D15">
    <cfRule type="expression" priority="425" dxfId="206">
      <formula>(C15="LIGHT SELECTION")</formula>
    </cfRule>
  </conditionalFormatting>
  <conditionalFormatting sqref="D16:D18">
    <cfRule type="expression" priority="627" dxfId="206">
      <formula>($C16="SELECT WORKS")</formula>
    </cfRule>
  </conditionalFormatting>
  <conditionalFormatting sqref="D19">
    <cfRule type="expression" priority="269" dxfId="206">
      <formula>$C19="SELECT CLADDING"</formula>
    </cfRule>
  </conditionalFormatting>
  <conditionalFormatting sqref="D22:D23">
    <cfRule type="expression" priority="408" dxfId="358">
      <formula>($D$14="CANOPY TYPE")</formula>
    </cfRule>
  </conditionalFormatting>
  <conditionalFormatting sqref="D24">
    <cfRule type="expression" priority="685" dxfId="474">
      <formula>ISNUMBER(SEARCH("UV",D14))</formula>
    </cfRule>
  </conditionalFormatting>
  <conditionalFormatting sqref="D25">
    <cfRule type="expression" priority="613" dxfId="358">
      <formula>($D$14="CANOPY TYPE")</formula>
    </cfRule>
  </conditionalFormatting>
  <conditionalFormatting sqref="D26">
    <cfRule type="expression" priority="635" dxfId="472">
      <formula>(ISNUMBER(SEARCH("CMW",D14)))=TRUE</formula>
    </cfRule>
  </conditionalFormatting>
  <conditionalFormatting sqref="D31">
    <cfRule type="containsText" priority="595" operator="containsText" dxfId="164" text="CANOPY TYPE">
      <formula>NOT(ISERROR(SEARCH("CANOPY TYPE",D31)))</formula>
    </cfRule>
  </conditionalFormatting>
  <conditionalFormatting sqref="D32">
    <cfRule type="expression" priority="438" dxfId="206">
      <formula>(C32="LIGHT SELECTION")</formula>
    </cfRule>
  </conditionalFormatting>
  <conditionalFormatting sqref="D33:D35">
    <cfRule type="expression" priority="588" dxfId="206">
      <formula>($C33="SELECT WORKS")</formula>
    </cfRule>
  </conditionalFormatting>
  <conditionalFormatting sqref="D36">
    <cfRule type="expression" priority="417" dxfId="206">
      <formula>$C36="SELECT CLADDING"</formula>
    </cfRule>
  </conditionalFormatting>
  <conditionalFormatting sqref="D39:D40">
    <cfRule type="expression" priority="382" dxfId="358">
      <formula>($D$14="CANOPY TYPE")</formula>
    </cfRule>
  </conditionalFormatting>
  <conditionalFormatting sqref="D41">
    <cfRule type="expression" priority="607" dxfId="474">
      <formula>ISNUMBER(SEARCH("UV",D31))</formula>
    </cfRule>
  </conditionalFormatting>
  <conditionalFormatting sqref="D42">
    <cfRule type="expression" priority="581" dxfId="358">
      <formula>($D$14="CANOPY TYPE")</formula>
    </cfRule>
  </conditionalFormatting>
  <conditionalFormatting sqref="D43">
    <cfRule type="expression" priority="590" dxfId="472">
      <formula>(ISNUMBER(SEARCH("CMW",D31)))=TRUE</formula>
    </cfRule>
  </conditionalFormatting>
  <conditionalFormatting sqref="D48">
    <cfRule type="containsText" priority="420" operator="containsText" dxfId="164" text="CANOPY TYPE">
      <formula>NOT(ISERROR(SEARCH("CANOPY TYPE",D48)))</formula>
    </cfRule>
  </conditionalFormatting>
  <conditionalFormatting sqref="D49">
    <cfRule type="expression" priority="435" dxfId="206">
      <formula>(C15="LIGHT SELECTION")</formula>
    </cfRule>
  </conditionalFormatting>
  <conditionalFormatting sqref="D50:D52">
    <cfRule type="expression" priority="111" dxfId="206">
      <formula>($C50="SELECT WORKS")</formula>
    </cfRule>
  </conditionalFormatting>
  <conditionalFormatting sqref="D53">
    <cfRule type="expression" priority="418" dxfId="206">
      <formula>$C53="SELECT CLADDING"</formula>
    </cfRule>
  </conditionalFormatting>
  <conditionalFormatting sqref="D56:D57">
    <cfRule type="expression" priority="367" dxfId="358">
      <formula>($D$14="CANOPY TYPE")</formula>
    </cfRule>
  </conditionalFormatting>
  <conditionalFormatting sqref="D58">
    <cfRule type="expression" priority="575" dxfId="474">
      <formula>ISNUMBER(SEARCH("UV",D48))</formula>
    </cfRule>
  </conditionalFormatting>
  <conditionalFormatting sqref="D59">
    <cfRule type="expression" priority="554" dxfId="358">
      <formula>($D$14="CANOPY TYPE")</formula>
    </cfRule>
  </conditionalFormatting>
  <conditionalFormatting sqref="D60">
    <cfRule type="expression" priority="559" dxfId="472">
      <formula>(ISNUMBER(SEARCH("CMW",D48)))=TRUE</formula>
    </cfRule>
  </conditionalFormatting>
  <conditionalFormatting sqref="D65">
    <cfRule type="containsText" priority="419" operator="containsText" dxfId="164" text="CANOPY TYPE">
      <formula>NOT(ISERROR(SEARCH("CANOPY TYPE",D65)))</formula>
    </cfRule>
  </conditionalFormatting>
  <conditionalFormatting sqref="D66">
    <cfRule type="expression" priority="428" dxfId="206">
      <formula>(C66="LIGHT SELECTION")</formula>
    </cfRule>
  </conditionalFormatting>
  <conditionalFormatting sqref="D67:D69">
    <cfRule type="expression" priority="97" dxfId="206">
      <formula>($C67="SELECT WORKS")</formula>
    </cfRule>
  </conditionalFormatting>
  <conditionalFormatting sqref="D70">
    <cfRule type="expression" priority="533" dxfId="206">
      <formula>$C70="SELECT CLADDING"</formula>
    </cfRule>
  </conditionalFormatting>
  <conditionalFormatting sqref="D73:D74">
    <cfRule type="expression" priority="352" dxfId="358">
      <formula>($D$14="CANOPY TYPE")</formula>
    </cfRule>
  </conditionalFormatting>
  <conditionalFormatting sqref="D75">
    <cfRule type="expression" priority="548" dxfId="474">
      <formula>ISNUMBER(SEARCH("UV",D65))</formula>
    </cfRule>
  </conditionalFormatting>
  <conditionalFormatting sqref="D76">
    <cfRule type="expression" priority="526" dxfId="358">
      <formula>($D$14="CANOPY TYPE")</formula>
    </cfRule>
  </conditionalFormatting>
  <conditionalFormatting sqref="D77">
    <cfRule type="expression" priority="531" dxfId="472">
      <formula>(ISNUMBER(SEARCH("CMW",D65)))=TRUE</formula>
    </cfRule>
  </conditionalFormatting>
  <conditionalFormatting sqref="D82">
    <cfRule type="containsText" priority="508" operator="containsText" dxfId="164" text="CANOPY TYPE">
      <formula>NOT(ISERROR(SEARCH("CANOPY TYPE",D82)))</formula>
    </cfRule>
  </conditionalFormatting>
  <conditionalFormatting sqref="D83">
    <cfRule type="expression" priority="427" dxfId="206">
      <formula>(C83="LIGHT SELECTION")</formula>
    </cfRule>
  </conditionalFormatting>
  <conditionalFormatting sqref="D84:D86">
    <cfRule type="expression" priority="83" dxfId="206">
      <formula>($C84="SELECT WORKS")</formula>
    </cfRule>
  </conditionalFormatting>
  <conditionalFormatting sqref="D87">
    <cfRule type="expression" priority="504" dxfId="206">
      <formula>$C87="SELECT CLADDING"</formula>
    </cfRule>
  </conditionalFormatting>
  <conditionalFormatting sqref="D90:D91">
    <cfRule type="expression" priority="337" dxfId="358">
      <formula>($D$14="CANOPY TYPE")</formula>
    </cfRule>
  </conditionalFormatting>
  <conditionalFormatting sqref="D92">
    <cfRule type="expression" priority="520" dxfId="474">
      <formula>ISNUMBER(SEARCH("UV",D82))</formula>
    </cfRule>
  </conditionalFormatting>
  <conditionalFormatting sqref="D93">
    <cfRule type="expression" priority="497" dxfId="358">
      <formula>($D$14="CANOPY TYPE")</formula>
    </cfRule>
  </conditionalFormatting>
  <conditionalFormatting sqref="D94">
    <cfRule type="expression" priority="502" dxfId="472">
      <formula>(ISNUMBER(SEARCH("CMW",D82)))=TRUE</formula>
    </cfRule>
  </conditionalFormatting>
  <conditionalFormatting sqref="D99">
    <cfRule type="containsText" priority="479" operator="containsText" dxfId="164" text="CANOPY TYPE">
      <formula>NOT(ISERROR(SEARCH("CANOPY TYPE",D99)))</formula>
    </cfRule>
  </conditionalFormatting>
  <conditionalFormatting sqref="D100">
    <cfRule type="expression" priority="426" dxfId="206">
      <formula>(C100="LIGHT SELECTION")</formula>
    </cfRule>
  </conditionalFormatting>
  <conditionalFormatting sqref="D101:D103">
    <cfRule type="expression" priority="69" dxfId="206">
      <formula>($C101="SELECT WORKS")</formula>
    </cfRule>
  </conditionalFormatting>
  <conditionalFormatting sqref="D104">
    <cfRule type="expression" priority="416" dxfId="206">
      <formula>$C104="SELECT CLADDING"</formula>
    </cfRule>
  </conditionalFormatting>
  <conditionalFormatting sqref="D107:D108">
    <cfRule type="expression" priority="322" dxfId="358">
      <formula>($D$14="CANOPY TYPE")</formula>
    </cfRule>
  </conditionalFormatting>
  <conditionalFormatting sqref="D109">
    <cfRule type="expression" priority="491" dxfId="474">
      <formula>ISNUMBER(SEARCH("UV",D99))</formula>
    </cfRule>
  </conditionalFormatting>
  <conditionalFormatting sqref="D110">
    <cfRule type="expression" priority="469" dxfId="358">
      <formula>($D$14="CANOPY TYPE")</formula>
    </cfRule>
  </conditionalFormatting>
  <conditionalFormatting sqref="D111">
    <cfRule type="expression" priority="474" dxfId="472">
      <formula>(ISNUMBER(SEARCH("CMW",D99)))=TRUE</formula>
    </cfRule>
  </conditionalFormatting>
  <conditionalFormatting sqref="D116">
    <cfRule type="containsText" priority="302" operator="containsText" dxfId="164" text="CANOPY TYPE">
      <formula>NOT(ISERROR(SEARCH("CANOPY TYPE",D116)))</formula>
    </cfRule>
  </conditionalFormatting>
  <conditionalFormatting sqref="D117">
    <cfRule type="expression" priority="287" dxfId="206">
      <formula>(C117="LIGHT SELECTION")</formula>
    </cfRule>
  </conditionalFormatting>
  <conditionalFormatting sqref="D118:D120">
    <cfRule type="expression" priority="55" dxfId="206">
      <formula>($C118="SELECT WORKS")</formula>
    </cfRule>
  </conditionalFormatting>
  <conditionalFormatting sqref="D121">
    <cfRule type="expression" priority="286" dxfId="206">
      <formula>$C121="SELECT CLADDING"</formula>
    </cfRule>
  </conditionalFormatting>
  <conditionalFormatting sqref="D124:D125">
    <cfRule type="expression" priority="271" dxfId="358">
      <formula>($D$14="CANOPY TYPE")</formula>
    </cfRule>
  </conditionalFormatting>
  <conditionalFormatting sqref="D126">
    <cfRule type="expression" priority="314" dxfId="474">
      <formula>ISNUMBER(SEARCH("UV",D116))</formula>
    </cfRule>
  </conditionalFormatting>
  <conditionalFormatting sqref="D127">
    <cfRule type="expression" priority="294" dxfId="358">
      <formula>($D$14="CANOPY TYPE")</formula>
    </cfRule>
  </conditionalFormatting>
  <conditionalFormatting sqref="D128">
    <cfRule type="expression" priority="297" dxfId="472">
      <formula>(ISNUMBER(SEARCH("CMW",D116)))=TRUE</formula>
    </cfRule>
  </conditionalFormatting>
  <conditionalFormatting sqref="D133">
    <cfRule type="containsText" priority="247" operator="containsText" dxfId="164" text="CANOPY TYPE">
      <formula>NOT(ISERROR(SEARCH("CANOPY TYPE",D133)))</formula>
    </cfRule>
  </conditionalFormatting>
  <conditionalFormatting sqref="D134">
    <cfRule type="expression" priority="232" dxfId="206">
      <formula>(C134="LIGHT SELECTION")</formula>
    </cfRule>
  </conditionalFormatting>
  <conditionalFormatting sqref="D135:D137">
    <cfRule type="expression" priority="41" dxfId="206">
      <formula>($C135="SELECT WORKS")</formula>
    </cfRule>
  </conditionalFormatting>
  <conditionalFormatting sqref="D138">
    <cfRule type="expression" priority="231" dxfId="206">
      <formula>$C138="SELECT CLADDING"</formula>
    </cfRule>
  </conditionalFormatting>
  <conditionalFormatting sqref="D141:D142">
    <cfRule type="expression" priority="216" dxfId="358">
      <formula>($D$14="CANOPY TYPE")</formula>
    </cfRule>
  </conditionalFormatting>
  <conditionalFormatting sqref="D143">
    <cfRule type="expression" priority="259" dxfId="474">
      <formula>ISNUMBER(SEARCH("UV",D133))</formula>
    </cfRule>
  </conditionalFormatting>
  <conditionalFormatting sqref="D144">
    <cfRule type="expression" priority="239" dxfId="358">
      <formula>($D$14="CANOPY TYPE")</formula>
    </cfRule>
  </conditionalFormatting>
  <conditionalFormatting sqref="D145">
    <cfRule type="expression" priority="242" dxfId="472">
      <formula>(ISNUMBER(SEARCH("CMW",D133)))=TRUE</formula>
    </cfRule>
  </conditionalFormatting>
  <conditionalFormatting sqref="D150">
    <cfRule type="containsText" priority="196" operator="containsText" dxfId="164" text="CANOPY TYPE">
      <formula>NOT(ISERROR(SEARCH("CANOPY TYPE",D150)))</formula>
    </cfRule>
  </conditionalFormatting>
  <conditionalFormatting sqref="D151">
    <cfRule type="expression" priority="181" dxfId="206">
      <formula>(C151="LIGHT SELECTION")</formula>
    </cfRule>
  </conditionalFormatting>
  <conditionalFormatting sqref="D152:D154">
    <cfRule type="expression" priority="27" dxfId="206">
      <formula>($C152="SELECT WORKS")</formula>
    </cfRule>
  </conditionalFormatting>
  <conditionalFormatting sqref="D155">
    <cfRule type="expression" priority="180" dxfId="206">
      <formula>$C155="SELECT CLADDING"</formula>
    </cfRule>
  </conditionalFormatting>
  <conditionalFormatting sqref="D158:D159">
    <cfRule type="expression" priority="165" dxfId="358">
      <formula>($D$14="CANOPY TYPE")</formula>
    </cfRule>
  </conditionalFormatting>
  <conditionalFormatting sqref="D160">
    <cfRule type="expression" priority="208" dxfId="474">
      <formula>ISNUMBER(SEARCH("UV",D150))</formula>
    </cfRule>
  </conditionalFormatting>
  <conditionalFormatting sqref="D161">
    <cfRule type="expression" priority="188" dxfId="358">
      <formula>($D$14="CANOPY TYPE")</formula>
    </cfRule>
  </conditionalFormatting>
  <conditionalFormatting sqref="D162">
    <cfRule type="expression" priority="191" dxfId="472">
      <formula>(ISNUMBER(SEARCH("CMW",D150)))=TRUE</formula>
    </cfRule>
  </conditionalFormatting>
  <conditionalFormatting sqref="D167">
    <cfRule type="containsText" priority="145" operator="containsText" dxfId="164" text="CANOPY TYPE">
      <formula>NOT(ISERROR(SEARCH("CANOPY TYPE",D167)))</formula>
    </cfRule>
  </conditionalFormatting>
  <conditionalFormatting sqref="D168">
    <cfRule type="expression" priority="130" dxfId="206">
      <formula>(C168="LIGHT SELECTION")</formula>
    </cfRule>
  </conditionalFormatting>
  <conditionalFormatting sqref="D169:D171">
    <cfRule type="expression" priority="13" dxfId="206">
      <formula>($C169="SELECT WORKS")</formula>
    </cfRule>
  </conditionalFormatting>
  <conditionalFormatting sqref="D172">
    <cfRule type="expression" priority="129" dxfId="206">
      <formula>$C172="SELECT CLADDING"</formula>
    </cfRule>
  </conditionalFormatting>
  <conditionalFormatting sqref="D175:D176">
    <cfRule type="expression" priority="114" dxfId="358">
      <formula>($D$14="CANOPY TYPE")</formula>
    </cfRule>
  </conditionalFormatting>
  <conditionalFormatting sqref="D177">
    <cfRule type="expression" priority="157" dxfId="474">
      <formula>ISNUMBER(SEARCH("UV",D167))</formula>
    </cfRule>
  </conditionalFormatting>
  <conditionalFormatting sqref="D178">
    <cfRule type="expression" priority="137" dxfId="358">
      <formula>($D$14="CANOPY TYPE")</formula>
    </cfRule>
  </conditionalFormatting>
  <conditionalFormatting sqref="D179">
    <cfRule type="expression" priority="140" dxfId="472">
      <formula>(ISNUMBER(SEARCH("CMW",D167)))=TRUE</formula>
    </cfRule>
  </conditionalFormatting>
  <conditionalFormatting sqref="E12">
    <cfRule type="cellIs" priority="684" operator="greaterThan" dxfId="204">
      <formula>2000</formula>
    </cfRule>
    <cfRule type="expression" priority="683" dxfId="387">
      <formula>ISNUMBER(SEARCH("I-MUAP",$D$14))</formula>
    </cfRule>
    <cfRule type="expression" priority="682" dxfId="386">
      <formula>AND((ISNUMBER(SEARCH("I-MUAP",$D$14))),E12&lt;2500)</formula>
    </cfRule>
  </conditionalFormatting>
  <conditionalFormatting sqref="E15">
    <cfRule type="expression" priority="423" dxfId="315">
      <formula>(C15="LIGHT SELECTION")</formula>
    </cfRule>
  </conditionalFormatting>
  <conditionalFormatting sqref="E16:E18">
    <cfRule type="expression" priority="113" dxfId="381">
      <formula>$C16="SELECT WORKS"</formula>
    </cfRule>
  </conditionalFormatting>
  <conditionalFormatting sqref="E22:E23">
    <cfRule type="expression" priority="665" dxfId="384">
      <formula>D22="WW PODS"</formula>
    </cfRule>
    <cfRule type="expression" priority="666" dxfId="383">
      <formula>D22="FILTER TYPE"</formula>
    </cfRule>
    <cfRule type="expression" priority="667" dxfId="382">
      <formula>D22="KSA"</formula>
    </cfRule>
    <cfRule type="expression" priority="687" dxfId="381">
      <formula>(D14="CANOPY TYPE")</formula>
    </cfRule>
  </conditionalFormatting>
  <conditionalFormatting sqref="E24">
    <cfRule type="containsText" priority="674" operator="containsText" dxfId="380" text="LONG ">
      <formula>NOT(ISERROR(SEARCH("LONG ",E24)))</formula>
    </cfRule>
  </conditionalFormatting>
  <conditionalFormatting sqref="E29">
    <cfRule type="expression" priority="604" dxfId="386">
      <formula>AND((ISNUMBER(SEARCH("I-MUAP",$D$14))),E29&lt;2500)</formula>
    </cfRule>
    <cfRule type="expression" priority="605" dxfId="387">
      <formula>ISNUMBER(SEARCH("I-MUAP",$D$14))</formula>
    </cfRule>
    <cfRule type="cellIs" priority="606" operator="greaterThan" dxfId="204">
      <formula>2000</formula>
    </cfRule>
  </conditionalFormatting>
  <conditionalFormatting sqref="E33:E34">
    <cfRule type="expression" priority="587" dxfId="381">
      <formula>$C33="SELECT WORKS"</formula>
    </cfRule>
  </conditionalFormatting>
  <conditionalFormatting sqref="E39:E40">
    <cfRule type="expression" priority="397" dxfId="382">
      <formula>D39="KSA"</formula>
    </cfRule>
    <cfRule type="expression" priority="398" dxfId="381">
      <formula>(D31="CANOPY TYPE")</formula>
    </cfRule>
    <cfRule type="expression" priority="396" dxfId="383">
      <formula>D39="FILTER TYPE"</formula>
    </cfRule>
    <cfRule type="expression" priority="395" dxfId="384">
      <formula>D39="WW PODS"</formula>
    </cfRule>
  </conditionalFormatting>
  <conditionalFormatting sqref="E41">
    <cfRule type="containsText" priority="597" operator="containsText" dxfId="380" text="LONG ">
      <formula>NOT(ISERROR(SEARCH("LONG ",E41)))</formula>
    </cfRule>
  </conditionalFormatting>
  <conditionalFormatting sqref="E46">
    <cfRule type="cellIs" priority="574" operator="greaterThan" dxfId="204">
      <formula>2000</formula>
    </cfRule>
    <cfRule type="expression" priority="573" dxfId="387">
      <formula>ISNUMBER(SEARCH("I-MUAP",$D$14))</formula>
    </cfRule>
    <cfRule type="expression" priority="572" dxfId="386">
      <formula>AND((ISNUMBER(SEARCH("I-MUAP",$D$14))),E46&lt;2500)</formula>
    </cfRule>
  </conditionalFormatting>
  <conditionalFormatting sqref="E49">
    <cfRule type="expression" priority="437" dxfId="315">
      <formula>(C49="LIGHT SELECTION")</formula>
    </cfRule>
  </conditionalFormatting>
  <conditionalFormatting sqref="E50:E52">
    <cfRule type="expression" priority="110" dxfId="381">
      <formula>$C50="SELECT WORKS"</formula>
    </cfRule>
  </conditionalFormatting>
  <conditionalFormatting sqref="E56:E57">
    <cfRule type="expression" priority="369" dxfId="384">
      <formula>D56="WW PODS"</formula>
    </cfRule>
    <cfRule type="expression" priority="370" dxfId="383">
      <formula>D56="FILTER TYPE"</formula>
    </cfRule>
    <cfRule type="expression" priority="372" dxfId="381">
      <formula>(D48="CANOPY TYPE")</formula>
    </cfRule>
    <cfRule type="expression" priority="371" dxfId="382">
      <formula>D56="KSA"</formula>
    </cfRule>
  </conditionalFormatting>
  <conditionalFormatting sqref="E58">
    <cfRule type="containsText" priority="565" operator="containsText" dxfId="380" text="LONG ">
      <formula>NOT(ISERROR(SEARCH("LONG ",E58)))</formula>
    </cfRule>
  </conditionalFormatting>
  <conditionalFormatting sqref="E63">
    <cfRule type="cellIs" priority="547" operator="greaterThan" dxfId="204">
      <formula>2000</formula>
    </cfRule>
    <cfRule type="expression" priority="546" dxfId="387">
      <formula>ISNUMBER(SEARCH("I-MUAP",$D$14))</formula>
    </cfRule>
    <cfRule type="expression" priority="545" dxfId="386">
      <formula>AND((ISNUMBER(SEARCH("I-MUAP",$D$14))),E63&lt;2500)</formula>
    </cfRule>
  </conditionalFormatting>
  <conditionalFormatting sqref="E67:E69">
    <cfRule type="expression" priority="96" dxfId="381">
      <formula>$C67="SELECT WORKS"</formula>
    </cfRule>
  </conditionalFormatting>
  <conditionalFormatting sqref="E73:E74">
    <cfRule type="expression" priority="354" dxfId="384">
      <formula>D73="WW PODS"</formula>
    </cfRule>
    <cfRule type="expression" priority="356" dxfId="382">
      <formula>D73="KSA"</formula>
    </cfRule>
    <cfRule type="expression" priority="357" dxfId="381">
      <formula>(D65="CANOPY TYPE")</formula>
    </cfRule>
    <cfRule type="expression" priority="355" dxfId="383">
      <formula>D73="FILTER TYPE"</formula>
    </cfRule>
  </conditionalFormatting>
  <conditionalFormatting sqref="E75">
    <cfRule type="containsText" priority="538" operator="containsText" dxfId="380" text="LONG ">
      <formula>NOT(ISERROR(SEARCH("LONG ",E75)))</formula>
    </cfRule>
  </conditionalFormatting>
  <conditionalFormatting sqref="E80">
    <cfRule type="cellIs" priority="519" operator="greaterThan" dxfId="204">
      <formula>2000</formula>
    </cfRule>
    <cfRule type="expression" priority="517" dxfId="386">
      <formula>AND((ISNUMBER(SEARCH("I-MUAP",$D$14))),E80&lt;2500)</formula>
    </cfRule>
    <cfRule type="expression" priority="518" dxfId="387">
      <formula>ISNUMBER(SEARCH("I-MUAP",$D$14))</formula>
    </cfRule>
  </conditionalFormatting>
  <conditionalFormatting sqref="E84:E86">
    <cfRule type="expression" priority="82" dxfId="381">
      <formula>$C84="SELECT WORKS"</formula>
    </cfRule>
  </conditionalFormatting>
  <conditionalFormatting sqref="E90:E91">
    <cfRule type="expression" priority="342" dxfId="381">
      <formula>(D82="CANOPY TYPE")</formula>
    </cfRule>
    <cfRule type="expression" priority="339" dxfId="384">
      <formula>D90="WW PODS"</formula>
    </cfRule>
    <cfRule type="expression" priority="340" dxfId="383">
      <formula>D90="FILTER TYPE"</formula>
    </cfRule>
    <cfRule type="expression" priority="341" dxfId="382">
      <formula>D90="KSA"</formula>
    </cfRule>
  </conditionalFormatting>
  <conditionalFormatting sqref="E92">
    <cfRule type="containsText" priority="510" operator="containsText" dxfId="380" text="LONG ">
      <formula>NOT(ISERROR(SEARCH("LONG ",E92)))</formula>
    </cfRule>
  </conditionalFormatting>
  <conditionalFormatting sqref="E97">
    <cfRule type="expression" priority="489" dxfId="387">
      <formula>ISNUMBER(SEARCH("I-MUAP",$D$14))</formula>
    </cfRule>
    <cfRule type="cellIs" priority="490" operator="greaterThan" dxfId="204">
      <formula>2000</formula>
    </cfRule>
    <cfRule type="expression" priority="488" dxfId="386">
      <formula>AND((ISNUMBER(SEARCH("I-MUAP",$D$14))),E97&lt;2500)</formula>
    </cfRule>
  </conditionalFormatting>
  <conditionalFormatting sqref="E101:E103">
    <cfRule type="expression" priority="68" dxfId="381">
      <formula>$C101="SELECT WORKS"</formula>
    </cfRule>
  </conditionalFormatting>
  <conditionalFormatting sqref="E107:E108">
    <cfRule type="expression" priority="324" dxfId="384">
      <formula>D107="WW PODS"</formula>
    </cfRule>
    <cfRule type="expression" priority="325" dxfId="383">
      <formula>D107="FILTER TYPE"</formula>
    </cfRule>
    <cfRule type="expression" priority="326" dxfId="382">
      <formula>D107="KSA"</formula>
    </cfRule>
    <cfRule type="expression" priority="327" dxfId="381">
      <formula>(D99="CANOPY TYPE")</formula>
    </cfRule>
  </conditionalFormatting>
  <conditionalFormatting sqref="E109">
    <cfRule type="containsText" priority="481" operator="containsText" dxfId="380" text="LONG ">
      <formula>NOT(ISERROR(SEARCH("LONG ",E109)))</formula>
    </cfRule>
  </conditionalFormatting>
  <conditionalFormatting sqref="E114">
    <cfRule type="cellIs" priority="313" operator="greaterThan" dxfId="204">
      <formula>2000</formula>
    </cfRule>
    <cfRule type="expression" priority="312" dxfId="387">
      <formula>ISNUMBER(SEARCH("I-MUAP",$D$14))</formula>
    </cfRule>
    <cfRule type="expression" priority="311" dxfId="386">
      <formula>AND((ISNUMBER(SEARCH("I-MUAP",$D$14))),E114&lt;2500)</formula>
    </cfRule>
  </conditionalFormatting>
  <conditionalFormatting sqref="E118:E120">
    <cfRule type="expression" priority="54" dxfId="381">
      <formula>$C118="SELECT WORKS"</formula>
    </cfRule>
  </conditionalFormatting>
  <conditionalFormatting sqref="E124:E125">
    <cfRule type="expression" priority="273" dxfId="384">
      <formula>D124="WW PODS"</formula>
    </cfRule>
    <cfRule type="expression" priority="276" dxfId="381">
      <formula>(D116="CANOPY TYPE")</formula>
    </cfRule>
    <cfRule type="expression" priority="275" dxfId="382">
      <formula>D124="KSA"</formula>
    </cfRule>
    <cfRule type="expression" priority="274" dxfId="383">
      <formula>D124="FILTER TYPE"</formula>
    </cfRule>
  </conditionalFormatting>
  <conditionalFormatting sqref="E126">
    <cfRule type="containsText" priority="304" operator="containsText" dxfId="380" text="LONG ">
      <formula>NOT(ISERROR(SEARCH("LONG ",E126)))</formula>
    </cfRule>
  </conditionalFormatting>
  <conditionalFormatting sqref="E131">
    <cfRule type="expression" priority="257" dxfId="387">
      <formula>ISNUMBER(SEARCH("I-MUAP",$D$14))</formula>
    </cfRule>
    <cfRule type="cellIs" priority="258" operator="greaterThan" dxfId="204">
      <formula>2000</formula>
    </cfRule>
    <cfRule type="expression" priority="256" dxfId="386">
      <formula>AND((ISNUMBER(SEARCH("I-MUAP",$D$14))),E131&lt;2500)</formula>
    </cfRule>
  </conditionalFormatting>
  <conditionalFormatting sqref="E135:E137">
    <cfRule type="expression" priority="40" dxfId="381">
      <formula>$C135="SELECT WORKS"</formula>
    </cfRule>
  </conditionalFormatting>
  <conditionalFormatting sqref="E141:E142">
    <cfRule type="expression" priority="221" dxfId="381">
      <formula>(D133="CANOPY TYPE")</formula>
    </cfRule>
    <cfRule type="expression" priority="220" dxfId="382">
      <formula>D141="KSA"</formula>
    </cfRule>
    <cfRule type="expression" priority="218" dxfId="384">
      <formula>D141="WW PODS"</formula>
    </cfRule>
    <cfRule type="expression" priority="219" dxfId="383">
      <formula>D141="FILTER TYPE"</formula>
    </cfRule>
  </conditionalFormatting>
  <conditionalFormatting sqref="E143">
    <cfRule type="containsText" priority="249" operator="containsText" dxfId="380" text="LONG ">
      <formula>NOT(ISERROR(SEARCH("LONG ",E143)))</formula>
    </cfRule>
  </conditionalFormatting>
  <conditionalFormatting sqref="E148">
    <cfRule type="cellIs" priority="207" operator="greaterThan" dxfId="204">
      <formula>2000</formula>
    </cfRule>
    <cfRule type="expression" priority="206" dxfId="387">
      <formula>ISNUMBER(SEARCH("I-MUAP",$D$14))</formula>
    </cfRule>
    <cfRule type="expression" priority="205" dxfId="386">
      <formula>AND((ISNUMBER(SEARCH("I-MUAP",$D$14))),E148&lt;2500)</formula>
    </cfRule>
  </conditionalFormatting>
  <conditionalFormatting sqref="E152:E154">
    <cfRule type="expression" priority="26" dxfId="381">
      <formula>$C152="SELECT WORKS"</formula>
    </cfRule>
  </conditionalFormatting>
  <conditionalFormatting sqref="E158:E159">
    <cfRule type="expression" priority="169" dxfId="382">
      <formula>D158="KSA"</formula>
    </cfRule>
    <cfRule type="expression" priority="167" dxfId="384">
      <formula>D158="WW PODS"</formula>
    </cfRule>
    <cfRule type="expression" priority="168" dxfId="383">
      <formula>D158="FILTER TYPE"</formula>
    </cfRule>
    <cfRule type="expression" priority="170" dxfId="381">
      <formula>(D150="CANOPY TYPE")</formula>
    </cfRule>
  </conditionalFormatting>
  <conditionalFormatting sqref="E160">
    <cfRule type="containsText" priority="198" operator="containsText" dxfId="380" text="LONG ">
      <formula>NOT(ISERROR(SEARCH("LONG ",E160)))</formula>
    </cfRule>
  </conditionalFormatting>
  <conditionalFormatting sqref="E165">
    <cfRule type="cellIs" priority="156" operator="greaterThan" dxfId="204">
      <formula>2000</formula>
    </cfRule>
    <cfRule type="expression" priority="155" dxfId="387">
      <formula>ISNUMBER(SEARCH("I-MUAP",$D$14))</formula>
    </cfRule>
    <cfRule type="expression" priority="154" dxfId="386">
      <formula>AND((ISNUMBER(SEARCH("I-MUAP",$D$14))),E165&lt;2500)</formula>
    </cfRule>
  </conditionalFormatting>
  <conditionalFormatting sqref="E169:E171">
    <cfRule type="expression" priority="12" dxfId="381">
      <formula>$C169="SELECT WORKS"</formula>
    </cfRule>
  </conditionalFormatting>
  <conditionalFormatting sqref="E175:E176">
    <cfRule type="expression" priority="116" dxfId="384">
      <formula>D175="WW PODS"</formula>
    </cfRule>
    <cfRule type="expression" priority="117" dxfId="383">
      <formula>D175="FILTER TYPE"</formula>
    </cfRule>
    <cfRule type="expression" priority="118" dxfId="382">
      <formula>D175="KSA"</formula>
    </cfRule>
    <cfRule type="expression" priority="119" dxfId="381">
      <formula>(D167="CANOPY TYPE")</formula>
    </cfRule>
  </conditionalFormatting>
  <conditionalFormatting sqref="E177">
    <cfRule type="containsText" priority="147" operator="containsText" dxfId="380" text="LONG ">
      <formula>NOT(ISERROR(SEARCH("LONG ",E177)))</formula>
    </cfRule>
  </conditionalFormatting>
  <conditionalFormatting sqref="E12:F12">
    <cfRule type="cellIs" priority="678" operator="lessThan" dxfId="204">
      <formula>1000</formula>
    </cfRule>
  </conditionalFormatting>
  <conditionalFormatting sqref="E14:F14">
    <cfRule type="cellIs" priority="675" operator="lessThan" dxfId="164">
      <formula>1000</formula>
    </cfRule>
  </conditionalFormatting>
  <conditionalFormatting sqref="E25:F27">
    <cfRule type="expression" priority="614" dxfId="358">
      <formula>($D$14="CANOPY TYPE")</formula>
    </cfRule>
  </conditionalFormatting>
  <conditionalFormatting sqref="E29:F29">
    <cfRule type="cellIs" priority="601" operator="lessThan" dxfId="204">
      <formula>1000</formula>
    </cfRule>
  </conditionalFormatting>
  <conditionalFormatting sqref="E31:F31">
    <cfRule type="cellIs" priority="598" operator="lessThan" dxfId="164">
      <formula>1000</formula>
    </cfRule>
  </conditionalFormatting>
  <conditionalFormatting sqref="E32:F32">
    <cfRule type="expression" priority="461" dxfId="315">
      <formula>(C32="LIGHT SELECTION")</formula>
    </cfRule>
  </conditionalFormatting>
  <conditionalFormatting sqref="E42:F44">
    <cfRule type="expression" priority="582" dxfId="358">
      <formula>($D$14="CANOPY TYPE")</formula>
    </cfRule>
  </conditionalFormatting>
  <conditionalFormatting sqref="E46:F46">
    <cfRule type="cellIs" priority="569" operator="lessThan" dxfId="204">
      <formula>1000</formula>
    </cfRule>
  </conditionalFormatting>
  <conditionalFormatting sqref="E48:F48">
    <cfRule type="cellIs" priority="566" operator="lessThan" dxfId="164">
      <formula>1000</formula>
    </cfRule>
  </conditionalFormatting>
  <conditionalFormatting sqref="E59:F61">
    <cfRule type="expression" priority="555" dxfId="358">
      <formula>($D$14="CANOPY TYPE")</formula>
    </cfRule>
  </conditionalFormatting>
  <conditionalFormatting sqref="E63:F63">
    <cfRule type="cellIs" priority="542" operator="lessThan" dxfId="204">
      <formula>1000</formula>
    </cfRule>
  </conditionalFormatting>
  <conditionalFormatting sqref="E65:F65">
    <cfRule type="cellIs" priority="539" operator="lessThan" dxfId="164">
      <formula>1000</formula>
    </cfRule>
  </conditionalFormatting>
  <conditionalFormatting sqref="E66:F66">
    <cfRule type="expression" priority="454" dxfId="315">
      <formula>(C66="LIGHT SELECTION")</formula>
    </cfRule>
  </conditionalFormatting>
  <conditionalFormatting sqref="E76:F78">
    <cfRule type="expression" priority="527" dxfId="358">
      <formula>($D$14="CANOPY TYPE")</formula>
    </cfRule>
  </conditionalFormatting>
  <conditionalFormatting sqref="E80:F80">
    <cfRule type="cellIs" priority="514" operator="lessThan" dxfId="204">
      <formula>1000</formula>
    </cfRule>
  </conditionalFormatting>
  <conditionalFormatting sqref="E82:F82">
    <cfRule type="cellIs" priority="511" operator="lessThan" dxfId="164">
      <formula>1000</formula>
    </cfRule>
  </conditionalFormatting>
  <conditionalFormatting sqref="E83:F83">
    <cfRule type="expression" priority="450" dxfId="315">
      <formula>(C83="LIGHT SELECTION")</formula>
    </cfRule>
  </conditionalFormatting>
  <conditionalFormatting sqref="E93:F95">
    <cfRule type="expression" priority="498" dxfId="358">
      <formula>($D$14="CANOPY TYPE")</formula>
    </cfRule>
  </conditionalFormatting>
  <conditionalFormatting sqref="E97:F97">
    <cfRule type="cellIs" priority="485" operator="lessThan" dxfId="204">
      <formula>1000</formula>
    </cfRule>
  </conditionalFormatting>
  <conditionalFormatting sqref="E99:F99">
    <cfRule type="cellIs" priority="482" operator="lessThan" dxfId="164">
      <formula>1000</formula>
    </cfRule>
  </conditionalFormatting>
  <conditionalFormatting sqref="E100:F100">
    <cfRule type="expression" priority="446" dxfId="315">
      <formula>(C100="LIGHT SELECTION")</formula>
    </cfRule>
  </conditionalFormatting>
  <conditionalFormatting sqref="E110:F112 E127:F129 E144:F146 E161:F163 E178:F180">
    <cfRule type="expression" priority="470" dxfId="358">
      <formula>($D$14="CANOPY TYPE")</formula>
    </cfRule>
  </conditionalFormatting>
  <conditionalFormatting sqref="E114:F114">
    <cfRule type="cellIs" priority="308" operator="lessThan" dxfId="204">
      <formula>1000</formula>
    </cfRule>
  </conditionalFormatting>
  <conditionalFormatting sqref="E116:F116">
    <cfRule type="cellIs" priority="305" operator="lessThan" dxfId="164">
      <formula>1000</formula>
    </cfRule>
  </conditionalFormatting>
  <conditionalFormatting sqref="E117:F117">
    <cfRule type="expression" priority="291" dxfId="315">
      <formula>(C117="LIGHT SELECTION")</formula>
    </cfRule>
  </conditionalFormatting>
  <conditionalFormatting sqref="E131:F131">
    <cfRule type="cellIs" priority="253" operator="lessThan" dxfId="204">
      <formula>1000</formula>
    </cfRule>
  </conditionalFormatting>
  <conditionalFormatting sqref="E133:F133">
    <cfRule type="cellIs" priority="250" operator="lessThan" dxfId="164">
      <formula>1000</formula>
    </cfRule>
  </conditionalFormatting>
  <conditionalFormatting sqref="E134:F134">
    <cfRule type="expression" priority="236" dxfId="315">
      <formula>(C134="LIGHT SELECTION")</formula>
    </cfRule>
  </conditionalFormatting>
  <conditionalFormatting sqref="E148:F148">
    <cfRule type="cellIs" priority="202" operator="lessThan" dxfId="204">
      <formula>1000</formula>
    </cfRule>
  </conditionalFormatting>
  <conditionalFormatting sqref="E150:F150">
    <cfRule type="cellIs" priority="199" operator="lessThan" dxfId="164">
      <formula>1000</formula>
    </cfRule>
  </conditionalFormatting>
  <conditionalFormatting sqref="E151:F151">
    <cfRule type="expression" priority="185" dxfId="315">
      <formula>(C151="LIGHT SELECTION")</formula>
    </cfRule>
  </conditionalFormatting>
  <conditionalFormatting sqref="E165:F165">
    <cfRule type="cellIs" priority="151" operator="lessThan" dxfId="204">
      <formula>1000</formula>
    </cfRule>
  </conditionalFormatting>
  <conditionalFormatting sqref="E167:F167">
    <cfRule type="cellIs" priority="148" operator="lessThan" dxfId="164">
      <formula>1000</formula>
    </cfRule>
  </conditionalFormatting>
  <conditionalFormatting sqref="E168:F168">
    <cfRule type="expression" priority="134" dxfId="315">
      <formula>(C168="LIGHT SELECTION")</formula>
    </cfRule>
  </conditionalFormatting>
  <conditionalFormatting sqref="F12">
    <cfRule type="cellIs" priority="679" operator="greaterThan" dxfId="204">
      <formula>3001</formula>
    </cfRule>
  </conditionalFormatting>
  <conditionalFormatting sqref="F15">
    <cfRule type="expression" priority="668" dxfId="215">
      <formula>(C15="LIGHT SELECTION")</formula>
    </cfRule>
    <cfRule type="expression" priority="670" dxfId="216">
      <formula>(C15="FLO")</formula>
    </cfRule>
    <cfRule type="expression" priority="463" dxfId="214">
      <formula>(C15="LED STRIP")</formula>
    </cfRule>
    <cfRule type="expression" priority="701" dxfId="315">
      <formula>(D49="LIGHT SELECTION")</formula>
    </cfRule>
  </conditionalFormatting>
  <conditionalFormatting sqref="F22:F23">
    <cfRule type="expression" priority="700" dxfId="205">
      <formula>D22="KSA"</formula>
    </cfRule>
    <cfRule type="expression" priority="692" dxfId="206">
      <formula>D22="NF"</formula>
    </cfRule>
    <cfRule type="expression" priority="693" dxfId="208">
      <formula>D22="WW PODS"</formula>
    </cfRule>
    <cfRule type="expression" priority="694" dxfId="206">
      <formula>D22="GRILLE"</formula>
    </cfRule>
    <cfRule type="expression" priority="695" dxfId="206">
      <formula>D22="CENTREX"</formula>
    </cfRule>
    <cfRule type="expression" priority="696" dxfId="206" stopIfTrue="1">
      <formula>D14="canopy type"</formula>
    </cfRule>
    <cfRule type="expression" priority="697" dxfId="207">
      <formula>(((I14*3600)/(C22*I11))^2+20)&gt;300</formula>
    </cfRule>
    <cfRule type="expression" priority="698" dxfId="205" stopIfTrue="1">
      <formula>(ISNUMBER(SEARCH("UV",D14)))</formula>
    </cfRule>
    <cfRule type="expression" priority="699" dxfId="207">
      <formula>(((I14*3600)/(C22*I11))^2+20)&gt;180</formula>
    </cfRule>
  </conditionalFormatting>
  <conditionalFormatting sqref="F24">
    <cfRule type="cellIs" priority="673" operator="lessThan" dxfId="204">
      <formula>2100</formula>
    </cfRule>
  </conditionalFormatting>
  <conditionalFormatting sqref="F29">
    <cfRule type="cellIs" priority="602" operator="greaterThan" dxfId="204">
      <formula>3001</formula>
    </cfRule>
  </conditionalFormatting>
  <conditionalFormatting sqref="F32">
    <cfRule type="expression" priority="462" dxfId="216">
      <formula>(C32="FLO")</formula>
    </cfRule>
    <cfRule type="expression" priority="460" dxfId="215">
      <formula>(C32="LIGHT SELECTION")</formula>
    </cfRule>
    <cfRule type="expression" priority="459" dxfId="214">
      <formula>(C32="LED STRIP")</formula>
    </cfRule>
  </conditionalFormatting>
  <conditionalFormatting sqref="F39:F40">
    <cfRule type="expression" priority="406" dxfId="207">
      <formula>(((I31*3600)/(C39*I28))^2+20)&gt;180</formula>
    </cfRule>
    <cfRule type="expression" priority="407" dxfId="205">
      <formula>D39="KSA"</formula>
    </cfRule>
    <cfRule type="expression" priority="399" dxfId="206">
      <formula>D39="NF"</formula>
    </cfRule>
    <cfRule type="expression" priority="400" dxfId="208">
      <formula>D39="WW PODS"</formula>
    </cfRule>
    <cfRule type="expression" priority="401" dxfId="206">
      <formula>D39="GRILLE"</formula>
    </cfRule>
    <cfRule type="expression" priority="402" dxfId="206">
      <formula>D39="CENTREX"</formula>
    </cfRule>
    <cfRule type="expression" priority="403" dxfId="206" stopIfTrue="1">
      <formula>D31="canopy type"</formula>
    </cfRule>
    <cfRule type="expression" priority="404" dxfId="207">
      <formula>(((I31*3600)/(C39*I28))^2+20)&gt;300</formula>
    </cfRule>
    <cfRule type="expression" priority="405" dxfId="205" stopIfTrue="1">
      <formula>(ISNUMBER(SEARCH("UV",D31)))</formula>
    </cfRule>
  </conditionalFormatting>
  <conditionalFormatting sqref="F41">
    <cfRule type="cellIs" priority="596" operator="lessThan" dxfId="204">
      <formula>2100</formula>
    </cfRule>
  </conditionalFormatting>
  <conditionalFormatting sqref="F46">
    <cfRule type="cellIs" priority="570" operator="greaterThan" dxfId="204">
      <formula>3001</formula>
    </cfRule>
  </conditionalFormatting>
  <conditionalFormatting sqref="F49">
    <cfRule type="expression" priority="702" dxfId="315">
      <formula>(#REF!="LIGHT SELECTION")</formula>
    </cfRule>
    <cfRule type="expression" priority="458" dxfId="216">
      <formula>(C49="FLO")</formula>
    </cfRule>
    <cfRule type="expression" priority="457" dxfId="215">
      <formula>(C49="LIGHT SELECTION")</formula>
    </cfRule>
    <cfRule type="expression" priority="456" dxfId="214">
      <formula>(C49="LED STRIP")</formula>
    </cfRule>
  </conditionalFormatting>
  <conditionalFormatting sqref="F56:F57">
    <cfRule type="expression" priority="379" dxfId="205" stopIfTrue="1">
      <formula>(ISNUMBER(SEARCH("UV",D48)))</formula>
    </cfRule>
    <cfRule type="expression" priority="380" dxfId="207">
      <formula>(((I48*3600)/(C56*I45))^2+20)&gt;180</formula>
    </cfRule>
    <cfRule type="expression" priority="378" dxfId="207">
      <formula>(((I48*3600)/(C56*I45))^2+20)&gt;300</formula>
    </cfRule>
    <cfRule type="expression" priority="377" dxfId="206" stopIfTrue="1">
      <formula>D48="canopy type"</formula>
    </cfRule>
    <cfRule type="expression" priority="376" dxfId="206">
      <formula>D56="CENTREX"</formula>
    </cfRule>
    <cfRule type="expression" priority="375" dxfId="206">
      <formula>D56="GRILLE"</formula>
    </cfRule>
    <cfRule type="expression" priority="374" dxfId="208">
      <formula>D56="WW PODS"</formula>
    </cfRule>
    <cfRule type="expression" priority="373" dxfId="206">
      <formula>D56="NF"</formula>
    </cfRule>
    <cfRule type="expression" priority="381" dxfId="205">
      <formula>D56="KSA"</formula>
    </cfRule>
  </conditionalFormatting>
  <conditionalFormatting sqref="F58">
    <cfRule type="cellIs" priority="564" operator="lessThan" dxfId="204">
      <formula>2100</formula>
    </cfRule>
  </conditionalFormatting>
  <conditionalFormatting sqref="F63">
    <cfRule type="cellIs" priority="543" operator="greaterThan" dxfId="204">
      <formula>3001</formula>
    </cfRule>
  </conditionalFormatting>
  <conditionalFormatting sqref="F66">
    <cfRule type="expression" priority="452" dxfId="214">
      <formula>(C66="LED STRIP")</formula>
    </cfRule>
    <cfRule type="expression" priority="453" dxfId="215">
      <formula>(C66="LIGHT SELECTION")</formula>
    </cfRule>
    <cfRule type="expression" priority="455" dxfId="216">
      <formula>(C66="FLO")</formula>
    </cfRule>
  </conditionalFormatting>
  <conditionalFormatting sqref="F73:F74">
    <cfRule type="expression" priority="358" dxfId="206">
      <formula>D73="NF"</formula>
    </cfRule>
    <cfRule type="expression" priority="359" dxfId="208">
      <formula>D73="WW PODS"</formula>
    </cfRule>
    <cfRule type="expression" priority="360" dxfId="206">
      <formula>D73="GRILLE"</formula>
    </cfRule>
    <cfRule type="expression" priority="361" dxfId="206">
      <formula>D73="CENTREX"</formula>
    </cfRule>
    <cfRule type="expression" priority="362" dxfId="206" stopIfTrue="1">
      <formula>D65="canopy type"</formula>
    </cfRule>
    <cfRule type="expression" priority="363" dxfId="207">
      <formula>(((I65*3600)/(C73*I62))^2+20)&gt;300</formula>
    </cfRule>
    <cfRule type="expression" priority="364" dxfId="205" stopIfTrue="1">
      <formula>(ISNUMBER(SEARCH("UV",D65)))</formula>
    </cfRule>
    <cfRule type="expression" priority="365" dxfId="207">
      <formula>(((I65*3600)/(C73*I62))^2+20)&gt;180</formula>
    </cfRule>
    <cfRule type="expression" priority="366" dxfId="205">
      <formula>D73="KSA"</formula>
    </cfRule>
  </conditionalFormatting>
  <conditionalFormatting sqref="F75">
    <cfRule type="cellIs" priority="537" operator="lessThan" dxfId="204">
      <formula>2100</formula>
    </cfRule>
  </conditionalFormatting>
  <conditionalFormatting sqref="F80">
    <cfRule type="cellIs" priority="515" operator="greaterThan" dxfId="204">
      <formula>3001</formula>
    </cfRule>
  </conditionalFormatting>
  <conditionalFormatting sqref="F83">
    <cfRule type="expression" priority="448" dxfId="214">
      <formula>(C83="LED STRIP")</formula>
    </cfRule>
    <cfRule type="expression" priority="451" dxfId="216">
      <formula>(C83="FLO")</formula>
    </cfRule>
    <cfRule type="expression" priority="449" dxfId="215">
      <formula>(C83="LIGHT SELECTION")</formula>
    </cfRule>
  </conditionalFormatting>
  <conditionalFormatting sqref="F90:F91">
    <cfRule type="expression" priority="343" dxfId="206">
      <formula>D90="NF"</formula>
    </cfRule>
    <cfRule type="expression" priority="344" dxfId="208">
      <formula>D90="WW PODS"</formula>
    </cfRule>
    <cfRule type="expression" priority="345" dxfId="206">
      <formula>D90="GRILLE"</formula>
    </cfRule>
    <cfRule type="expression" priority="346" dxfId="206">
      <formula>D90="CENTREX"</formula>
    </cfRule>
    <cfRule type="expression" priority="347" dxfId="206" stopIfTrue="1">
      <formula>D82="canopy type"</formula>
    </cfRule>
    <cfRule type="expression" priority="348" dxfId="207">
      <formula>(((I82*3600)/(C90*I79))^2+20)&gt;300</formula>
    </cfRule>
    <cfRule type="expression" priority="349" dxfId="205" stopIfTrue="1">
      <formula>(ISNUMBER(SEARCH("UV",D82)))</formula>
    </cfRule>
    <cfRule type="expression" priority="351" dxfId="205">
      <formula>D90="KSA"</formula>
    </cfRule>
    <cfRule type="expression" priority="350" dxfId="207">
      <formula>(((I82*3600)/(C90*I79))^2+20)&gt;180</formula>
    </cfRule>
  </conditionalFormatting>
  <conditionalFormatting sqref="F92">
    <cfRule type="cellIs" priority="509" operator="lessThan" dxfId="204">
      <formula>2100</formula>
    </cfRule>
  </conditionalFormatting>
  <conditionalFormatting sqref="F97">
    <cfRule type="cellIs" priority="486" operator="greaterThan" dxfId="204">
      <formula>3001</formula>
    </cfRule>
  </conditionalFormatting>
  <conditionalFormatting sqref="F100">
    <cfRule type="expression" priority="447" dxfId="216">
      <formula>(C100="FLO")</formula>
    </cfRule>
    <cfRule type="expression" priority="444" dxfId="214">
      <formula>(C100="LED STRIP")</formula>
    </cfRule>
    <cfRule type="expression" priority="445" dxfId="215">
      <formula>(C100="LIGHT SELECTION")</formula>
    </cfRule>
  </conditionalFormatting>
  <conditionalFormatting sqref="F107:F108">
    <cfRule type="expression" priority="329" dxfId="208">
      <formula>D107="WW PODS"</formula>
    </cfRule>
    <cfRule type="expression" priority="330" dxfId="206">
      <formula>D107="GRILLE"</formula>
    </cfRule>
    <cfRule type="expression" priority="334" dxfId="205" stopIfTrue="1">
      <formula>(ISNUMBER(SEARCH("UV",D99)))</formula>
    </cfRule>
    <cfRule type="expression" priority="333" dxfId="207">
      <formula>(((I99*3600)/(C107*I96))^2+20)&gt;300</formula>
    </cfRule>
    <cfRule type="expression" priority="335" dxfId="207">
      <formula>(((I99*3600)/(C107*I96))^2+20)&gt;180</formula>
    </cfRule>
    <cfRule type="expression" priority="332" dxfId="206" stopIfTrue="1">
      <formula>D99="canopy type"</formula>
    </cfRule>
    <cfRule type="expression" priority="331" dxfId="206">
      <formula>D107="CENTREX"</formula>
    </cfRule>
    <cfRule type="expression" priority="336" dxfId="205">
      <formula>D107="KSA"</formula>
    </cfRule>
    <cfRule type="expression" priority="328" dxfId="206">
      <formula>D107="NF"</formula>
    </cfRule>
  </conditionalFormatting>
  <conditionalFormatting sqref="F109">
    <cfRule type="cellIs" priority="480" operator="lessThan" dxfId="204">
      <formula>2100</formula>
    </cfRule>
  </conditionalFormatting>
  <conditionalFormatting sqref="F114">
    <cfRule type="cellIs" priority="309" operator="greaterThan" dxfId="204">
      <formula>3001</formula>
    </cfRule>
  </conditionalFormatting>
  <conditionalFormatting sqref="F117">
    <cfRule type="expression" priority="292" dxfId="216">
      <formula>(C117="FLO")</formula>
    </cfRule>
    <cfRule type="expression" priority="290" dxfId="215">
      <formula>(C117="LIGHT SELECTION")</formula>
    </cfRule>
    <cfRule type="expression" priority="289" dxfId="214">
      <formula>(C117="LED STRIP")</formula>
    </cfRule>
  </conditionalFormatting>
  <conditionalFormatting sqref="F124:F125">
    <cfRule type="expression" priority="279" dxfId="206">
      <formula>D124="GRILLE"</formula>
    </cfRule>
    <cfRule type="expression" priority="278" dxfId="208">
      <formula>D124="WW PODS"</formula>
    </cfRule>
    <cfRule type="expression" priority="277" dxfId="206">
      <formula>D124="NF"</formula>
    </cfRule>
    <cfRule type="expression" priority="281" dxfId="206" stopIfTrue="1">
      <formula>D116="canopy type"</formula>
    </cfRule>
    <cfRule type="expression" priority="282" dxfId="207">
      <formula>(((I116*3600)/(C124*I113))^2+20)&gt;300</formula>
    </cfRule>
    <cfRule type="expression" priority="283" dxfId="205" stopIfTrue="1">
      <formula>(ISNUMBER(SEARCH("UV",D116)))</formula>
    </cfRule>
    <cfRule type="expression" priority="284" dxfId="207">
      <formula>(((I116*3600)/(C124*I113))^2+20)&gt;180</formula>
    </cfRule>
    <cfRule type="expression" priority="285" dxfId="205">
      <formula>D124="KSA"</formula>
    </cfRule>
    <cfRule type="expression" priority="280" dxfId="206">
      <formula>D124="CENTREX"</formula>
    </cfRule>
  </conditionalFormatting>
  <conditionalFormatting sqref="F126">
    <cfRule type="cellIs" priority="303" operator="lessThan" dxfId="204">
      <formula>2100</formula>
    </cfRule>
  </conditionalFormatting>
  <conditionalFormatting sqref="F131">
    <cfRule type="cellIs" priority="254" operator="greaterThan" dxfId="204">
      <formula>3001</formula>
    </cfRule>
  </conditionalFormatting>
  <conditionalFormatting sqref="F134">
    <cfRule type="expression" priority="234" dxfId="214">
      <formula>(C134="LED STRIP")</formula>
    </cfRule>
    <cfRule type="expression" priority="237" dxfId="216">
      <formula>(C134="FLO")</formula>
    </cfRule>
    <cfRule type="expression" priority="235" dxfId="215">
      <formula>(C134="LIGHT SELECTION")</formula>
    </cfRule>
  </conditionalFormatting>
  <conditionalFormatting sqref="F141:F142">
    <cfRule type="expression" priority="223" dxfId="208">
      <formula>D141="WW PODS"</formula>
    </cfRule>
    <cfRule type="expression" priority="224" dxfId="206">
      <formula>D141="GRILLE"</formula>
    </cfRule>
    <cfRule type="expression" priority="225" dxfId="206">
      <formula>D141="CENTREX"</formula>
    </cfRule>
    <cfRule type="expression" priority="222" dxfId="206">
      <formula>D141="NF"</formula>
    </cfRule>
    <cfRule type="expression" priority="226" dxfId="206" stopIfTrue="1">
      <formula>D133="canopy type"</formula>
    </cfRule>
    <cfRule type="expression" priority="227" dxfId="207">
      <formula>(((I133*3600)/(C141*I130))^2+20)&gt;300</formula>
    </cfRule>
    <cfRule type="expression" priority="228" dxfId="205" stopIfTrue="1">
      <formula>(ISNUMBER(SEARCH("UV",D133)))</formula>
    </cfRule>
    <cfRule type="expression" priority="229" dxfId="207">
      <formula>(((I133*3600)/(C141*I130))^2+20)&gt;180</formula>
    </cfRule>
    <cfRule type="expression" priority="230" dxfId="205">
      <formula>D141="KSA"</formula>
    </cfRule>
  </conditionalFormatting>
  <conditionalFormatting sqref="F143">
    <cfRule type="cellIs" priority="248" operator="lessThan" dxfId="204">
      <formula>2100</formula>
    </cfRule>
  </conditionalFormatting>
  <conditionalFormatting sqref="F148">
    <cfRule type="cellIs" priority="203" operator="greaterThan" dxfId="204">
      <formula>3001</formula>
    </cfRule>
  </conditionalFormatting>
  <conditionalFormatting sqref="F151">
    <cfRule type="expression" priority="183" dxfId="214">
      <formula>(C151="LED STRIP")</formula>
    </cfRule>
    <cfRule type="expression" priority="184" dxfId="215">
      <formula>(C151="LIGHT SELECTION")</formula>
    </cfRule>
    <cfRule type="expression" priority="186" dxfId="216">
      <formula>(C151="FLO")</formula>
    </cfRule>
  </conditionalFormatting>
  <conditionalFormatting sqref="F158:F159">
    <cfRule type="expression" priority="178" dxfId="207">
      <formula>(((I150*3600)/(C158*I147))^2+20)&gt;180</formula>
    </cfRule>
    <cfRule type="expression" priority="171" dxfId="206">
      <formula>D158="NF"</formula>
    </cfRule>
    <cfRule type="expression" priority="172" dxfId="208">
      <formula>D158="WW PODS"</formula>
    </cfRule>
    <cfRule type="expression" priority="173" dxfId="206">
      <formula>D158="GRILLE"</formula>
    </cfRule>
    <cfRule type="expression" priority="174" dxfId="206">
      <formula>D158="CENTREX"</formula>
    </cfRule>
    <cfRule type="expression" priority="175" dxfId="206" stopIfTrue="1">
      <formula>D150="canopy type"</formula>
    </cfRule>
    <cfRule type="expression" priority="176" dxfId="207">
      <formula>(((I150*3600)/(C158*I147))^2+20)&gt;300</formula>
    </cfRule>
    <cfRule type="expression" priority="179" dxfId="205">
      <formula>D158="KSA"</formula>
    </cfRule>
    <cfRule type="expression" priority="177" dxfId="205" stopIfTrue="1">
      <formula>(ISNUMBER(SEARCH("UV",D150)))</formula>
    </cfRule>
  </conditionalFormatting>
  <conditionalFormatting sqref="F160">
    <cfRule type="cellIs" priority="197" operator="lessThan" dxfId="204">
      <formula>2100</formula>
    </cfRule>
  </conditionalFormatting>
  <conditionalFormatting sqref="F165">
    <cfRule type="cellIs" priority="152" operator="greaterThan" dxfId="204">
      <formula>3001</formula>
    </cfRule>
  </conditionalFormatting>
  <conditionalFormatting sqref="F168">
    <cfRule type="expression" priority="135" dxfId="216">
      <formula>(C168="FLO")</formula>
    </cfRule>
    <cfRule type="expression" priority="133" dxfId="215">
      <formula>(C168="LIGHT SELECTION")</formula>
    </cfRule>
    <cfRule type="expression" priority="132" dxfId="214">
      <formula>(C168="LED STRIP")</formula>
    </cfRule>
  </conditionalFormatting>
  <conditionalFormatting sqref="F175:F176">
    <cfRule type="expression" priority="126" dxfId="205" stopIfTrue="1">
      <formula>(ISNUMBER(SEARCH("UV",D167)))</formula>
    </cfRule>
    <cfRule type="expression" priority="125" dxfId="207">
      <formula>(((I167*3600)/(C175*I164))^2+20)&gt;300</formula>
    </cfRule>
    <cfRule type="expression" priority="124" dxfId="206" stopIfTrue="1">
      <formula>D167="canopy type"</formula>
    </cfRule>
    <cfRule type="expression" priority="123" dxfId="206">
      <formula>D175="CENTREX"</formula>
    </cfRule>
    <cfRule type="expression" priority="122" dxfId="206">
      <formula>D175="GRILLE"</formula>
    </cfRule>
    <cfRule type="expression" priority="121" dxfId="208">
      <formula>D175="WW PODS"</formula>
    </cfRule>
    <cfRule type="expression" priority="127" dxfId="207">
      <formula>(((I167*3600)/(C175*I164))^2+20)&gt;180</formula>
    </cfRule>
    <cfRule type="expression" priority="120" dxfId="206">
      <formula>D175="NF"</formula>
    </cfRule>
    <cfRule type="expression" priority="128" dxfId="205">
      <formula>D175="KSA"</formula>
    </cfRule>
  </conditionalFormatting>
  <conditionalFormatting sqref="F177">
    <cfRule type="cellIs" priority="146" operator="lessThan" dxfId="204">
      <formula>2100</formula>
    </cfRule>
  </conditionalFormatting>
  <conditionalFormatting sqref="G11">
    <cfRule type="expression" priority="681" dxfId="176">
      <formula>((F14-50)/H14)&lt;950</formula>
    </cfRule>
  </conditionalFormatting>
  <conditionalFormatting sqref="G12">
    <cfRule type="expression" priority="680" dxfId="175">
      <formula>((F14-50)/H14)&lt;950</formula>
    </cfRule>
  </conditionalFormatting>
  <conditionalFormatting sqref="G14">
    <cfRule type="cellIs" priority="676" operator="lessThan" dxfId="164">
      <formula>400</formula>
    </cfRule>
  </conditionalFormatting>
  <conditionalFormatting sqref="G28">
    <cfRule type="expression" priority="625" dxfId="176">
      <formula>((F31-50)/H31)&lt;950</formula>
    </cfRule>
  </conditionalFormatting>
  <conditionalFormatting sqref="G29">
    <cfRule type="expression" priority="603" dxfId="175">
      <formula>((F31-50)/H31)&lt;950</formula>
    </cfRule>
  </conditionalFormatting>
  <conditionalFormatting sqref="G31">
    <cfRule type="cellIs" priority="599" operator="lessThan" dxfId="164">
      <formula>400</formula>
    </cfRule>
  </conditionalFormatting>
  <conditionalFormatting sqref="G45">
    <cfRule type="expression" priority="641" dxfId="176">
      <formula>((F48-50)/H48)&lt;950</formula>
    </cfRule>
  </conditionalFormatting>
  <conditionalFormatting sqref="G46">
    <cfRule type="expression" priority="571" dxfId="175">
      <formula>((F48-50)/H48)&lt;950</formula>
    </cfRule>
  </conditionalFormatting>
  <conditionalFormatting sqref="G48">
    <cfRule type="cellIs" priority="567" operator="lessThan" dxfId="164">
      <formula>400</formula>
    </cfRule>
  </conditionalFormatting>
  <conditionalFormatting sqref="G62">
    <cfRule type="expression" priority="642" dxfId="176">
      <formula>((F65-50)/H65)&lt;950</formula>
    </cfRule>
  </conditionalFormatting>
  <conditionalFormatting sqref="G63">
    <cfRule type="expression" priority="544" dxfId="175">
      <formula>((F65-50)/H65)&lt;950</formula>
    </cfRule>
  </conditionalFormatting>
  <conditionalFormatting sqref="G65">
    <cfRule type="cellIs" priority="540" operator="lessThan" dxfId="164">
      <formula>400</formula>
    </cfRule>
  </conditionalFormatting>
  <conditionalFormatting sqref="G79">
    <cfRule type="expression" priority="643" dxfId="176">
      <formula>((F82-50)/H82)&lt;950</formula>
    </cfRule>
  </conditionalFormatting>
  <conditionalFormatting sqref="G80">
    <cfRule type="expression" priority="516" dxfId="175">
      <formula>((F82-50)/H82)&lt;950</formula>
    </cfRule>
  </conditionalFormatting>
  <conditionalFormatting sqref="G82">
    <cfRule type="cellIs" priority="512" operator="lessThan" dxfId="164">
      <formula>400</formula>
    </cfRule>
  </conditionalFormatting>
  <conditionalFormatting sqref="G96">
    <cfRule type="expression" priority="653" dxfId="176">
      <formula>((F99-50)/H99)&lt;950</formula>
    </cfRule>
  </conditionalFormatting>
  <conditionalFormatting sqref="G97">
    <cfRule type="expression" priority="487" dxfId="175">
      <formula>((F99-50)/H99)&lt;950</formula>
    </cfRule>
  </conditionalFormatting>
  <conditionalFormatting sqref="G99">
    <cfRule type="cellIs" priority="483" operator="lessThan" dxfId="164">
      <formula>400</formula>
    </cfRule>
  </conditionalFormatting>
  <conditionalFormatting sqref="G113">
    <cfRule type="expression" priority="321" dxfId="176">
      <formula>((F116-50)/H116)&lt;950</formula>
    </cfRule>
  </conditionalFormatting>
  <conditionalFormatting sqref="G114">
    <cfRule type="expression" priority="310" dxfId="175">
      <formula>((F116-50)/H116)&lt;950</formula>
    </cfRule>
  </conditionalFormatting>
  <conditionalFormatting sqref="G116">
    <cfRule type="cellIs" priority="306" operator="lessThan" dxfId="164">
      <formula>400</formula>
    </cfRule>
  </conditionalFormatting>
  <conditionalFormatting sqref="G130">
    <cfRule type="expression" priority="266" dxfId="176">
      <formula>((F133-50)/H133)&lt;950</formula>
    </cfRule>
  </conditionalFormatting>
  <conditionalFormatting sqref="G131">
    <cfRule type="expression" priority="255" dxfId="175">
      <formula>((F133-50)/H133)&lt;950</formula>
    </cfRule>
  </conditionalFormatting>
  <conditionalFormatting sqref="G133">
    <cfRule type="cellIs" priority="251" operator="lessThan" dxfId="164">
      <formula>400</formula>
    </cfRule>
  </conditionalFormatting>
  <conditionalFormatting sqref="G147">
    <cfRule type="expression" priority="215" dxfId="176">
      <formula>((F150-50)/H150)&lt;950</formula>
    </cfRule>
  </conditionalFormatting>
  <conditionalFormatting sqref="G148">
    <cfRule type="expression" priority="204" dxfId="175">
      <formula>((F150-50)/H150)&lt;950</formula>
    </cfRule>
  </conditionalFormatting>
  <conditionalFormatting sqref="G150">
    <cfRule type="cellIs" priority="200" operator="lessThan" dxfId="164">
      <formula>400</formula>
    </cfRule>
  </conditionalFormatting>
  <conditionalFormatting sqref="G164">
    <cfRule type="expression" priority="164" dxfId="176">
      <formula>((F167-50)/H167)&lt;950</formula>
    </cfRule>
  </conditionalFormatting>
  <conditionalFormatting sqref="G165">
    <cfRule type="expression" priority="153" dxfId="175">
      <formula>((F167-50)/H167)&lt;950</formula>
    </cfRule>
  </conditionalFormatting>
  <conditionalFormatting sqref="G167">
    <cfRule type="cellIs" priority="149" operator="lessThan" dxfId="164">
      <formula>400</formula>
    </cfRule>
  </conditionalFormatting>
  <conditionalFormatting sqref="I14">
    <cfRule type="cellIs" priority="677" operator="lessThan" dxfId="164">
      <formula>0.1</formula>
    </cfRule>
  </conditionalFormatting>
  <conditionalFormatting sqref="I31">
    <cfRule type="cellIs" priority="600" operator="lessThan" dxfId="164">
      <formula>0.1</formula>
    </cfRule>
  </conditionalFormatting>
  <conditionalFormatting sqref="I48">
    <cfRule type="cellIs" priority="568" operator="lessThan" dxfId="164">
      <formula>0.1</formula>
    </cfRule>
  </conditionalFormatting>
  <conditionalFormatting sqref="I65">
    <cfRule type="cellIs" priority="541" operator="lessThan" dxfId="164">
      <formula>0.1</formula>
    </cfRule>
  </conditionalFormatting>
  <conditionalFormatting sqref="I82">
    <cfRule type="cellIs" priority="513" operator="lessThan" dxfId="164">
      <formula>0.1</formula>
    </cfRule>
  </conditionalFormatting>
  <conditionalFormatting sqref="I99">
    <cfRule type="cellIs" priority="484" operator="lessThan" dxfId="164">
      <formula>0.1</formula>
    </cfRule>
  </conditionalFormatting>
  <conditionalFormatting sqref="I116">
    <cfRule type="cellIs" priority="307" operator="lessThan" dxfId="164">
      <formula>0.1</formula>
    </cfRule>
  </conditionalFormatting>
  <conditionalFormatting sqref="I133">
    <cfRule type="cellIs" priority="252" operator="lessThan" dxfId="164">
      <formula>0.1</formula>
    </cfRule>
  </conditionalFormatting>
  <conditionalFormatting sqref="I150">
    <cfRule type="cellIs" priority="201" operator="lessThan" dxfId="164">
      <formula>0.1</formula>
    </cfRule>
  </conditionalFormatting>
  <conditionalFormatting sqref="I167">
    <cfRule type="cellIs" priority="150" operator="lessThan" dxfId="164">
      <formula>0.1</formula>
    </cfRule>
  </conditionalFormatting>
  <conditionalFormatting sqref="J14:J27">
    <cfRule type="cellIs" priority="410" operator="greaterThan" dxfId="153">
      <formula>0</formula>
    </cfRule>
  </conditionalFormatting>
  <conditionalFormatting sqref="J31:J44">
    <cfRule type="cellIs" priority="383" operator="greaterThan" dxfId="153">
      <formula>0</formula>
    </cfRule>
  </conditionalFormatting>
  <conditionalFormatting sqref="J48:J61">
    <cfRule type="cellIs" priority="99" operator="greaterThan" dxfId="153">
      <formula>0</formula>
    </cfRule>
  </conditionalFormatting>
  <conditionalFormatting sqref="J65:J78">
    <cfRule type="cellIs" priority="85" operator="greaterThan" dxfId="153">
      <formula>0</formula>
    </cfRule>
  </conditionalFormatting>
  <conditionalFormatting sqref="J82:J95">
    <cfRule type="cellIs" priority="71" operator="greaterThan" dxfId="153">
      <formula>0</formula>
    </cfRule>
  </conditionalFormatting>
  <conditionalFormatting sqref="J99:J112">
    <cfRule type="cellIs" priority="57" operator="greaterThan" dxfId="153">
      <formula>0</formula>
    </cfRule>
  </conditionalFormatting>
  <conditionalFormatting sqref="J116:J129">
    <cfRule type="cellIs" priority="43" operator="greaterThan" dxfId="153">
      <formula>0</formula>
    </cfRule>
  </conditionalFormatting>
  <conditionalFormatting sqref="J133:J146">
    <cfRule type="cellIs" priority="29" operator="greaterThan" dxfId="153">
      <formula>0</formula>
    </cfRule>
  </conditionalFormatting>
  <conditionalFormatting sqref="J150:J163">
    <cfRule type="cellIs" priority="15" operator="greaterThan" dxfId="153">
      <formula>0</formula>
    </cfRule>
  </conditionalFormatting>
  <conditionalFormatting sqref="J167:J180">
    <cfRule type="cellIs" priority="1" operator="greaterThan" dxfId="153">
      <formula>0</formula>
    </cfRule>
  </conditionalFormatting>
  <conditionalFormatting sqref="J183:J197">
    <cfRule type="expression" priority="267" dxfId="153">
      <formula>C183&gt;0</formula>
    </cfRule>
  </conditionalFormatting>
  <conditionalFormatting sqref="J199">
    <cfRule type="expression" priority="658" dxfId="2">
      <formula>#REF!="EURO"</formula>
    </cfRule>
  </conditionalFormatting>
  <conditionalFormatting sqref="K14:K27">
    <cfRule type="cellIs" priority="424" operator="greaterThan" dxfId="141">
      <formula>0</formula>
    </cfRule>
  </conditionalFormatting>
  <conditionalFormatting sqref="K31:K44">
    <cfRule type="cellIs" priority="386" operator="greaterThan" dxfId="141">
      <formula>0</formula>
    </cfRule>
  </conditionalFormatting>
  <conditionalFormatting sqref="K48:K61">
    <cfRule type="cellIs" priority="102" operator="greaterThan" dxfId="141">
      <formula>0</formula>
    </cfRule>
  </conditionalFormatting>
  <conditionalFormatting sqref="K65:K78">
    <cfRule type="cellIs" priority="88" operator="greaterThan" dxfId="141">
      <formula>0</formula>
    </cfRule>
  </conditionalFormatting>
  <conditionalFormatting sqref="K82:K95">
    <cfRule type="cellIs" priority="74" operator="greaterThan" dxfId="141">
      <formula>0</formula>
    </cfRule>
  </conditionalFormatting>
  <conditionalFormatting sqref="K99:K112">
    <cfRule type="cellIs" priority="60" operator="greaterThan" dxfId="141">
      <formula>0</formula>
    </cfRule>
  </conditionalFormatting>
  <conditionalFormatting sqref="K116:K129">
    <cfRule type="cellIs" priority="46" operator="greaterThan" dxfId="141">
      <formula>0</formula>
    </cfRule>
  </conditionalFormatting>
  <conditionalFormatting sqref="K133:K146">
    <cfRule type="cellIs" priority="32" operator="greaterThan" dxfId="141">
      <formula>0</formula>
    </cfRule>
  </conditionalFormatting>
  <conditionalFormatting sqref="K150:K163">
    <cfRule type="cellIs" priority="18" operator="greaterThan" dxfId="141">
      <formula>0</formula>
    </cfRule>
  </conditionalFormatting>
  <conditionalFormatting sqref="K167:K180">
    <cfRule type="cellIs" priority="4" operator="greaterThan" dxfId="141">
      <formula>0</formula>
    </cfRule>
  </conditionalFormatting>
  <conditionalFormatting sqref="K183:K197">
    <cfRule type="cellIs" priority="268" operator="greaterThan" dxfId="141">
      <formula>0</formula>
    </cfRule>
  </conditionalFormatting>
  <conditionalFormatting sqref="K199">
    <cfRule type="expression" priority="657" dxfId="2">
      <formula>$B$9="EURO"</formula>
    </cfRule>
    <cfRule type="expression" priority="656" dxfId="3">
      <formula>$B$9="USD"</formula>
    </cfRule>
    <cfRule type="expression" priority="655" dxfId="0">
      <formula>$B$9="CZK"</formula>
    </cfRule>
    <cfRule type="expression" priority="654" dxfId="4">
      <formula>$B$9="PLN"</formula>
    </cfRule>
  </conditionalFormatting>
  <conditionalFormatting sqref="L14:L27">
    <cfRule type="expression" priority="421" dxfId="116">
      <formula>$C$9&lt;0</formula>
    </cfRule>
    <cfRule type="expression" priority="422" dxfId="115">
      <formula>$C$9&gt;0</formula>
    </cfRule>
  </conditionalFormatting>
  <conditionalFormatting sqref="L31:L44">
    <cfRule type="expression" priority="385" dxfId="115">
      <formula>$C$9&gt;0</formula>
    </cfRule>
    <cfRule type="expression" priority="384" dxfId="116">
      <formula>$C$9&lt;0</formula>
    </cfRule>
  </conditionalFormatting>
  <conditionalFormatting sqref="L48:L61">
    <cfRule type="expression" priority="100" dxfId="116">
      <formula>$C$9&lt;0</formula>
    </cfRule>
    <cfRule type="expression" priority="101" dxfId="115">
      <formula>$C$9&gt;0</formula>
    </cfRule>
  </conditionalFormatting>
  <conditionalFormatting sqref="L65:L78">
    <cfRule type="expression" priority="86" dxfId="116">
      <formula>$C$9&lt;0</formula>
    </cfRule>
    <cfRule type="expression" priority="87" dxfId="115">
      <formula>$C$9&gt;0</formula>
    </cfRule>
  </conditionalFormatting>
  <conditionalFormatting sqref="L82:L95">
    <cfRule type="expression" priority="72" dxfId="116">
      <formula>$C$9&lt;0</formula>
    </cfRule>
    <cfRule type="expression" priority="73" dxfId="115">
      <formula>$C$9&gt;0</formula>
    </cfRule>
  </conditionalFormatting>
  <conditionalFormatting sqref="L99:L112">
    <cfRule type="expression" priority="58" dxfId="116">
      <formula>$C$9&lt;0</formula>
    </cfRule>
    <cfRule type="expression" priority="59" dxfId="115">
      <formula>$C$9&gt;0</formula>
    </cfRule>
  </conditionalFormatting>
  <conditionalFormatting sqref="L116:L129">
    <cfRule type="expression" priority="44" dxfId="116">
      <formula>$C$9&lt;0</formula>
    </cfRule>
    <cfRule type="expression" priority="45" dxfId="115">
      <formula>$C$9&gt;0</formula>
    </cfRule>
  </conditionalFormatting>
  <conditionalFormatting sqref="L133:L146">
    <cfRule type="expression" priority="31" dxfId="115">
      <formula>$C$9&gt;0</formula>
    </cfRule>
    <cfRule type="expression" priority="30" dxfId="116">
      <formula>$C$9&lt;0</formula>
    </cfRule>
  </conditionalFormatting>
  <conditionalFormatting sqref="L150:L163">
    <cfRule type="expression" priority="17" dxfId="115">
      <formula>$C$9&gt;0</formula>
    </cfRule>
    <cfRule type="expression" priority="16" dxfId="116">
      <formula>$C$9&lt;0</formula>
    </cfRule>
  </conditionalFormatting>
  <conditionalFormatting sqref="L167:L180">
    <cfRule type="expression" priority="3" dxfId="115">
      <formula>$C$9&gt;0</formula>
    </cfRule>
    <cfRule type="expression" priority="2" dxfId="116">
      <formula>$C$9&lt;0</formula>
    </cfRule>
  </conditionalFormatting>
  <conditionalFormatting sqref="L183:L197">
    <cfRule type="expression" priority="644" dxfId="116">
      <formula>$C$9&lt;0</formula>
    </cfRule>
    <cfRule type="expression" priority="645" dxfId="115">
      <formula>$C$9&gt;0</formula>
    </cfRule>
  </conditionalFormatting>
  <conditionalFormatting sqref="N9 N12">
    <cfRule type="expression" priority="688" dxfId="4">
      <formula>$B$9="PLN"</formula>
    </cfRule>
    <cfRule type="expression" priority="689" dxfId="0">
      <formula>$B$9="CZK"</formula>
    </cfRule>
    <cfRule type="expression" priority="690" dxfId="3">
      <formula>$B$9="USD"</formula>
    </cfRule>
    <cfRule type="expression" priority="691" dxfId="2">
      <formula>$B$9="EURO"</formula>
    </cfRule>
  </conditionalFormatting>
  <conditionalFormatting sqref="N14:N27">
    <cfRule type="expression" priority="630" dxfId="3">
      <formula>$B$9="USD"</formula>
    </cfRule>
    <cfRule type="expression" priority="629" dxfId="2">
      <formula>$B$9="EURO"</formula>
    </cfRule>
    <cfRule type="cellIs" priority="628" operator="greaterThan" dxfId="1">
      <formula>0</formula>
    </cfRule>
    <cfRule type="expression" priority="632" dxfId="0">
      <formula>$B$9="CZK"</formula>
    </cfRule>
    <cfRule type="expression" priority="631" dxfId="4">
      <formula>$B$9="PLN"</formula>
    </cfRule>
  </conditionalFormatting>
  <conditionalFormatting sqref="N29">
    <cfRule type="expression" priority="609" dxfId="4">
      <formula>$B$9="PLN"</formula>
    </cfRule>
    <cfRule type="expression" priority="612" dxfId="2">
      <formula>$B$9="EURO"</formula>
    </cfRule>
    <cfRule type="expression" priority="611" dxfId="3">
      <formula>$B$9="USD"</formula>
    </cfRule>
    <cfRule type="expression" priority="610" dxfId="0">
      <formula>$B$9="CZK"</formula>
    </cfRule>
  </conditionalFormatting>
  <conditionalFormatting sqref="N31:N44">
    <cfRule type="cellIs" priority="389" operator="greaterThan" dxfId="1">
      <formula>0</formula>
    </cfRule>
    <cfRule type="expression" priority="390" dxfId="2">
      <formula>$B$9="EURO"</formula>
    </cfRule>
    <cfRule type="expression" priority="391" dxfId="3">
      <formula>$B$9="USD"</formula>
    </cfRule>
    <cfRule type="expression" priority="392" dxfId="4">
      <formula>$B$9="PLN"</formula>
    </cfRule>
    <cfRule type="expression" priority="393" dxfId="0">
      <formula>$B$9="CZK"</formula>
    </cfRule>
  </conditionalFormatting>
  <conditionalFormatting sqref="N46">
    <cfRule type="expression" priority="577" dxfId="4">
      <formula>$B$9="PLN"</formula>
    </cfRule>
    <cfRule type="expression" priority="579" dxfId="3">
      <formula>$B$9="USD"</formula>
    </cfRule>
    <cfRule type="expression" priority="580" dxfId="2">
      <formula>$B$9="EURO"</formula>
    </cfRule>
    <cfRule type="expression" priority="578" dxfId="0">
      <formula>$B$9="CZK"</formula>
    </cfRule>
  </conditionalFormatting>
  <conditionalFormatting sqref="N48:N61">
    <cfRule type="expression" priority="105" dxfId="2">
      <formula>$B$9="EURO"</formula>
    </cfRule>
    <cfRule type="cellIs" priority="104" operator="greaterThan" dxfId="1">
      <formula>0</formula>
    </cfRule>
    <cfRule type="expression" priority="108" dxfId="0">
      <formula>$B$9="CZK"</formula>
    </cfRule>
    <cfRule type="expression" priority="107" dxfId="4">
      <formula>$B$9="PLN"</formula>
    </cfRule>
    <cfRule type="expression" priority="106" dxfId="3">
      <formula>$B$9="USD"</formula>
    </cfRule>
  </conditionalFormatting>
  <conditionalFormatting sqref="N63">
    <cfRule type="expression" priority="550" dxfId="4">
      <formula>$B$9="PLN"</formula>
    </cfRule>
    <cfRule type="expression" priority="551" dxfId="0">
      <formula>$B$9="CZK"</formula>
    </cfRule>
    <cfRule type="expression" priority="552" dxfId="3">
      <formula>$B$9="USD"</formula>
    </cfRule>
    <cfRule type="expression" priority="553" dxfId="2">
      <formula>$B$9="EURO"</formula>
    </cfRule>
  </conditionalFormatting>
  <conditionalFormatting sqref="N65:N78">
    <cfRule type="expression" priority="93" dxfId="4">
      <formula>$B$9="PLN"</formula>
    </cfRule>
    <cfRule type="expression" priority="94" dxfId="0">
      <formula>$B$9="CZK"</formula>
    </cfRule>
    <cfRule type="expression" priority="92" dxfId="3">
      <formula>$B$9="USD"</formula>
    </cfRule>
    <cfRule type="expression" priority="91" dxfId="2">
      <formula>$B$9="EURO"</formula>
    </cfRule>
    <cfRule type="cellIs" priority="90" operator="greaterThan" dxfId="1">
      <formula>0</formula>
    </cfRule>
  </conditionalFormatting>
  <conditionalFormatting sqref="N80">
    <cfRule type="expression" priority="523" dxfId="0">
      <formula>$B$9="CZK"</formula>
    </cfRule>
    <cfRule type="expression" priority="524" dxfId="3">
      <formula>$B$9="USD"</formula>
    </cfRule>
    <cfRule type="expression" priority="522" dxfId="4">
      <formula>$B$9="PLN"</formula>
    </cfRule>
    <cfRule type="expression" priority="525" dxfId="2">
      <formula>$B$9="EURO"</formula>
    </cfRule>
  </conditionalFormatting>
  <conditionalFormatting sqref="N82:N95">
    <cfRule type="expression" priority="79" dxfId="4">
      <formula>$B$9="PLN"</formula>
    </cfRule>
    <cfRule type="expression" priority="78" dxfId="3">
      <formula>$B$9="USD"</formula>
    </cfRule>
    <cfRule type="expression" priority="80" dxfId="0">
      <formula>$B$9="CZK"</formula>
    </cfRule>
    <cfRule type="cellIs" priority="76" operator="greaterThan" dxfId="1">
      <formula>0</formula>
    </cfRule>
    <cfRule type="expression" priority="77" dxfId="2">
      <formula>$B$9="EURO"</formula>
    </cfRule>
  </conditionalFormatting>
  <conditionalFormatting sqref="N97">
    <cfRule type="expression" priority="494" dxfId="0">
      <formula>$B$9="CZK"</formula>
    </cfRule>
    <cfRule type="expression" priority="493" dxfId="4">
      <formula>$B$9="PLN"</formula>
    </cfRule>
    <cfRule type="expression" priority="496" dxfId="2">
      <formula>$B$9="EURO"</formula>
    </cfRule>
    <cfRule type="expression" priority="495" dxfId="3">
      <formula>$B$9="USD"</formula>
    </cfRule>
  </conditionalFormatting>
  <conditionalFormatting sqref="N99:N112">
    <cfRule type="cellIs" priority="62" operator="greaterThan" dxfId="1">
      <formula>0</formula>
    </cfRule>
    <cfRule type="expression" priority="63" dxfId="2">
      <formula>$B$9="EURO"</formula>
    </cfRule>
    <cfRule type="expression" priority="64" dxfId="3">
      <formula>$B$9="USD"</formula>
    </cfRule>
    <cfRule type="expression" priority="65" dxfId="4">
      <formula>$B$9="PLN"</formula>
    </cfRule>
    <cfRule type="expression" priority="66" dxfId="0">
      <formula>$B$9="CZK"</formula>
    </cfRule>
  </conditionalFormatting>
  <conditionalFormatting sqref="N114">
    <cfRule type="expression" priority="317" dxfId="0">
      <formula>$B$9="CZK"</formula>
    </cfRule>
    <cfRule type="expression" priority="318" dxfId="3">
      <formula>$B$9="USD"</formula>
    </cfRule>
    <cfRule type="expression" priority="319" dxfId="2">
      <formula>$B$9="EURO"</formula>
    </cfRule>
    <cfRule type="expression" priority="316" dxfId="4">
      <formula>$B$9="PLN"</formula>
    </cfRule>
  </conditionalFormatting>
  <conditionalFormatting sqref="N116:N129">
    <cfRule type="cellIs" priority="48" operator="greaterThan" dxfId="1">
      <formula>0</formula>
    </cfRule>
    <cfRule type="expression" priority="52" dxfId="0">
      <formula>$B$9="CZK"</formula>
    </cfRule>
    <cfRule type="expression" priority="51" dxfId="4">
      <formula>$B$9="PLN"</formula>
    </cfRule>
    <cfRule type="expression" priority="50" dxfId="3">
      <formula>$B$9="USD"</formula>
    </cfRule>
    <cfRule type="expression" priority="49" dxfId="2">
      <formula>$B$9="EURO"</formula>
    </cfRule>
  </conditionalFormatting>
  <conditionalFormatting sqref="N131">
    <cfRule type="expression" priority="261" dxfId="4">
      <formula>$B$9="PLN"</formula>
    </cfRule>
    <cfRule type="expression" priority="262" dxfId="0">
      <formula>$B$9="CZK"</formula>
    </cfRule>
    <cfRule type="expression" priority="263" dxfId="3">
      <formula>$B$9="USD"</formula>
    </cfRule>
    <cfRule type="expression" priority="264" dxfId="2">
      <formula>$B$9="EURO"</formula>
    </cfRule>
  </conditionalFormatting>
  <conditionalFormatting sqref="N133:N146">
    <cfRule type="expression" priority="37" dxfId="4">
      <formula>$B$9="PLN"</formula>
    </cfRule>
    <cfRule type="expression" priority="36" dxfId="3">
      <formula>$B$9="USD"</formula>
    </cfRule>
    <cfRule type="expression" priority="38" dxfId="0">
      <formula>$B$9="CZK"</formula>
    </cfRule>
    <cfRule type="expression" priority="35" dxfId="2">
      <formula>$B$9="EURO"</formula>
    </cfRule>
    <cfRule type="cellIs" priority="34" operator="greaterThan" dxfId="1">
      <formula>0</formula>
    </cfRule>
  </conditionalFormatting>
  <conditionalFormatting sqref="N148">
    <cfRule type="expression" priority="213" dxfId="2">
      <formula>$B$9="EURO"</formula>
    </cfRule>
    <cfRule type="expression" priority="211" dxfId="0">
      <formula>$B$9="CZK"</formula>
    </cfRule>
    <cfRule type="expression" priority="210" dxfId="4">
      <formula>$B$9="PLN"</formula>
    </cfRule>
    <cfRule type="expression" priority="212" dxfId="3">
      <formula>$B$9="USD"</formula>
    </cfRule>
  </conditionalFormatting>
  <conditionalFormatting sqref="N150:N163">
    <cfRule type="expression" priority="22" dxfId="3">
      <formula>$B$9="USD"</formula>
    </cfRule>
    <cfRule type="cellIs" priority="20" operator="greaterThan" dxfId="1">
      <formula>0</formula>
    </cfRule>
    <cfRule type="expression" priority="21" dxfId="2">
      <formula>$B$9="EURO"</formula>
    </cfRule>
    <cfRule type="expression" priority="24" dxfId="0">
      <formula>$B$9="CZK"</formula>
    </cfRule>
    <cfRule type="expression" priority="23" dxfId="4">
      <formula>$B$9="PLN"</formula>
    </cfRule>
  </conditionalFormatting>
  <conditionalFormatting sqref="N165">
    <cfRule type="expression" priority="161" dxfId="3">
      <formula>$B$9="USD"</formula>
    </cfRule>
    <cfRule type="expression" priority="160" dxfId="0">
      <formula>$B$9="CZK"</formula>
    </cfRule>
    <cfRule type="expression" priority="162" dxfId="2">
      <formula>$B$9="EURO"</formula>
    </cfRule>
    <cfRule type="expression" priority="159" dxfId="4">
      <formula>$B$9="PLN"</formula>
    </cfRule>
  </conditionalFormatting>
  <conditionalFormatting sqref="N167:N180">
    <cfRule type="expression" priority="10" dxfId="0">
      <formula>$B$9="CZK"</formula>
    </cfRule>
    <cfRule type="expression" priority="7" dxfId="2">
      <formula>$B$9="EURO"</formula>
    </cfRule>
    <cfRule type="cellIs" priority="6" operator="greaterThan" dxfId="1">
      <formula>0</formula>
    </cfRule>
    <cfRule type="expression" priority="8" dxfId="3">
      <formula>$B$9="USD"</formula>
    </cfRule>
    <cfRule type="expression" priority="9" dxfId="4">
      <formula>$B$9="PLN"</formula>
    </cfRule>
  </conditionalFormatting>
  <conditionalFormatting sqref="N183:N197">
    <cfRule type="expression" priority="640" dxfId="0">
      <formula>$B$9="CZK"</formula>
    </cfRule>
    <cfRule type="expression" priority="639" dxfId="4">
      <formula>$B$9="PLN"</formula>
    </cfRule>
    <cfRule type="expression" priority="638" dxfId="3">
      <formula>$B$9="USD"</formula>
    </cfRule>
    <cfRule type="expression" priority="637" dxfId="2">
      <formula>$B$9="EURO"</formula>
    </cfRule>
    <cfRule type="cellIs" priority="636" operator="greaterThan" dxfId="1">
      <formula>0</formula>
    </cfRule>
  </conditionalFormatting>
  <conditionalFormatting sqref="N182:O182">
    <cfRule type="expression" priority="647" dxfId="0">
      <formula>$B$9="CZK"</formula>
    </cfRule>
    <cfRule type="expression" priority="646" dxfId="4">
      <formula>$B$9="PLN"</formula>
    </cfRule>
    <cfRule type="expression" priority="649" dxfId="2">
      <formula>$B$9="EURO"</formula>
    </cfRule>
    <cfRule type="expression" priority="648" dxfId="3">
      <formula>$B$9="USD"</formula>
    </cfRule>
  </conditionalFormatting>
  <conditionalFormatting sqref="O14:O27">
    <cfRule type="cellIs" priority="633" operator="greaterThan" dxfId="5">
      <formula>0</formula>
    </cfRule>
  </conditionalFormatting>
  <conditionalFormatting sqref="O31:O44">
    <cfRule type="cellIs" priority="394" operator="greaterThan" dxfId="5">
      <formula>0</formula>
    </cfRule>
  </conditionalFormatting>
  <conditionalFormatting sqref="O48:O61">
    <cfRule type="cellIs" priority="109" operator="greaterThan" dxfId="5">
      <formula>0</formula>
    </cfRule>
  </conditionalFormatting>
  <conditionalFormatting sqref="O65:O78">
    <cfRule type="cellIs" priority="95" operator="greaterThan" dxfId="5">
      <formula>0</formula>
    </cfRule>
  </conditionalFormatting>
  <conditionalFormatting sqref="O82:O95">
    <cfRule type="cellIs" priority="81" operator="greaterThan" dxfId="5">
      <formula>0</formula>
    </cfRule>
  </conditionalFormatting>
  <conditionalFormatting sqref="O99:O112">
    <cfRule type="cellIs" priority="67" operator="greaterThan" dxfId="5">
      <formula>0</formula>
    </cfRule>
  </conditionalFormatting>
  <conditionalFormatting sqref="O116:O129">
    <cfRule type="cellIs" priority="53" operator="greaterThan" dxfId="5">
      <formula>0</formula>
    </cfRule>
  </conditionalFormatting>
  <conditionalFormatting sqref="O133:O146">
    <cfRule type="cellIs" priority="39" operator="greaterThan" dxfId="5">
      <formula>0</formula>
    </cfRule>
  </conditionalFormatting>
  <conditionalFormatting sqref="O150:O163">
    <cfRule type="cellIs" priority="25" operator="greaterThan" dxfId="5">
      <formula>0</formula>
    </cfRule>
  </conditionalFormatting>
  <conditionalFormatting sqref="O167:O180">
    <cfRule type="cellIs" priority="11" operator="greaterThan" dxfId="5">
      <formula>0</formula>
    </cfRule>
  </conditionalFormatting>
  <conditionalFormatting sqref="O183:O197">
    <cfRule type="cellIs" priority="659" operator="greaterThan" dxfId="5">
      <formula>0</formula>
    </cfRule>
  </conditionalFormatting>
  <conditionalFormatting sqref="Q16">
    <cfRule type="expression" priority="414" dxfId="4">
      <formula>$B$9="PLN"</formula>
    </cfRule>
    <cfRule type="expression" priority="413" dxfId="3">
      <formula>$B$9="USD"</formula>
    </cfRule>
    <cfRule type="expression" priority="412" dxfId="2">
      <formula>$B$9="EURO"</formula>
    </cfRule>
    <cfRule type="cellIs" priority="411" operator="greaterThan" dxfId="1">
      <formula>0</formula>
    </cfRule>
    <cfRule type="expression" priority="415" dxfId="0">
      <formula>$B$9="CZK"</formula>
    </cfRule>
  </conditionalFormatting>
  <dataValidations count="16">
    <dataValidation sqref="D26 D43 D60 D77 D94 D111 D128 D145 D162 D179" showDropDown="0" showInputMessage="1" showErrorMessage="1" allowBlank="1" type="list">
      <formula1>"0,1,2,3,4,5,6,7,8,9,10"</formula1>
    </dataValidation>
    <dataValidation sqref="G181" showDropDown="0" showInputMessage="1" showErrorMessage="1" allowBlank="1" type="list">
      <formula1>#REF!</formula1>
    </dataValidation>
    <dataValidation sqref="C14 C31 C48 C65 C82 C99 C116 C133 C150 C167" showDropDown="0" showInputMessage="1" showErrorMessage="1" allowBlank="1" type="list">
      <formula1>"WALL, ISLAND"</formula1>
    </dataValidation>
    <dataValidation sqref="E14 E31 E48 E65 E82 E99 E116 E133 E150 E167" showDropDown="0" showInputMessage="1" showErrorMessage="1" allowBlank="1" operator="greaterThan"/>
    <dataValidation sqref="C20:C21 C37:C38 C54:C55 C71:C72 C88:C89 C105:C106 C122:C123 C139:C140 C156:C157 C173:C174" showDropDown="0" showInputMessage="1" showErrorMessage="1" allowBlank="1" type="list">
      <formula1>"0,1,2,3,4,5,6,7,8,9,10,11,12,13,14,15,16,17,18,19,20"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7 C44 C61 C78 C95 C112 C129 C146 C163 C180" showDropDown="0" showInputMessage="1" showErrorMessage="1" allowBlank="1" type="list">
      <formula1>"0,0.5,1,1.5,2,2.5,3,3.5,4,4.5,5"</formula1>
    </dataValidation>
    <dataValidation sqref="C15 C32 C49 C66 C83 C100 C117 C134 C151 C168 C185 C202 C219 C236 C253 C270 C287 C304" showDropDown="0" showInputMessage="0" showErrorMessage="0" allowBlank="1" type="list">
      <formula1>Lists!$A$1:$A$5</formula1>
    </dataValidation>
    <dataValidation sqref="C16 C33 C50 C67 C84 C101 C118 C135 C152 C169 C186 C203 C220 C237 C254 C271 C288 C305" showDropDown="0" showInputMessage="0" showErrorMessage="0" allowBlank="1" type="list">
      <formula1>Lists!$B$1:$B$17</formula1>
    </dataValidation>
    <dataValidation sqref="C17 C34 C51 C68 C85 C102 C119 C136 C153 C170 C187 C204 C221 C238 C255 C272 C289 C306" showDropDown="0" showInputMessage="0" showErrorMessage="0" allowBlank="1" type="list">
      <formula1>Lists!$B$1:$B$18</formula1>
    </dataValidation>
    <dataValidation sqref="C19 C36 C53 C70 C87 C104 C121 C138 C155 C172 C189 C206 C223 C240 C257 C274 C291 C308" showDropDown="0" showInputMessage="0" showErrorMessage="0" allowBlank="1" type="list">
      <formula1>Lists!$C$1:$C$2</formula1>
    </dataValidation>
    <dataValidation sqref="C25 C42 C59 C76 C93 C110 C127 C144 C161 C178 C195 C212 C229 C246 C263 C280 C297" showDropDown="0" showInputMessage="0" showErrorMessage="0" allowBlank="1" type="list">
      <formula1>Lists!$D$1:$D$4</formula1>
    </dataValidation>
    <dataValidation sqref="C26 C43 C60 C77 C94 C111 C128 C145 C162 C179 C196 C213 C230 C247 C264 C281 C298" showDropDown="0" showInputMessage="0" showErrorMessage="0" allowBlank="1" type="list">
      <formula1>Lists!$E$1:$E$10</formula1>
    </dataValidation>
    <dataValidation sqref="D183" showDropDown="0" showInputMessage="0" showErrorMessage="0" allowBlank="1" type="list">
      <formula1>Lists!$F$1:$F$193</formula1>
    </dataValidation>
    <dataValidation sqref="D184" showDropDown="0" showInputMessage="0" showErrorMessage="0" allowBlank="1" type="list">
      <formula1>Lists!$G$1:$G$12</formula1>
    </dataValidation>
    <dataValidation sqref="D185" showDropDown="0" showInputMessage="0" showErrorMessage="0" allowBlank="1" type="list">
      <formula1>Lists!$G$1:$G$12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1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 codeName="Sheet30">
    <tabColor theme="8" tint="0.7999816888943144"/>
    <outlinePr summaryBelow="1" summaryRight="1"/>
    <pageSetUpPr fitToPage="1"/>
  </sheetPr>
  <dimension ref="A1:Z310"/>
  <sheetViews>
    <sheetView showGridLines="0" topLeftCell="G2" zoomScale="106" zoomScaleNormal="80" zoomScaleSheetLayoutView="50" workbookViewId="0">
      <selection activeCell="P182" sqref="P182"/>
    </sheetView>
  </sheetViews>
  <sheetFormatPr baseColWidth="10" defaultColWidth="8.83203125" defaultRowHeight="15" customHeight="1" outlineLevelRow="1"/>
  <cols>
    <col width="2" customWidth="1" style="666" min="1" max="1"/>
    <col width="29.6640625" customWidth="1" style="1095" min="2" max="2"/>
    <col width="24.6640625" customWidth="1" style="1095" min="3" max="3"/>
    <col width="27.1640625" customWidth="1" style="1095" min="4" max="4"/>
    <col width="26.6640625" customWidth="1" style="1095" min="5" max="5"/>
    <col width="18.83203125" customWidth="1" style="1095" min="6" max="6"/>
    <col width="22.6640625" customWidth="1" style="1095" min="7" max="7"/>
    <col width="10" bestFit="1" customWidth="1" style="1096" min="8" max="8"/>
    <col width="11.6640625" bestFit="1" customWidth="1" style="1096" min="9" max="9"/>
    <col width="12.33203125" customWidth="1" style="1097" min="10" max="10"/>
    <col width="15" customWidth="1" style="1098" min="11" max="11"/>
    <col width="7.6640625" bestFit="1" customWidth="1" style="1098" min="12" max="12"/>
    <col hidden="1" width="12.33203125" customWidth="1" style="1099" min="13" max="13"/>
    <col width="12.8320312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8"/>
    <col width="8.83203125" customWidth="1" style="1095" min="99" max="16384"/>
  </cols>
  <sheetData>
    <row r="1" ht="15" customHeight="1" s="1085">
      <c r="B1" s="1116" t="inlineStr">
        <is>
          <t>F24 - 19  CANOPY COST SHEET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 t="n"/>
      <c r="F3" s="690" t="inlineStr">
        <is>
          <t>Project Name</t>
        </is>
      </c>
      <c r="G3" s="1071" t="n"/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 t="n"/>
      <c r="F5" s="690" t="inlineStr">
        <is>
          <t>Location</t>
        </is>
      </c>
      <c r="G5" s="1071" t="n"/>
      <c r="M5" s="684" t="n"/>
      <c r="N5" s="685" t="n"/>
      <c r="P5" s="1118" t="inlineStr">
        <is>
          <t>RECO CANOPIES MUST HAVE COALESCERS</t>
        </is>
      </c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 t="n"/>
      <c r="F7" s="690" t="inlineStr">
        <is>
          <t>Date</t>
        </is>
      </c>
      <c r="G7" s="1075" t="n"/>
      <c r="N7" s="699" t="inlineStr">
        <is>
          <t>Revision No</t>
        </is>
      </c>
      <c r="O7" s="809" t="inlineStr">
        <is>
          <t>B</t>
        </is>
      </c>
      <c r="P7" s="1091" t="inlineStr">
        <is>
          <t>GP SHOULD BE MINIMUM 44%</t>
        </is>
      </c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47" t="n"/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8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 xml:space="preserve">ITEM 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68">
        <f>N12-N19</f>
        <v/>
      </c>
      <c r="Q12" s="1095" t="n"/>
      <c r="R12" s="1095" t="n"/>
      <c r="S12" s="713" t="n"/>
      <c r="T12" s="1095" t="n"/>
      <c r="X12" s="1095" t="n"/>
      <c r="Y12" s="1095" t="n"/>
      <c r="Z12" s="1095" t="n"/>
    </row>
    <row r="13" hidden="1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hidden="1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CANOPY TYPE</t>
        </is>
      </c>
      <c r="E14" s="734" t="n"/>
      <c r="F14" s="734" t="n"/>
      <c r="G14" s="734" t="n"/>
      <c r="H14" s="735" t="n"/>
      <c r="I14" s="734" t="n"/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hidden="1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LIGHT SELECTION</t>
        </is>
      </c>
      <c r="D15" s="741" t="n"/>
      <c r="E15" s="848" t="n"/>
      <c r="F15" s="743" t="n"/>
      <c r="G15" s="744" t="n"/>
      <c r="H15" s="668" t="n"/>
      <c r="I15" s="668" t="n"/>
      <c r="J15" s="736">
        <f>IF(ISNA(C12),0,IF(D15=0,0,IF(C15="FLO",VLOOKUP(E15,'Base Costs'!$M$4:$N$14,2,FALSE),IF(C15="LED STRIP",VLOOKUP(E15,'Base Costs'!$M$4:$N$14,2,FALSE),(VLOOKUP(C15,'Base Costs'!$M$4:$N$14,2,FALSE))))))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hidden="1" outlineLevel="1" ht="15" customHeight="1" s="1085">
      <c r="A16" s="666" t="n">
        <v>234</v>
      </c>
      <c r="B16" s="269" t="inlineStr">
        <is>
          <t>SPECIAL WORKS</t>
        </is>
      </c>
      <c r="C16" s="33" t="inlineStr">
        <is>
          <t>SELECT WORKS</t>
        </is>
      </c>
      <c r="D16" s="735" t="n"/>
      <c r="E16" s="753">
        <f>IF(C16="","",VLOOKUP(C16,CCBASE!$A$53:$D$73,4,FALSE))</f>
        <v/>
      </c>
      <c r="F16" s="754" t="n"/>
      <c r="G16" s="749" t="n"/>
      <c r="H16" s="750" t="n"/>
      <c r="I16" s="755" t="n"/>
      <c r="J16" s="736">
        <f>IF(C16="",0,VLOOKUP(C16,CCBASE!$A$53:$C$73,2,FALSE))</f>
        <v/>
      </c>
      <c r="K16" s="737">
        <f>J16*D16</f>
        <v/>
      </c>
      <c r="L16" s="738" t="n">
        <v>0.44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hidden="1" outlineLevel="1" ht="15" customHeight="1" s="1085">
      <c r="B17" s="269" t="inlineStr">
        <is>
          <t>SPECIAL WORKS</t>
        </is>
      </c>
      <c r="C17" s="752" t="inlineStr">
        <is>
          <t>SELECT WORKS</t>
        </is>
      </c>
      <c r="D17" s="735" t="n"/>
      <c r="E17" s="753">
        <f>IF(C17="","",VLOOKUP(C17,CCBASE!$A$53:$D$73,4,FALSE))</f>
        <v/>
      </c>
      <c r="F17" s="754" t="n"/>
      <c r="G17" s="749" t="n"/>
      <c r="H17" s="750" t="n"/>
      <c r="I17" s="755" t="n"/>
      <c r="J17" s="736">
        <f>IF(C17="",0,VLOOKUP(C17,CCBASE!$A$53:$C$73,2,FALSE))</f>
        <v/>
      </c>
      <c r="K17" s="737">
        <f>J17*D17</f>
        <v/>
      </c>
      <c r="L17" s="738" t="n">
        <v>0.44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hidden="1" outlineLevel="1" ht="15" customHeight="1" s="1085">
      <c r="B18" s="978" t="inlineStr">
        <is>
          <t>SPECIAL WORKS</t>
        </is>
      </c>
      <c r="C18" s="979" t="inlineStr">
        <is>
          <t>BIM/ REVIT per CANOPY</t>
        </is>
      </c>
      <c r="D18" s="980" t="n">
        <v>1</v>
      </c>
      <c r="E18" s="981">
        <f>IF(C18="","",VLOOKUP(C18,CCBASE!$A$53:$D$73,4,FALSE))</f>
        <v/>
      </c>
      <c r="F18" s="982" t="n"/>
      <c r="G18" s="977" t="n"/>
      <c r="H18" s="983" t="n"/>
      <c r="I18" s="984" t="n"/>
      <c r="J18" s="985">
        <f>IF(C18="",0,VLOOKUP(C18,CCBASE!$A$53:$C$73,2,FALSE))</f>
        <v/>
      </c>
      <c r="K18" s="986">
        <f>J18*D18</f>
        <v/>
      </c>
      <c r="L18" s="987" t="n">
        <v>0.44</v>
      </c>
      <c r="M18" s="988">
        <f>K18/(1-L18)*(1+$C$9)</f>
        <v/>
      </c>
      <c r="N18" s="986">
        <f>M18*VLOOKUP($B$9,'Base Costs'!$A$32:$B$37,2,FALSE)</f>
        <v/>
      </c>
      <c r="O18" s="989">
        <f>M18-K18</f>
        <v/>
      </c>
      <c r="P18" s="990" t="inlineStr">
        <is>
          <t>always include</t>
        </is>
      </c>
      <c r="S18" s="694" t="n"/>
      <c r="Y18" s="1095" t="n"/>
    </row>
    <row r="19" hidden="1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SELECT CLADDING</t>
        </is>
      </c>
      <c r="D19" s="756">
        <f>IF(NOT(ISBLANK(C19)), ROUNDUP($F14/1000,0), 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S19" s="694" t="n"/>
      <c r="Y19" s="1095" t="n"/>
    </row>
    <row r="20" hidden="1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hidden="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hidden="1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S22" s="694" t="n"/>
      <c r="Y22" s="1095" t="n"/>
    </row>
    <row r="23" hidden="1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>
        <f>IF(ISNA(D23),0,(VLOOKUP(D23,'Base Costs'!$Q$4:$R$14,2,FALSE)))</f>
        <v/>
      </c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hidden="1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hidden="1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hidden="1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hidden="1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collapsed="1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 xml:space="preserve">ITEM 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68">
        <f>N29-N36</f>
        <v/>
      </c>
      <c r="Q29" s="1095" t="n"/>
      <c r="R29" s="1095" t="n"/>
      <c r="S29" s="713" t="n"/>
      <c r="T29" s="1095" t="n"/>
      <c r="X29" s="1095" t="n"/>
      <c r="Y29" s="1095" t="n"/>
      <c r="Z29" s="1095" t="n"/>
    </row>
    <row r="30" hidden="1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hidden="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hidden="1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hidden="1" outlineLevel="1" ht="15" customHeight="1" s="1085">
      <c r="A33" s="666" t="n">
        <v>234</v>
      </c>
      <c r="B33" s="731" t="inlineStr">
        <is>
          <t>SPECIAL WORKS</t>
        </is>
      </c>
      <c r="C33" s="752" t="inlineStr">
        <is>
          <t>SELECT WORKS</t>
        </is>
      </c>
      <c r="D33" s="735" t="n"/>
      <c r="E33" s="753">
        <f>IF(C33="","",VLOOKUP(C33,CCBASE!$A$53:$D$73,4,FALSE))</f>
        <v/>
      </c>
      <c r="F33" s="754" t="n"/>
      <c r="G33" s="749" t="n"/>
      <c r="H33" s="750" t="n"/>
      <c r="I33" s="755" t="n"/>
      <c r="J33" s="736">
        <f>IF(C33="",0,VLOOKUP(C33,CCBASE!$A$53:$C$73,2,FALSE))</f>
        <v/>
      </c>
      <c r="K33" s="737">
        <f>J33*D33</f>
        <v/>
      </c>
      <c r="L33" s="738" t="n">
        <v>0.44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hidden="1" outlineLevel="1" ht="15" customHeight="1" s="1085">
      <c r="B34" s="731" t="inlineStr">
        <is>
          <t>SPECIAL WORKS</t>
        </is>
      </c>
      <c r="C34" s="752" t="inlineStr">
        <is>
          <t>SELECT WORKS</t>
        </is>
      </c>
      <c r="D34" s="735" t="n"/>
      <c r="E34" s="753">
        <f>IF(C34="","",VLOOKUP(C34,CCBASE!$A$53:$D$73,4,FALSE))</f>
        <v/>
      </c>
      <c r="F34" s="754" t="n"/>
      <c r="G34" s="749" t="n"/>
      <c r="H34" s="750" t="n"/>
      <c r="I34" s="755" t="n"/>
      <c r="J34" s="736">
        <f>IF(C34="",0,VLOOKUP(C34,CCBASE!$A$53:$C$73,2,FALSE))</f>
        <v/>
      </c>
      <c r="K34" s="737">
        <f>J34*D34</f>
        <v/>
      </c>
      <c r="L34" s="738" t="n">
        <v>0.44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hidden="1" outlineLevel="1" ht="15" customHeight="1" s="1085">
      <c r="B35" s="978" t="inlineStr">
        <is>
          <t>SPECIAL WORKS</t>
        </is>
      </c>
      <c r="C35" s="979" t="inlineStr">
        <is>
          <t>BIM/ REVIT per CANOPY</t>
        </is>
      </c>
      <c r="D35" s="980" t="n"/>
      <c r="E35" s="1111" t="n"/>
      <c r="G35" s="977" t="n"/>
      <c r="H35" s="983" t="n"/>
      <c r="I35" s="984" t="n"/>
      <c r="J35" s="985">
        <f>IF(C35="",0,VLOOKUP(C35,CCBASE!$A$53:$C$73,2,FALSE))</f>
        <v/>
      </c>
      <c r="K35" s="986">
        <f>J35*D35</f>
        <v/>
      </c>
      <c r="L35" s="987" t="n">
        <v>0.44</v>
      </c>
      <c r="M35" s="988">
        <f>K35/(1-L35)*(1+$C$9)</f>
        <v/>
      </c>
      <c r="N35" s="986">
        <f>M35*VLOOKUP($B$9,'Base Costs'!$A$32:$B$37,2,FALSE)</f>
        <v/>
      </c>
      <c r="O35" s="989">
        <f>M35-K35</f>
        <v/>
      </c>
      <c r="P35" s="990" t="inlineStr">
        <is>
          <t>always include</t>
        </is>
      </c>
      <c r="S35" s="694" t="n"/>
      <c r="Y35" s="1095" t="n"/>
    </row>
    <row r="36" hidden="1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SELECT CLADDING</t>
        </is>
      </c>
      <c r="D36" s="756">
        <f>IF(NOT(ISBLANK(C36)), ROUNDUP($F31/1000,0), 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Y36" s="1095" t="n"/>
    </row>
    <row r="37" hidden="1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hidden="1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hidden="1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S39" s="694" t="n"/>
      <c r="Y39" s="1095" t="n"/>
    </row>
    <row r="40" hidden="1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>
        <f>IF(ISNA(D40),0,(VLOOKUP(D40,'Base Costs'!$Q$4:$R$13,2,FALSE)))</f>
        <v/>
      </c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hidden="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hidden="1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hidden="1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hidden="1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collapsed="1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68">
        <f>N46-N53</f>
        <v/>
      </c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731" t="inlineStr">
        <is>
          <t>SPECIAL WORKS</t>
        </is>
      </c>
      <c r="C50" s="752" t="inlineStr">
        <is>
          <t>SELECT WORKS</t>
        </is>
      </c>
      <c r="D50" s="735" t="n"/>
      <c r="E50" s="753">
        <f>IF(C50="","",VLOOKUP(C50,CCBASE!$A$53:$D$73,4,FALSE))</f>
        <v/>
      </c>
      <c r="F50" s="754" t="n"/>
      <c r="G50" s="749" t="n"/>
      <c r="H50" s="750" t="n"/>
      <c r="I50" s="755" t="n"/>
      <c r="J50" s="736">
        <f>IF(C50="",0,VLOOKUP(C50,CCBASE!$A$53:$C$73,2,FALSE))</f>
        <v/>
      </c>
      <c r="K50" s="737">
        <f>J50*D50</f>
        <v/>
      </c>
      <c r="L50" s="738" t="n">
        <v>0.44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731" t="inlineStr">
        <is>
          <t>SPECIAL WORKS</t>
        </is>
      </c>
      <c r="C51" s="752" t="inlineStr">
        <is>
          <t>SELECT WORKS</t>
        </is>
      </c>
      <c r="D51" s="735" t="n"/>
      <c r="E51" s="753">
        <f>IF(C51="","",VLOOKUP(C51,CCBASE!$A$53:$D$73,4,FALSE))</f>
        <v/>
      </c>
      <c r="F51" s="754" t="n"/>
      <c r="G51" s="749" t="n"/>
      <c r="H51" s="750" t="n"/>
      <c r="I51" s="755" t="n"/>
      <c r="J51" s="736">
        <f>IF(C51="",0,VLOOKUP(C51,CCBASE!$A$53:$C$73,2,FALSE))</f>
        <v/>
      </c>
      <c r="K51" s="737">
        <f>J51*D51</f>
        <v/>
      </c>
      <c r="L51" s="738" t="n">
        <v>0.44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978" t="inlineStr">
        <is>
          <t>SPECIAL WORKS</t>
        </is>
      </c>
      <c r="C52" s="979" t="inlineStr">
        <is>
          <t>BIM/ REVIT per CANOPY</t>
        </is>
      </c>
      <c r="D52" s="980" t="n"/>
      <c r="E52" s="981">
        <f>IF(C52="","",VLOOKUP(C52,CCBASE!$A$53:$D$73,4,FALSE))</f>
        <v/>
      </c>
      <c r="F52" s="982" t="n"/>
      <c r="G52" s="977" t="n"/>
      <c r="H52" s="983" t="n"/>
      <c r="I52" s="984" t="n"/>
      <c r="J52" s="985">
        <f>IF(C52="",0,VLOOKUP(C52,CCBASE!$A$53:$C$73,2,FALSE))</f>
        <v/>
      </c>
      <c r="K52" s="986">
        <f>J52*D52</f>
        <v/>
      </c>
      <c r="L52" s="987" t="n">
        <v>0.44</v>
      </c>
      <c r="M52" s="988">
        <f>K52/(1-L52)*(1+$C$9)</f>
        <v/>
      </c>
      <c r="N52" s="986">
        <f>M52*VLOOKUP($B$9,'Base Costs'!$A$32:$B$37,2,FALSE)</f>
        <v/>
      </c>
      <c r="O52" s="989">
        <f>M52-K52</f>
        <v/>
      </c>
      <c r="P52" s="990" t="inlineStr">
        <is>
          <t>always include</t>
        </is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SELECT CLADDING</t>
        </is>
      </c>
      <c r="D53" s="756">
        <f>IF(NOT(ISBLANK(C53)), ROUNDUP($F48/1000,0), 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>
        <f>IF(ISNA(D57),0,(VLOOKUP(D57,'Base Costs'!$Q$4:$R$13,2,FALSE)))</f>
        <v/>
      </c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68">
        <f>N63-N70</f>
        <v/>
      </c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731" t="inlineStr">
        <is>
          <t>SPECIAL WORKS</t>
        </is>
      </c>
      <c r="C67" s="752" t="inlineStr">
        <is>
          <t>SELECT WORKS</t>
        </is>
      </c>
      <c r="D67" s="735" t="n"/>
      <c r="E67" s="753">
        <f>IF(C67="","",VLOOKUP(C67,CCBASE!$A$53:$D$73,4,FALSE))</f>
        <v/>
      </c>
      <c r="F67" s="754" t="n"/>
      <c r="G67" s="749" t="n"/>
      <c r="H67" s="750" t="n"/>
      <c r="I67" s="755" t="n"/>
      <c r="J67" s="736">
        <f>IF(C67="",0,VLOOKUP(C67,CCBASE!$A$53:$C$73,2,FALSE))</f>
        <v/>
      </c>
      <c r="K67" s="737">
        <f>J67*D67</f>
        <v/>
      </c>
      <c r="L67" s="738" t="n">
        <v>0.44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731" t="inlineStr">
        <is>
          <t>SPECIAL WORKS</t>
        </is>
      </c>
      <c r="C68" s="752" t="inlineStr">
        <is>
          <t>SELECT WORKS</t>
        </is>
      </c>
      <c r="D68" s="735" t="n"/>
      <c r="E68" s="753">
        <f>IF(C68="","",VLOOKUP(C68,CCBASE!$A$53:$D$73,4,FALSE))</f>
        <v/>
      </c>
      <c r="F68" s="754" t="n"/>
      <c r="G68" s="749" t="n"/>
      <c r="H68" s="750" t="n"/>
      <c r="I68" s="755" t="n"/>
      <c r="J68" s="736">
        <f>IF(C68="",0,VLOOKUP(C68,CCBASE!$A$53:$C$73,2,FALSE))</f>
        <v/>
      </c>
      <c r="K68" s="737">
        <f>J68*D68</f>
        <v/>
      </c>
      <c r="L68" s="738" t="n">
        <v>0.44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978" t="inlineStr">
        <is>
          <t>SPECIAL WORKS</t>
        </is>
      </c>
      <c r="C69" s="979" t="inlineStr">
        <is>
          <t>BIM/ REVIT per CANOPY</t>
        </is>
      </c>
      <c r="D69" s="980" t="n"/>
      <c r="E69" s="981">
        <f>IF(C69="","",VLOOKUP(C69,CCBASE!$A$53:$D$73,4,FALSE))</f>
        <v/>
      </c>
      <c r="F69" s="982" t="n"/>
      <c r="G69" s="977" t="n"/>
      <c r="H69" s="983" t="n"/>
      <c r="I69" s="984" t="n"/>
      <c r="J69" s="985">
        <f>IF(C69="",0,VLOOKUP(C69,CCBASE!$A$53:$C$73,2,FALSE))</f>
        <v/>
      </c>
      <c r="K69" s="986">
        <f>J69*D69</f>
        <v/>
      </c>
      <c r="L69" s="987" t="n">
        <v>0.44</v>
      </c>
      <c r="M69" s="988">
        <f>K69/(1-L69)*(1+$C$9)</f>
        <v/>
      </c>
      <c r="N69" s="986">
        <f>M69*VLOOKUP($B$9,'Base Costs'!$A$32:$B$37,2,FALSE)</f>
        <v/>
      </c>
      <c r="O69" s="989">
        <f>M69-K69</f>
        <v/>
      </c>
      <c r="P69" s="990" t="inlineStr">
        <is>
          <t>always include</t>
        </is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IF(NOT(ISBLANK(C70)), ROUNDUP(F65/1000,0), 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>
        <f>IF(ISNA(D74),0,(VLOOKUP(D74,'Base Costs'!$Q$4:$R$13,2,FALSE)))</f>
        <v/>
      </c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68">
        <f>N80-N87</f>
        <v/>
      </c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731" t="inlineStr">
        <is>
          <t>SPECIAL WORKS</t>
        </is>
      </c>
      <c r="C84" s="752" t="inlineStr">
        <is>
          <t>SELECT WORKS</t>
        </is>
      </c>
      <c r="D84" s="735" t="n"/>
      <c r="E84" s="753">
        <f>IF(C84="","",VLOOKUP(C84,CCBASE!$A$53:$D$73,4,FALSE))</f>
        <v/>
      </c>
      <c r="F84" s="754" t="n"/>
      <c r="G84" s="749" t="n"/>
      <c r="H84" s="750" t="n"/>
      <c r="I84" s="755" t="n"/>
      <c r="J84" s="736">
        <f>IF(C84="",0,VLOOKUP(C84,CCBASE!$A$53:$C$73,2,FALSE))</f>
        <v/>
      </c>
      <c r="K84" s="737">
        <f>J84*D84</f>
        <v/>
      </c>
      <c r="L84" s="738" t="n">
        <v>0.44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SPECIAL WORKS</t>
        </is>
      </c>
      <c r="C85" s="752" t="inlineStr">
        <is>
          <t>SELECT WORKS</t>
        </is>
      </c>
      <c r="D85" s="735" t="n"/>
      <c r="E85" s="753">
        <f>IF(C85="","",VLOOKUP(C85,CCBASE!$A$53:$D$73,4,FALSE))</f>
        <v/>
      </c>
      <c r="F85" s="754" t="n"/>
      <c r="G85" s="749" t="n"/>
      <c r="H85" s="750" t="n"/>
      <c r="I85" s="755" t="n"/>
      <c r="J85" s="736">
        <f>IF(C85="",0,VLOOKUP(C85,CCBASE!$A$53:$C$73,2,FALSE))</f>
        <v/>
      </c>
      <c r="K85" s="737">
        <f>J85*D85</f>
        <v/>
      </c>
      <c r="L85" s="738" t="n">
        <v>0.44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978" t="inlineStr">
        <is>
          <t>SPECIAL WORKS</t>
        </is>
      </c>
      <c r="C86" s="979" t="inlineStr">
        <is>
          <t>BIM/ REVIT per CANOPY</t>
        </is>
      </c>
      <c r="D86" s="980" t="n"/>
      <c r="E86" s="981">
        <f>IF(C86="","",VLOOKUP(C86,CCBASE!$A$53:$D$73,4,FALSE))</f>
        <v/>
      </c>
      <c r="F86" s="982" t="n"/>
      <c r="G86" s="977" t="n"/>
      <c r="H86" s="983" t="n"/>
      <c r="I86" s="984" t="n"/>
      <c r="J86" s="985">
        <f>IF(C86="",0,VLOOKUP(C86,CCBASE!$A$53:$C$73,2,FALSE))</f>
        <v/>
      </c>
      <c r="K86" s="986">
        <f>J86*D86</f>
        <v/>
      </c>
      <c r="L86" s="987" t="n">
        <v>0.44</v>
      </c>
      <c r="M86" s="988">
        <f>K86/(1-L86)*(1+$C$9)</f>
        <v/>
      </c>
      <c r="N86" s="986">
        <f>M86*VLOOKUP($B$9,'Base Costs'!$A$32:$B$37,2,FALSE)</f>
        <v/>
      </c>
      <c r="O86" s="989">
        <f>M86-K86</f>
        <v/>
      </c>
      <c r="P86" s="990" t="inlineStr">
        <is>
          <t>always include</t>
        </is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IF(NOT(ISBLANK(C87)), ROUNDUP(F82/1000,0), 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>
        <f>IF(ISNA(D91),0,(VLOOKUP(D91,'Base Costs'!$Q$4:$R$13,2,FALSE)))</f>
        <v/>
      </c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IF(ISNUMBER(SEARCH("UV",D99)),49.7,71.75)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68">
        <f>N97-N104</f>
        <v/>
      </c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731" t="inlineStr">
        <is>
          <t>SPECIAL WORKS</t>
        </is>
      </c>
      <c r="C101" s="752" t="inlineStr">
        <is>
          <t>SELECT WORKS</t>
        </is>
      </c>
      <c r="D101" s="735" t="n"/>
      <c r="E101" s="753">
        <f>IF(C101="","",VLOOKUP(C101,CCBASE!$A$53:$D$73,4,FALSE))</f>
        <v/>
      </c>
      <c r="F101" s="754" t="n"/>
      <c r="G101" s="749" t="n"/>
      <c r="H101" s="750" t="n"/>
      <c r="I101" s="755" t="n"/>
      <c r="J101" s="736">
        <f>IF(C101="",0,VLOOKUP(C101,CCBASE!$A$53:$C$73,2,FALSE))</f>
        <v/>
      </c>
      <c r="K101" s="737">
        <f>J101*D101</f>
        <v/>
      </c>
      <c r="L101" s="738" t="n">
        <v>0.44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584" t="inlineStr">
        <is>
          <t>SPECIAL WORKS</t>
        </is>
      </c>
      <c r="C102" s="33" t="inlineStr">
        <is>
          <t>SELECT WORKS</t>
        </is>
      </c>
      <c r="D102" s="735" t="n"/>
      <c r="E102" s="753">
        <f>IF(C102="","",VLOOKUP(C102,CCBASE!$A$53:$D$73,4,FALSE))</f>
        <v/>
      </c>
      <c r="F102" s="754" t="n"/>
      <c r="G102" s="749" t="n"/>
      <c r="H102" s="750" t="n"/>
      <c r="I102" s="755" t="n"/>
      <c r="J102" s="736">
        <f>IF(C102="",0,VLOOKUP(C102,CCBASE!$A$53:$C$73,2,FALSE))</f>
        <v/>
      </c>
      <c r="K102" s="737">
        <f>J102*D102</f>
        <v/>
      </c>
      <c r="L102" s="738" t="n">
        <v>0.44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991" t="inlineStr">
        <is>
          <t>SPECIAL WORKS</t>
        </is>
      </c>
      <c r="C103" s="992" t="inlineStr">
        <is>
          <t>BIM/ REVIT per CANOPY</t>
        </is>
      </c>
      <c r="D103" s="980" t="n"/>
      <c r="E103" s="981">
        <f>IF(C103="","",VLOOKUP(C103,CCBASE!$A$53:$D$73,4,FALSE))</f>
        <v/>
      </c>
      <c r="F103" s="982" t="n"/>
      <c r="G103" s="977" t="n"/>
      <c r="H103" s="983" t="n"/>
      <c r="I103" s="984" t="n"/>
      <c r="J103" s="985">
        <f>IF(C103="",0,VLOOKUP(C103,CCBASE!$A$53:$C$73,2,FALSE))</f>
        <v/>
      </c>
      <c r="K103" s="986">
        <f>J103*D103</f>
        <v/>
      </c>
      <c r="L103" s="987" t="n">
        <v>0.44</v>
      </c>
      <c r="M103" s="988">
        <f>K103/(1-L103)*(1+$C$9)</f>
        <v/>
      </c>
      <c r="N103" s="986">
        <f>M103*VLOOKUP($B$9,'Base Costs'!$A$32:$B$37,2,FALSE)</f>
        <v/>
      </c>
      <c r="O103" s="989">
        <f>M103-K103</f>
        <v/>
      </c>
      <c r="P103" s="990" t="inlineStr">
        <is>
          <t>always include</t>
        </is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IF(NOT(ISBLANK(C104)), ROUNDUP(F99/1000,0), 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>
        <f>IF(ISNA(D108),0,(VLOOKUP(D108,'Base Costs'!$Q$4:$R$13,2,FALSE)))</f>
        <v/>
      </c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IF(ISNUMBER(SEARCH("UV",D116)),49.7,71.75)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68">
        <f>N114-N121</f>
        <v/>
      </c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731" t="inlineStr">
        <is>
          <t>SPECIAL WORKS</t>
        </is>
      </c>
      <c r="C118" s="752" t="inlineStr">
        <is>
          <t>SELECT WORKS</t>
        </is>
      </c>
      <c r="D118" s="735" t="n"/>
      <c r="E118" s="753">
        <f>IF(C118="","",VLOOKUP(C118,CCBASE!$A$53:$D$73,4,FALSE))</f>
        <v/>
      </c>
      <c r="F118" s="754" t="n"/>
      <c r="G118" s="749" t="n"/>
      <c r="H118" s="750" t="n"/>
      <c r="I118" s="755" t="n"/>
      <c r="J118" s="736">
        <f>IF(C118="",0,VLOOKUP(C118,CCBASE!$A$53:$C$73,2,FALSE))</f>
        <v/>
      </c>
      <c r="K118" s="737">
        <f>J118*D118</f>
        <v/>
      </c>
      <c r="L118" s="738" t="n">
        <v>0.44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584" t="inlineStr">
        <is>
          <t>SPECIAL WORKS</t>
        </is>
      </c>
      <c r="C119" s="33" t="inlineStr">
        <is>
          <t>SELECT WORKS</t>
        </is>
      </c>
      <c r="D119" s="735" t="n"/>
      <c r="E119" s="753">
        <f>IF(C119="","",VLOOKUP(C119,CCBASE!$A$53:$D$73,4,FALSE))</f>
        <v/>
      </c>
      <c r="F119" s="754" t="n"/>
      <c r="G119" s="749" t="n"/>
      <c r="H119" s="750" t="n"/>
      <c r="I119" s="755" t="n"/>
      <c r="J119" s="736">
        <f>IF(C119="",0,VLOOKUP(C119,CCBASE!$A$53:$C$73,2,FALSE))</f>
        <v/>
      </c>
      <c r="K119" s="737">
        <f>J119*D119</f>
        <v/>
      </c>
      <c r="L119" s="738" t="n">
        <v>0.44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991" t="inlineStr">
        <is>
          <t>SPECIAL WORKS</t>
        </is>
      </c>
      <c r="C120" s="992" t="inlineStr">
        <is>
          <t>BIM/ REVIT per CANOPY</t>
        </is>
      </c>
      <c r="D120" s="980" t="n"/>
      <c r="E120" s="981">
        <f>IF(C120="","",VLOOKUP(C120,CCBASE!$A$53:$D$73,4,FALSE))</f>
        <v/>
      </c>
      <c r="F120" s="982" t="n"/>
      <c r="G120" s="977" t="n"/>
      <c r="H120" s="983" t="n"/>
      <c r="I120" s="984" t="n"/>
      <c r="J120" s="985">
        <f>IF(C120="",0,VLOOKUP(C120,CCBASE!$A$53:$C$73,2,FALSE))</f>
        <v/>
      </c>
      <c r="K120" s="986">
        <f>J120*D120</f>
        <v/>
      </c>
      <c r="L120" s="987" t="n">
        <v>0.44</v>
      </c>
      <c r="M120" s="988">
        <f>K120/(1-L120)*(1+$C$9)</f>
        <v/>
      </c>
      <c r="N120" s="986">
        <f>M120*VLOOKUP($B$9,'Base Costs'!$A$32:$B$37,2,FALSE)</f>
        <v/>
      </c>
      <c r="O120" s="989">
        <f>M120-K120</f>
        <v/>
      </c>
      <c r="P120" s="990" t="inlineStr">
        <is>
          <t>always include</t>
        </is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IF(NOT(ISBLANK(C121)), ROUNDUP(F116/1000,0), 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>
        <f>IF(ISNA(D125),0,(VLOOKUP(D125,'Base Costs'!$Q$4:$R$13,2,FALSE)))</f>
        <v/>
      </c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68">
        <f>N131-N138</f>
        <v/>
      </c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733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731" t="inlineStr">
        <is>
          <t>SPECIAL WORKS</t>
        </is>
      </c>
      <c r="C135" s="752" t="inlineStr">
        <is>
          <t>SELECT WORKS</t>
        </is>
      </c>
      <c r="D135" s="735" t="n"/>
      <c r="E135" s="753">
        <f>IF(C135="","",VLOOKUP(C135,CCBASE!$A$53:$D$73,4,FALSE))</f>
        <v/>
      </c>
      <c r="F135" s="754" t="n"/>
      <c r="G135" s="749" t="n"/>
      <c r="H135" s="750" t="n"/>
      <c r="I135" s="755" t="n"/>
      <c r="J135" s="736">
        <f>IF(C135="",0,VLOOKUP(C135,CCBASE!$A$53:$C$73,2,FALSE))</f>
        <v/>
      </c>
      <c r="K135" s="737">
        <f>J135*D135</f>
        <v/>
      </c>
      <c r="L135" s="738" t="n">
        <v>0.44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584" t="inlineStr">
        <is>
          <t>SPECIAL WORKS</t>
        </is>
      </c>
      <c r="C136" s="33" t="inlineStr">
        <is>
          <t>SELECT WORKS</t>
        </is>
      </c>
      <c r="D136" s="735" t="n"/>
      <c r="E136" s="753">
        <f>IF(C136="","",VLOOKUP(C136,CCBASE!$A$53:$D$73,4,FALSE))</f>
        <v/>
      </c>
      <c r="F136" s="754" t="n"/>
      <c r="G136" s="749" t="n"/>
      <c r="H136" s="750" t="n"/>
      <c r="I136" s="755" t="n"/>
      <c r="J136" s="736">
        <f>IF(C136="",0,VLOOKUP(C136,CCBASE!$A$53:$C$73,2,FALSE))</f>
        <v/>
      </c>
      <c r="K136" s="737">
        <f>J136*D136</f>
        <v/>
      </c>
      <c r="L136" s="738" t="n">
        <v>0.44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991" t="inlineStr">
        <is>
          <t>SPECIAL WORKS</t>
        </is>
      </c>
      <c r="C137" s="992" t="inlineStr">
        <is>
          <t>BIM/ REVIT per CANOPY</t>
        </is>
      </c>
      <c r="D137" s="980" t="n"/>
      <c r="E137" s="981">
        <f>IF(C137="","",VLOOKUP(C137,CCBASE!$A$53:$D$73,4,FALSE))</f>
        <v/>
      </c>
      <c r="F137" s="982" t="n"/>
      <c r="G137" s="977" t="n"/>
      <c r="H137" s="983" t="n"/>
      <c r="I137" s="984" t="n"/>
      <c r="J137" s="985">
        <f>IF(C137="",0,VLOOKUP(C137,CCBASE!$A$53:$C$73,2,FALSE))</f>
        <v/>
      </c>
      <c r="K137" s="986">
        <f>J137*D137</f>
        <v/>
      </c>
      <c r="L137" s="987" t="n">
        <v>0.44</v>
      </c>
      <c r="M137" s="988">
        <f>K137/(1-L137)*(1+$C$9)</f>
        <v/>
      </c>
      <c r="N137" s="986">
        <f>M137*VLOOKUP($B$9,'Base Costs'!$A$32:$B$37,2,FALSE)</f>
        <v/>
      </c>
      <c r="O137" s="989">
        <f>M137-K137</f>
        <v/>
      </c>
      <c r="P137" s="990" t="inlineStr">
        <is>
          <t>always include</t>
        </is>
      </c>
      <c r="S137" s="694" t="n"/>
      <c r="Y137" s="1095" t="n"/>
    </row>
    <row r="138" hidden="1" outlineLevel="1" ht="15" customHeight="1" s="1085">
      <c r="A138" s="666" t="n">
        <v>289</v>
      </c>
      <c r="B138" s="584" t="inlineStr">
        <is>
          <t>WALL CLADDING</t>
        </is>
      </c>
      <c r="C138" s="33" t="inlineStr">
        <is>
          <t>SELECT CLADDING</t>
        </is>
      </c>
      <c r="D138" s="756">
        <f>IF(NOT(ISBLANK(C138)), ROUNDUP(F133/1000,0), 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584" t="inlineStr">
        <is>
          <t>INFILL PANEL</t>
        </is>
      </c>
      <c r="C139" s="752" t="n"/>
      <c r="D139" s="742" t="inlineStr">
        <is>
          <t>m²</t>
        </is>
      </c>
      <c r="E139" s="749" t="n"/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>
        <f>IF(ISNA(D142),0,(VLOOKUP(D142,'Base Costs'!$Q$4:$R$13,2,FALSE)))</f>
        <v/>
      </c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IF(ISNUMBER(SEARCH("UV",D150)),49.7,71.75)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68">
        <f>N148-N155</f>
        <v/>
      </c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731" t="inlineStr">
        <is>
          <t>SPECIAL WORKS</t>
        </is>
      </c>
      <c r="C152" s="752" t="inlineStr">
        <is>
          <t>SELECT WORKS</t>
        </is>
      </c>
      <c r="D152" s="735" t="n"/>
      <c r="E152" s="753">
        <f>IF(C152="","",VLOOKUP(C152,CCBASE!$A$53:$D$73,4,FALSE))</f>
        <v/>
      </c>
      <c r="F152" s="754" t="n"/>
      <c r="G152" s="749" t="n"/>
      <c r="H152" s="750" t="n"/>
      <c r="I152" s="755" t="n"/>
      <c r="J152" s="736">
        <f>IF(C152="",0,VLOOKUP(C152,CCBASE!$A$53:$C$73,2,FALSE))</f>
        <v/>
      </c>
      <c r="K152" s="737">
        <f>J152*D152</f>
        <v/>
      </c>
      <c r="L152" s="738" t="n">
        <v>0.44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584" t="inlineStr">
        <is>
          <t>SPECIAL WORKS</t>
        </is>
      </c>
      <c r="C153" s="33" t="inlineStr">
        <is>
          <t>SELECT WORKS</t>
        </is>
      </c>
      <c r="D153" s="735" t="n"/>
      <c r="E153" s="753">
        <f>IF(C153="","",VLOOKUP(C153,CCBASE!$A$53:$D$73,4,FALSE))</f>
        <v/>
      </c>
      <c r="F153" s="754" t="n"/>
      <c r="G153" s="749" t="n"/>
      <c r="H153" s="750" t="n"/>
      <c r="I153" s="755" t="n"/>
      <c r="J153" s="736">
        <f>IF(C153="",0,VLOOKUP(C153,CCBASE!$A$53:$C$73,2,FALSE))</f>
        <v/>
      </c>
      <c r="K153" s="737">
        <f>J153*D153</f>
        <v/>
      </c>
      <c r="L153" s="738" t="n">
        <v>0.44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991" t="inlineStr">
        <is>
          <t>SPECIAL WORKS</t>
        </is>
      </c>
      <c r="C154" s="992" t="inlineStr">
        <is>
          <t>BIM/ REVIT per CANOPY</t>
        </is>
      </c>
      <c r="D154" s="980" t="n"/>
      <c r="E154" s="981">
        <f>IF(C154="","",VLOOKUP(C154,CCBASE!$A$53:$D$73,4,FALSE))</f>
        <v/>
      </c>
      <c r="F154" s="982" t="n"/>
      <c r="G154" s="977" t="n"/>
      <c r="H154" s="983" t="n"/>
      <c r="I154" s="984" t="n"/>
      <c r="J154" s="985">
        <f>IF(C154="",0,VLOOKUP(C154,CCBASE!$A$53:$C$73,2,FALSE))</f>
        <v/>
      </c>
      <c r="K154" s="986">
        <f>J154*D154</f>
        <v/>
      </c>
      <c r="L154" s="987" t="n">
        <v>0.44</v>
      </c>
      <c r="M154" s="988">
        <f>K154/(1-L154)*(1+$C$9)</f>
        <v/>
      </c>
      <c r="N154" s="986">
        <f>M154*VLOOKUP($B$9,'Base Costs'!$A$32:$B$37,2,FALSE)</f>
        <v/>
      </c>
      <c r="O154" s="989">
        <f>M154-K154</f>
        <v/>
      </c>
      <c r="P154" s="990" t="inlineStr">
        <is>
          <t>always include</t>
        </is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IF(NOT(ISBLANK(C155)), ROUNDUP(F150/1000,0), 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>
        <f>IF(ISNA(D159),0,(VLOOKUP(D159,'Base Costs'!$Q$4:$R$13,2,FALSE)))</f>
        <v/>
      </c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IF(ISNUMBER(SEARCH("UV",D167)),49.7,71.75)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68">
        <f>N165-N172</f>
        <v/>
      </c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731" t="inlineStr">
        <is>
          <t>SPECIAL WORKS</t>
        </is>
      </c>
      <c r="C169" s="752" t="inlineStr">
        <is>
          <t>SELECT WORKS</t>
        </is>
      </c>
      <c r="D169" s="735" t="n"/>
      <c r="E169" s="753">
        <f>IF(C169="","",VLOOKUP(C169,CCBASE!$A$53:$D$73,4,FALSE))</f>
        <v/>
      </c>
      <c r="F169" s="754" t="n"/>
      <c r="G169" s="749" t="n"/>
      <c r="H169" s="750" t="n"/>
      <c r="I169" s="755" t="n"/>
      <c r="J169" s="736">
        <f>IF(C169="",0,VLOOKUP(C169,CCBASE!$A$53:$C$73,2,FALSE))</f>
        <v/>
      </c>
      <c r="K169" s="737">
        <f>J169*D169</f>
        <v/>
      </c>
      <c r="L169" s="738" t="n">
        <v>0.44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584" t="inlineStr">
        <is>
          <t>SPECIAL WORKS</t>
        </is>
      </c>
      <c r="C170" s="33" t="inlineStr">
        <is>
          <t>SELECT WORKS</t>
        </is>
      </c>
      <c r="D170" s="735" t="n"/>
      <c r="E170" s="753">
        <f>IF(C170="","",VLOOKUP(C170,CCBASE!$A$53:$D$73,4,FALSE))</f>
        <v/>
      </c>
      <c r="F170" s="754" t="n"/>
      <c r="G170" s="749" t="n"/>
      <c r="H170" s="750" t="n"/>
      <c r="I170" s="755" t="n"/>
      <c r="J170" s="736">
        <f>IF(C170="",0,VLOOKUP(C170,CCBASE!$A$53:$C$73,2,FALSE))</f>
        <v/>
      </c>
      <c r="K170" s="737">
        <f>J170*D170</f>
        <v/>
      </c>
      <c r="L170" s="738" t="n">
        <v>0.44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991" t="inlineStr">
        <is>
          <t>SPECIAL WORKS</t>
        </is>
      </c>
      <c r="C171" s="992" t="inlineStr">
        <is>
          <t>BIM/ REVIT per CANOPY</t>
        </is>
      </c>
      <c r="D171" s="980" t="n"/>
      <c r="E171" s="981">
        <f>IF(C171="","",VLOOKUP(C171,CCBASE!$A$53:$D$73,4,FALSE))</f>
        <v/>
      </c>
      <c r="F171" s="982" t="n"/>
      <c r="G171" s="977" t="n"/>
      <c r="H171" s="983" t="n"/>
      <c r="I171" s="984" t="n"/>
      <c r="J171" s="985">
        <f>IF(C171="",0,VLOOKUP(C171,CCBASE!$A$53:$C$73,2,FALSE))</f>
        <v/>
      </c>
      <c r="K171" s="986">
        <f>J171*D171</f>
        <v/>
      </c>
      <c r="L171" s="987" t="n">
        <v>0.44</v>
      </c>
      <c r="M171" s="988">
        <f>K171/(1-L171)*(1+$C$9)</f>
        <v/>
      </c>
      <c r="N171" s="986">
        <f>M171*VLOOKUP($B$9,'Base Costs'!$A$32:$B$37,2,FALSE)</f>
        <v/>
      </c>
      <c r="O171" s="989">
        <f>M171-K171</f>
        <v/>
      </c>
      <c r="P171" s="990" t="inlineStr">
        <is>
          <t>always include</t>
        </is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IF(NOT(ISBLANK(C172)), ROUNDUP(F167/1000,0), 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>
        <f>IF(ISNA(D176),0,(VLOOKUP(D176,'Base Costs'!$Q$4:$R$13,2,FALSE)))</f>
        <v/>
      </c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10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P182" s="1068">
        <f>N182-N193</f>
        <v/>
      </c>
      <c r="S182" s="694" t="n"/>
    </row>
    <row r="183" ht="15" customHeight="1" s="1085">
      <c r="A183" s="666" t="n">
        <v>222</v>
      </c>
      <c r="B183" s="589" t="inlineStr">
        <is>
          <t>DELIVERY 1 x 7.5T TAIL LIFT 3200KGS</t>
        </is>
      </c>
      <c r="C183" s="774" t="n"/>
      <c r="D183" s="775" t="inlineStr">
        <is>
          <t>SELECT LOCATION…</t>
        </is>
      </c>
      <c r="E183" s="1111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Q183" s="745" t="n"/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/>
      <c r="D184" s="775" t="inlineStr">
        <is>
          <t>PLANT SELECTION (weekly)</t>
        </is>
      </c>
      <c r="E184" s="1108" t="inlineStr">
        <is>
          <t>Install of 6no Pieces of Canopy Max</t>
        </is>
      </c>
      <c r="G184" s="748" t="n"/>
      <c r="H184" s="748" t="n"/>
      <c r="I184" s="748" t="n"/>
      <c r="J184" s="776">
        <f>VLOOKUP(D184,'Base Costs'!$A$3:$B$15,2,FALSE)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269" t="inlineStr">
        <is>
          <t xml:space="preserve">PLANT HIRE </t>
        </is>
      </c>
      <c r="C185" s="777" t="n"/>
      <c r="D185" s="775" t="inlineStr">
        <is>
          <t>PLANT SELECTION (weekly)</t>
        </is>
      </c>
      <c r="E185" s="1108" t="inlineStr">
        <is>
          <t>Install of 6no Pieces of Canopy Max</t>
        </is>
      </c>
      <c r="G185" s="748" t="n"/>
      <c r="H185" s="748" t="n"/>
      <c r="I185" s="748" t="n"/>
      <c r="J185" s="776">
        <f>VLOOKUP(D185,'Base Costs'!$A$3:$B$15,2,FALSE)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S185" s="694" t="n"/>
    </row>
    <row r="186" ht="15" customHeight="1" s="1085">
      <c r="A186" s="666" t="n">
        <v>222</v>
      </c>
      <c r="B186" s="270" t="n"/>
      <c r="C186" s="946" t="n"/>
      <c r="D186" s="775" t="inlineStr">
        <is>
          <t>SELECT LOCATION…</t>
        </is>
      </c>
      <c r="E186" s="1109" t="n"/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610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>
        <f>ROUNDUP((IF(C14="WALL",(F14/1000),(F14/1000)*2)+IF(C31="WALL",(F31/1000),(F31/1000)*2)+IF(C48="WALL",(F48/1000),(F48/1000)*2)+IF(C65="WALL",(F65/1000),(F65/1000)*2)+IF(C82="WALL",(F82/1000),(F82/1000)*2)+IF(C99="WALL",(F99/1000),(F99/1000)*2)+IF(C116="WALL",(F116/1000),(F116/1000)*2)+IF(C133="WALL",(F133/1000),(F133/1000)*2)+IF(C150="WALL",(F150/1000),(F150/1000)*2)+IF(C167="WALL",(F167/1000),(F167/1000)*2)),0)</f>
        <v/>
      </c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731" t="inlineStr">
        <is>
          <t>INSTALLATION NORMAL HOURS</t>
        </is>
      </c>
      <c r="C189" s="777" t="n"/>
      <c r="D189" s="1102" t="inlineStr">
        <is>
          <t>2 Pieces = 1 Day, 4 Pieces = 1.5 Days, 6 Pieces = 2 Days, 8 Pieces = 2.5 Days (1 Section up to 3m long equals 2 Pieces) + logistics</t>
        </is>
      </c>
      <c r="J189" s="776" t="n">
        <v>610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S189" s="694" t="n"/>
    </row>
    <row r="190" ht="15" customHeight="1" s="1085">
      <c r="A190" s="666" t="n">
        <v>400</v>
      </c>
      <c r="B190" s="731" t="inlineStr">
        <is>
          <t>INSTALLATION AFTER HOURS</t>
        </is>
      </c>
      <c r="C190" s="777" t="n"/>
      <c r="D190" s="1102" t="inlineStr">
        <is>
          <t>2 Pieces = 1 Day, 4 Pieces = 1.5 Days, 6 Pieces = 2 Days, 8 Pieces = 2.5 Days (1 Section up to 3m long equals 2 Pieces) + logistics</t>
        </is>
      </c>
      <c r="J190" s="776" t="n">
        <v>1220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610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220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15" t="inlineStr">
        <is>
          <t>ONE Engineer,  1 day per 4no UV or W/W Sections of Canopy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9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09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20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2">
    <mergeCell ref="B203:O203"/>
    <mergeCell ref="H91:I91"/>
    <mergeCell ref="D189:I189"/>
    <mergeCell ref="E121:F121"/>
    <mergeCell ref="H38:I38"/>
    <mergeCell ref="H125:I125"/>
    <mergeCell ref="B200:O200"/>
    <mergeCell ref="G186:I186"/>
    <mergeCell ref="D194:F194"/>
    <mergeCell ref="C5:D5"/>
    <mergeCell ref="H141:I141"/>
    <mergeCell ref="E185:F185"/>
    <mergeCell ref="D197:F197"/>
    <mergeCell ref="B182:G182"/>
    <mergeCell ref="B202:O202"/>
    <mergeCell ref="H55:I55"/>
    <mergeCell ref="H40:I40"/>
    <mergeCell ref="H74:I74"/>
    <mergeCell ref="H176:I176"/>
    <mergeCell ref="H56:I56"/>
    <mergeCell ref="P7:R7"/>
    <mergeCell ref="E35:F35"/>
    <mergeCell ref="H39:I39"/>
    <mergeCell ref="E87:F87"/>
    <mergeCell ref="G9:J9"/>
    <mergeCell ref="H21:I21"/>
    <mergeCell ref="H73:I73"/>
    <mergeCell ref="H157:I157"/>
    <mergeCell ref="D195:E195"/>
    <mergeCell ref="D193:F193"/>
    <mergeCell ref="E138:F138"/>
    <mergeCell ref="E19:F19"/>
    <mergeCell ref="H142:I142"/>
    <mergeCell ref="E155:F155"/>
    <mergeCell ref="H89:I89"/>
    <mergeCell ref="H123:I123"/>
    <mergeCell ref="G5:J5"/>
    <mergeCell ref="B1:C1"/>
    <mergeCell ref="E9:F9"/>
    <mergeCell ref="H108:I108"/>
    <mergeCell ref="H106:I106"/>
    <mergeCell ref="E186:F186"/>
    <mergeCell ref="G183:I183"/>
    <mergeCell ref="E104:F104"/>
    <mergeCell ref="H72:I72"/>
    <mergeCell ref="H174:I174"/>
    <mergeCell ref="H90:I90"/>
    <mergeCell ref="B205:O205"/>
    <mergeCell ref="H57:I57"/>
    <mergeCell ref="G7:J7"/>
    <mergeCell ref="H159:I159"/>
    <mergeCell ref="E36:F36"/>
    <mergeCell ref="H22:I22"/>
    <mergeCell ref="E70:F70"/>
    <mergeCell ref="H140:I140"/>
    <mergeCell ref="H158:I158"/>
    <mergeCell ref="D196:E196"/>
    <mergeCell ref="E172:F172"/>
    <mergeCell ref="C7:D7"/>
    <mergeCell ref="D190:I190"/>
    <mergeCell ref="G3:J3"/>
    <mergeCell ref="E183:F183"/>
    <mergeCell ref="H124:I124"/>
    <mergeCell ref="B201:O201"/>
    <mergeCell ref="E184:F184"/>
    <mergeCell ref="H107:I107"/>
    <mergeCell ref="E53:F53"/>
    <mergeCell ref="B204:O204"/>
    <mergeCell ref="H23:I23"/>
    <mergeCell ref="C3:D3"/>
    <mergeCell ref="P5:T5"/>
    <mergeCell ref="H175:I175"/>
  </mergeCells>
  <conditionalFormatting sqref="B9">
    <cfRule type="containsText" priority="663" operator="containsText" dxfId="680" text="SELECT">
      <formula>NOT(ISERROR(SEARCH("SELECT",B9)))</formula>
    </cfRule>
    <cfRule type="expression" priority="664" dxfId="680">
      <formula>B9="CURRENCY"</formula>
    </cfRule>
  </conditionalFormatting>
  <conditionalFormatting sqref="B11">
    <cfRule type="expression" priority="626" dxfId="637">
      <formula>$B11&lt;&gt;""</formula>
    </cfRule>
  </conditionalFormatting>
  <conditionalFormatting sqref="B14:B23">
    <cfRule type="expression" priority="618" dxfId="633">
      <formula>$J14&gt;0</formula>
    </cfRule>
  </conditionalFormatting>
  <conditionalFormatting sqref="B24">
    <cfRule type="expression" priority="615" dxfId="633">
      <formula>ISNUMBER(SEARCH("UV",$D14))</formula>
    </cfRule>
    <cfRule type="expression" priority="616" dxfId="358">
      <formula>($D14="CANOPY TYPE")</formula>
    </cfRule>
  </conditionalFormatting>
  <conditionalFormatting sqref="B25:B27">
    <cfRule type="expression" priority="443" dxfId="633">
      <formula>$J25&gt;0</formula>
    </cfRule>
  </conditionalFormatting>
  <conditionalFormatting sqref="B28">
    <cfRule type="expression" priority="624" dxfId="637">
      <formula>$B28&lt;&gt;""</formula>
    </cfRule>
  </conditionalFormatting>
  <conditionalFormatting sqref="B31:B40">
    <cfRule type="expression" priority="388" dxfId="633">
      <formula>$J31&gt;0</formula>
    </cfRule>
  </conditionalFormatting>
  <conditionalFormatting sqref="B41">
    <cfRule type="expression" priority="583" dxfId="633">
      <formula>ISNUMBER(SEARCH("UV",$D31))</formula>
    </cfRule>
    <cfRule type="expression" priority="584" dxfId="358">
      <formula>($D31="CANOPY TYPE")</formula>
    </cfRule>
  </conditionalFormatting>
  <conditionalFormatting sqref="B42:B44">
    <cfRule type="expression" priority="585" dxfId="633">
      <formula>$J42&gt;0</formula>
    </cfRule>
  </conditionalFormatting>
  <conditionalFormatting sqref="B45">
    <cfRule type="expression" priority="623" dxfId="637">
      <formula>$B45&lt;&gt;""</formula>
    </cfRule>
  </conditionalFormatting>
  <conditionalFormatting sqref="B48:B57">
    <cfRule type="expression" priority="103" dxfId="633">
      <formula>$J48&gt;0</formula>
    </cfRule>
  </conditionalFormatting>
  <conditionalFormatting sqref="B58">
    <cfRule type="expression" priority="557" dxfId="358">
      <formula>($D48="CANOPY TYPE")</formula>
    </cfRule>
    <cfRule type="expression" priority="556" dxfId="633">
      <formula>ISNUMBER(SEARCH("UV",$D48))</formula>
    </cfRule>
  </conditionalFormatting>
  <conditionalFormatting sqref="B59:B61">
    <cfRule type="expression" priority="442" dxfId="633">
      <formula>$J59&gt;0</formula>
    </cfRule>
  </conditionalFormatting>
  <conditionalFormatting sqref="B62">
    <cfRule type="expression" priority="622" dxfId="637">
      <formula>$B62&lt;&gt;""</formula>
    </cfRule>
  </conditionalFormatting>
  <conditionalFormatting sqref="B65:B74">
    <cfRule type="expression" priority="89" dxfId="633">
      <formula>$J65&gt;0</formula>
    </cfRule>
  </conditionalFormatting>
  <conditionalFormatting sqref="B75">
    <cfRule type="expression" priority="528" dxfId="633">
      <formula>ISNUMBER(SEARCH("UV",$D65))</formula>
    </cfRule>
    <cfRule type="expression" priority="529" dxfId="358">
      <formula>($D65="CANOPY TYPE")</formula>
    </cfRule>
  </conditionalFormatting>
  <conditionalFormatting sqref="B76:B78">
    <cfRule type="expression" priority="441" dxfId="633">
      <formula>$J76&gt;0</formula>
    </cfRule>
  </conditionalFormatting>
  <conditionalFormatting sqref="B79">
    <cfRule type="expression" priority="621" dxfId="637">
      <formula>$B79&lt;&gt;""</formula>
    </cfRule>
  </conditionalFormatting>
  <conditionalFormatting sqref="B82:B91">
    <cfRule type="expression" priority="75" dxfId="633">
      <formula>$J82&gt;0</formula>
    </cfRule>
  </conditionalFormatting>
  <conditionalFormatting sqref="B92">
    <cfRule type="expression" priority="499" dxfId="633">
      <formula>ISNUMBER(SEARCH("UV",$D82))</formula>
    </cfRule>
    <cfRule type="expression" priority="500" dxfId="358">
      <formula>($D82="CANOPY TYPE")</formula>
    </cfRule>
  </conditionalFormatting>
  <conditionalFormatting sqref="B93:B95">
    <cfRule type="expression" priority="440" dxfId="633">
      <formula>$J93&gt;0</formula>
    </cfRule>
  </conditionalFormatting>
  <conditionalFormatting sqref="B96">
    <cfRule type="expression" priority="620" dxfId="637">
      <formula>$B96&lt;&gt;""</formula>
    </cfRule>
  </conditionalFormatting>
  <conditionalFormatting sqref="B99:B108">
    <cfRule type="expression" priority="61" dxfId="633">
      <formula>$J99&gt;0</formula>
    </cfRule>
  </conditionalFormatting>
  <conditionalFormatting sqref="B109">
    <cfRule type="expression" priority="472" dxfId="358">
      <formula>($D99="CANOPY TYPE")</formula>
    </cfRule>
    <cfRule type="expression" priority="471" dxfId="633">
      <formula>ISNUMBER(SEARCH("UV",$D99))</formula>
    </cfRule>
  </conditionalFormatting>
  <conditionalFormatting sqref="B110:B112 B127:B129 B144:B146 B161:B163 B178:B180">
    <cfRule type="expression" priority="439" dxfId="633">
      <formula>$J110&gt;0</formula>
    </cfRule>
  </conditionalFormatting>
  <conditionalFormatting sqref="B113">
    <cfRule type="expression" priority="320" dxfId="637">
      <formula>$B113&lt;&gt;""</formula>
    </cfRule>
  </conditionalFormatting>
  <conditionalFormatting sqref="B116:B125">
    <cfRule type="expression" priority="47" dxfId="633">
      <formula>$J116&gt;0</formula>
    </cfRule>
  </conditionalFormatting>
  <conditionalFormatting sqref="B126">
    <cfRule type="expression" priority="295" dxfId="633">
      <formula>ISNUMBER(SEARCH("UV",$D116))</formula>
    </cfRule>
    <cfRule type="expression" priority="296" dxfId="358">
      <formula>($D116="CANOPY TYPE")</formula>
    </cfRule>
  </conditionalFormatting>
  <conditionalFormatting sqref="B130">
    <cfRule type="expression" priority="265" dxfId="637">
      <formula>$B130&lt;&gt;""</formula>
    </cfRule>
  </conditionalFormatting>
  <conditionalFormatting sqref="B133:B142">
    <cfRule type="expression" priority="33" dxfId="633">
      <formula>$J133&gt;0</formula>
    </cfRule>
  </conditionalFormatting>
  <conditionalFormatting sqref="B143">
    <cfRule type="expression" priority="241" dxfId="358">
      <formula>($D133="CANOPY TYPE")</formula>
    </cfRule>
    <cfRule type="expression" priority="240" dxfId="633">
      <formula>ISNUMBER(SEARCH("UV",$D133))</formula>
    </cfRule>
  </conditionalFormatting>
  <conditionalFormatting sqref="B147">
    <cfRule type="expression" priority="214" dxfId="637">
      <formula>$B147&lt;&gt;""</formula>
    </cfRule>
  </conditionalFormatting>
  <conditionalFormatting sqref="B150:B159">
    <cfRule type="expression" priority="19" dxfId="633">
      <formula>$J150&gt;0</formula>
    </cfRule>
  </conditionalFormatting>
  <conditionalFormatting sqref="B160">
    <cfRule type="expression" priority="190" dxfId="358">
      <formula>($D150="CANOPY TYPE")</formula>
    </cfRule>
    <cfRule type="expression" priority="189" dxfId="633">
      <formula>ISNUMBER(SEARCH("UV",$D150))</formula>
    </cfRule>
  </conditionalFormatting>
  <conditionalFormatting sqref="B164">
    <cfRule type="expression" priority="163" dxfId="637">
      <formula>$B164&lt;&gt;""</formula>
    </cfRule>
  </conditionalFormatting>
  <conditionalFormatting sqref="B167:B176">
    <cfRule type="expression" priority="5" dxfId="633">
      <formula>$J167&gt;0</formula>
    </cfRule>
  </conditionalFormatting>
  <conditionalFormatting sqref="B177">
    <cfRule type="expression" priority="138" dxfId="633">
      <formula>ISNUMBER(SEARCH("UV",$D167))</formula>
    </cfRule>
    <cfRule type="expression" priority="139" dxfId="358">
      <formula>($D167="CANOPY TYPE")</formula>
    </cfRule>
  </conditionalFormatting>
  <conditionalFormatting sqref="B183:B197">
    <cfRule type="expression" priority="617" dxfId="633">
      <formula>$C183&gt;0</formula>
    </cfRule>
  </conditionalFormatting>
  <conditionalFormatting sqref="C14">
    <cfRule type="containsText" priority="429" operator="containsText" dxfId="204" text="CONFIG">
      <formula>NOT(ISERROR(SEARCH("CONFIG",C14)))</formula>
    </cfRule>
  </conditionalFormatting>
  <conditionalFormatting sqref="C15">
    <cfRule type="containsText" priority="434" operator="containsText" dxfId="561" text="LIGHT SELECTION">
      <formula>NOT(ISERROR(SEARCH("LIGHT SELECTION",C15)))</formula>
    </cfRule>
  </conditionalFormatting>
  <conditionalFormatting sqref="C20:C21">
    <cfRule type="cellIs" priority="669" operator="lessThan" dxfId="561">
      <formula>1</formula>
    </cfRule>
  </conditionalFormatting>
  <conditionalFormatting sqref="C22:C23">
    <cfRule type="expression" priority="409" dxfId="383">
      <formula>D22="WW PODS"</formula>
    </cfRule>
  </conditionalFormatting>
  <conditionalFormatting sqref="C24">
    <cfRule type="expression" priority="686" dxfId="559">
      <formula>ISNUMBER(SEARCH("UV",D14))</formula>
    </cfRule>
  </conditionalFormatting>
  <conditionalFormatting sqref="C25">
    <cfRule type="expression" priority="651" dxfId="472">
      <formula>(ISNUMBER(SEARCH("CMW",D14)))=TRUE</formula>
    </cfRule>
  </conditionalFormatting>
  <conditionalFormatting sqref="C26">
    <cfRule type="expression" priority="650" dxfId="472">
      <formula>(ISNUMBER(SEARCH("CMW",D14)))=TRUE</formula>
    </cfRule>
  </conditionalFormatting>
  <conditionalFormatting sqref="C27">
    <cfRule type="expression" priority="619" dxfId="472">
      <formula>(ISNUMBER(SEARCH("CMW",$D14)))=TRUE</formula>
    </cfRule>
  </conditionalFormatting>
  <conditionalFormatting sqref="C31">
    <cfRule type="containsText" priority="594" operator="containsText" dxfId="204" text="CONFIG">
      <formula>NOT(ISERROR(SEARCH("CONFIG",C31)))</formula>
    </cfRule>
  </conditionalFormatting>
  <conditionalFormatting sqref="C32">
    <cfRule type="containsText" priority="436" operator="containsText" dxfId="561" text="LIGHT SELECTION">
      <formula>NOT(ISERROR(SEARCH("LIGHT SELECTION",C32)))</formula>
    </cfRule>
  </conditionalFormatting>
  <conditionalFormatting sqref="C37:C38">
    <cfRule type="cellIs" priority="593" operator="lessThan" dxfId="561">
      <formula>1</formula>
    </cfRule>
  </conditionalFormatting>
  <conditionalFormatting sqref="C39:C40">
    <cfRule type="expression" priority="387" dxfId="383">
      <formula>D39="WW PODS"</formula>
    </cfRule>
  </conditionalFormatting>
  <conditionalFormatting sqref="C41">
    <cfRule type="expression" priority="608" dxfId="559">
      <formula>ISNUMBER(SEARCH("UV",D31))</formula>
    </cfRule>
  </conditionalFormatting>
  <conditionalFormatting sqref="C42">
    <cfRule type="expression" priority="591" dxfId="472">
      <formula>(ISNUMBER(SEARCH("CMW",D31)))=TRUE</formula>
    </cfRule>
  </conditionalFormatting>
  <conditionalFormatting sqref="C43">
    <cfRule type="expression" priority="468" dxfId="472">
      <formula>(ISNUMBER(SEARCH("CMW",D31)))=TRUE</formula>
    </cfRule>
  </conditionalFormatting>
  <conditionalFormatting sqref="C44">
    <cfRule type="expression" priority="586" dxfId="472">
      <formula>(ISNUMBER(SEARCH("CMW",$D31)))=TRUE</formula>
    </cfRule>
  </conditionalFormatting>
  <conditionalFormatting sqref="C48">
    <cfRule type="containsText" priority="563" operator="containsText" dxfId="204" text="CONFIG">
      <formula>NOT(ISERROR(SEARCH("CONFIG",C48)))</formula>
    </cfRule>
  </conditionalFormatting>
  <conditionalFormatting sqref="C49">
    <cfRule type="containsText" priority="433" operator="containsText" dxfId="561" text="LIGHT SELECTION">
      <formula>NOT(ISERROR(SEARCH("LIGHT SELECTION",C49)))</formula>
    </cfRule>
  </conditionalFormatting>
  <conditionalFormatting sqref="C54:C55">
    <cfRule type="cellIs" priority="562" operator="lessThan" dxfId="561">
      <formula>1</formula>
    </cfRule>
  </conditionalFormatting>
  <conditionalFormatting sqref="C56:C57">
    <cfRule type="expression" priority="368" dxfId="383">
      <formula>D56="WW PODS"</formula>
    </cfRule>
  </conditionalFormatting>
  <conditionalFormatting sqref="C58">
    <cfRule type="expression" priority="576" dxfId="559">
      <formula>ISNUMBER(SEARCH("UV",D48))</formula>
    </cfRule>
  </conditionalFormatting>
  <conditionalFormatting sqref="C59">
    <cfRule type="expression" priority="560" dxfId="472">
      <formula>(ISNUMBER(SEARCH("CMW",D48)))=TRUE</formula>
    </cfRule>
  </conditionalFormatting>
  <conditionalFormatting sqref="C60">
    <cfRule type="expression" priority="467" dxfId="472">
      <formula>(ISNUMBER(SEARCH("CMW",D48)))=TRUE</formula>
    </cfRule>
  </conditionalFormatting>
  <conditionalFormatting sqref="C61">
    <cfRule type="expression" priority="558" dxfId="472">
      <formula>(ISNUMBER(SEARCH("CMW",$D48)))=TRUE</formula>
    </cfRule>
  </conditionalFormatting>
  <conditionalFormatting sqref="C65">
    <cfRule type="containsText" priority="536" operator="containsText" dxfId="204" text="CONFIG">
      <formula>NOT(ISERROR(SEARCH("CONFIG",C65)))</formula>
    </cfRule>
  </conditionalFormatting>
  <conditionalFormatting sqref="C66">
    <cfRule type="containsText" priority="432" operator="containsText" dxfId="561" text="LIGHT SELECTION">
      <formula>NOT(ISERROR(SEARCH("LIGHT SELECTION",C66)))</formula>
    </cfRule>
  </conditionalFormatting>
  <conditionalFormatting sqref="C71:C72">
    <cfRule type="cellIs" priority="535" operator="lessThan" dxfId="561">
      <formula>1</formula>
    </cfRule>
  </conditionalFormatting>
  <conditionalFormatting sqref="C73:C74">
    <cfRule type="expression" priority="353" dxfId="383">
      <formula>D73="WW PODS"</formula>
    </cfRule>
  </conditionalFormatting>
  <conditionalFormatting sqref="C75">
    <cfRule type="expression" priority="549" dxfId="559">
      <formula>ISNUMBER(SEARCH("UV",D65))</formula>
    </cfRule>
  </conditionalFormatting>
  <conditionalFormatting sqref="C76">
    <cfRule type="expression" priority="532" dxfId="472">
      <formula>(ISNUMBER(SEARCH("CMW",D65)))=TRUE</formula>
    </cfRule>
  </conditionalFormatting>
  <conditionalFormatting sqref="C77">
    <cfRule type="expression" priority="466" dxfId="472">
      <formula>(ISNUMBER(SEARCH("CMW",D65)))=TRUE</formula>
    </cfRule>
  </conditionalFormatting>
  <conditionalFormatting sqref="C78">
    <cfRule type="expression" priority="530" dxfId="472">
      <formula>(ISNUMBER(SEARCH("CMW",$D65)))=TRUE</formula>
    </cfRule>
  </conditionalFormatting>
  <conditionalFormatting sqref="C82">
    <cfRule type="containsText" priority="507" operator="containsText" dxfId="204" text="CONFIG">
      <formula>NOT(ISERROR(SEARCH("CONFIG",C82)))</formula>
    </cfRule>
  </conditionalFormatting>
  <conditionalFormatting sqref="C83">
    <cfRule type="containsText" priority="431" operator="containsText" dxfId="561" text="LIGHT SELECTION">
      <formula>NOT(ISERROR(SEARCH("LIGHT SELECTION",C83)))</formula>
    </cfRule>
  </conditionalFormatting>
  <conditionalFormatting sqref="C88:C89">
    <cfRule type="cellIs" priority="506" operator="lessThan" dxfId="561">
      <formula>1</formula>
    </cfRule>
  </conditionalFormatting>
  <conditionalFormatting sqref="C90:C91">
    <cfRule type="expression" priority="338" dxfId="383">
      <formula>D90="WW PODS"</formula>
    </cfRule>
  </conditionalFormatting>
  <conditionalFormatting sqref="C92">
    <cfRule type="expression" priority="521" dxfId="559">
      <formula>ISNUMBER(SEARCH("UV",D82))</formula>
    </cfRule>
  </conditionalFormatting>
  <conditionalFormatting sqref="C93">
    <cfRule type="expression" priority="503" dxfId="472">
      <formula>(ISNUMBER(SEARCH("CMW",D82)))=TRUE</formula>
    </cfRule>
  </conditionalFormatting>
  <conditionalFormatting sqref="C94">
    <cfRule type="expression" priority="465" dxfId="472">
      <formula>(ISNUMBER(SEARCH("CMW",D82)))=TRUE</formula>
    </cfRule>
  </conditionalFormatting>
  <conditionalFormatting sqref="C95">
    <cfRule type="expression" priority="501" dxfId="472">
      <formula>(ISNUMBER(SEARCH("CMW",$D82)))=TRUE</formula>
    </cfRule>
  </conditionalFormatting>
  <conditionalFormatting sqref="C99">
    <cfRule type="containsText" priority="478" operator="containsText" dxfId="204" text="CONFIG">
      <formula>NOT(ISERROR(SEARCH("CONFIG",C99)))</formula>
    </cfRule>
  </conditionalFormatting>
  <conditionalFormatting sqref="C100">
    <cfRule type="containsText" priority="430" operator="containsText" dxfId="561" text="LIGHT SELECTION">
      <formula>NOT(ISERROR(SEARCH("LIGHT SELECTION",C100)))</formula>
    </cfRule>
  </conditionalFormatting>
  <conditionalFormatting sqref="C105:C106">
    <cfRule type="cellIs" priority="477" operator="lessThan" dxfId="561">
      <formula>1</formula>
    </cfRule>
  </conditionalFormatting>
  <conditionalFormatting sqref="C107:C108">
    <cfRule type="expression" priority="323" dxfId="383">
      <formula>D107="WW PODS"</formula>
    </cfRule>
  </conditionalFormatting>
  <conditionalFormatting sqref="C109">
    <cfRule type="expression" priority="492" dxfId="559">
      <formula>ISNUMBER(SEARCH("UV",D99))</formula>
    </cfRule>
  </conditionalFormatting>
  <conditionalFormatting sqref="C110">
    <cfRule type="expression" priority="475" dxfId="472">
      <formula>(ISNUMBER(SEARCH("CMW",D99)))=TRUE</formula>
    </cfRule>
  </conditionalFormatting>
  <conditionalFormatting sqref="C111">
    <cfRule type="expression" priority="464" dxfId="472">
      <formula>(ISNUMBER(SEARCH("CMW",D99)))=TRUE</formula>
    </cfRule>
  </conditionalFormatting>
  <conditionalFormatting sqref="C112 C129 C146 C163 C180">
    <cfRule type="expression" priority="473" dxfId="472">
      <formula>(ISNUMBER(SEARCH("CMW",$D99)))=TRUE</formula>
    </cfRule>
  </conditionalFormatting>
  <conditionalFormatting sqref="C116">
    <cfRule type="containsText" priority="301" operator="containsText" dxfId="204" text="CONFIG">
      <formula>NOT(ISERROR(SEARCH("CONFIG",C116)))</formula>
    </cfRule>
  </conditionalFormatting>
  <conditionalFormatting sqref="C117">
    <cfRule type="containsText" priority="288" operator="containsText" dxfId="561" text="LIGHT SELECTION">
      <formula>NOT(ISERROR(SEARCH("LIGHT SELECTION",C117)))</formula>
    </cfRule>
  </conditionalFormatting>
  <conditionalFormatting sqref="C122:C123">
    <cfRule type="cellIs" priority="300" operator="lessThan" dxfId="561">
      <formula>1</formula>
    </cfRule>
  </conditionalFormatting>
  <conditionalFormatting sqref="C124:C125">
    <cfRule type="expression" priority="272" dxfId="383">
      <formula>D124="WW PODS"</formula>
    </cfRule>
  </conditionalFormatting>
  <conditionalFormatting sqref="C126">
    <cfRule type="expression" priority="315" dxfId="559">
      <formula>ISNUMBER(SEARCH("UV",D116))</formula>
    </cfRule>
  </conditionalFormatting>
  <conditionalFormatting sqref="C127">
    <cfRule type="expression" priority="298" dxfId="472">
      <formula>(ISNUMBER(SEARCH("CMW",D116)))=TRUE</formula>
    </cfRule>
  </conditionalFormatting>
  <conditionalFormatting sqref="C128">
    <cfRule type="expression" priority="293" dxfId="472">
      <formula>(ISNUMBER(SEARCH("CMW",D116)))=TRUE</formula>
    </cfRule>
  </conditionalFormatting>
  <conditionalFormatting sqref="C133">
    <cfRule type="containsText" priority="246" operator="containsText" dxfId="204" text="CONFIG">
      <formula>NOT(ISERROR(SEARCH("CONFIG",C133)))</formula>
    </cfRule>
  </conditionalFormatting>
  <conditionalFormatting sqref="C134">
    <cfRule type="containsText" priority="233" operator="containsText" dxfId="561" text="LIGHT SELECTION">
      <formula>NOT(ISERROR(SEARCH("LIGHT SELECTION",C134)))</formula>
    </cfRule>
  </conditionalFormatting>
  <conditionalFormatting sqref="C139:C140">
    <cfRule type="cellIs" priority="245" operator="lessThan" dxfId="561">
      <formula>1</formula>
    </cfRule>
  </conditionalFormatting>
  <conditionalFormatting sqref="C141:C142">
    <cfRule type="expression" priority="217" dxfId="383">
      <formula>D141="WW PODS"</formula>
    </cfRule>
  </conditionalFormatting>
  <conditionalFormatting sqref="C143">
    <cfRule type="expression" priority="260" dxfId="559">
      <formula>ISNUMBER(SEARCH("UV",D133))</formula>
    </cfRule>
  </conditionalFormatting>
  <conditionalFormatting sqref="C144">
    <cfRule type="expression" priority="243" dxfId="472">
      <formula>(ISNUMBER(SEARCH("CMW",D133)))=TRUE</formula>
    </cfRule>
  </conditionalFormatting>
  <conditionalFormatting sqref="C145">
    <cfRule type="expression" priority="238" dxfId="472">
      <formula>(ISNUMBER(SEARCH("CMW",D133)))=TRUE</formula>
    </cfRule>
  </conditionalFormatting>
  <conditionalFormatting sqref="C150">
    <cfRule type="containsText" priority="195" operator="containsText" dxfId="204" text="CONFIG">
      <formula>NOT(ISERROR(SEARCH("CONFIG",C150)))</formula>
    </cfRule>
  </conditionalFormatting>
  <conditionalFormatting sqref="C151">
    <cfRule type="containsText" priority="182" operator="containsText" dxfId="561" text="LIGHT SELECTION">
      <formula>NOT(ISERROR(SEARCH("LIGHT SELECTION",C151)))</formula>
    </cfRule>
  </conditionalFormatting>
  <conditionalFormatting sqref="C156:C157">
    <cfRule type="cellIs" priority="194" operator="lessThan" dxfId="561">
      <formula>1</formula>
    </cfRule>
  </conditionalFormatting>
  <conditionalFormatting sqref="C158:C159">
    <cfRule type="expression" priority="166" dxfId="383">
      <formula>D158="WW PODS"</formula>
    </cfRule>
  </conditionalFormatting>
  <conditionalFormatting sqref="C160">
    <cfRule type="expression" priority="209" dxfId="559">
      <formula>ISNUMBER(SEARCH("UV",D150))</formula>
    </cfRule>
  </conditionalFormatting>
  <conditionalFormatting sqref="C161">
    <cfRule type="expression" priority="192" dxfId="472">
      <formula>(ISNUMBER(SEARCH("CMW",D150)))=TRUE</formula>
    </cfRule>
  </conditionalFormatting>
  <conditionalFormatting sqref="C162">
    <cfRule type="expression" priority="187" dxfId="472">
      <formula>(ISNUMBER(SEARCH("CMW",D150)))=TRUE</formula>
    </cfRule>
  </conditionalFormatting>
  <conditionalFormatting sqref="C167">
    <cfRule type="containsText" priority="144" operator="containsText" dxfId="204" text="CONFIG">
      <formula>NOT(ISERROR(SEARCH("CONFIG",C167)))</formula>
    </cfRule>
  </conditionalFormatting>
  <conditionalFormatting sqref="C168">
    <cfRule type="containsText" priority="131" operator="containsText" dxfId="561" text="LIGHT SELECTION">
      <formula>NOT(ISERROR(SEARCH("LIGHT SELECTION",C168)))</formula>
    </cfRule>
  </conditionalFormatting>
  <conditionalFormatting sqref="C173:C174">
    <cfRule type="cellIs" priority="143" operator="lessThan" dxfId="561">
      <formula>1</formula>
    </cfRule>
  </conditionalFormatting>
  <conditionalFormatting sqref="C175:C176">
    <cfRule type="expression" priority="115" dxfId="383">
      <formula>D175="WW PODS"</formula>
    </cfRule>
  </conditionalFormatting>
  <conditionalFormatting sqref="C177">
    <cfRule type="expression" priority="158" dxfId="559">
      <formula>ISNUMBER(SEARCH("UV",D167))</formula>
    </cfRule>
  </conditionalFormatting>
  <conditionalFormatting sqref="C178">
    <cfRule type="expression" priority="141" dxfId="472">
      <formula>(ISNUMBER(SEARCH("CMW",D167)))=TRUE</formula>
    </cfRule>
  </conditionalFormatting>
  <conditionalFormatting sqref="C179">
    <cfRule type="expression" priority="136" dxfId="472">
      <formula>(ISNUMBER(SEARCH("CMW",D167)))=TRUE</formula>
    </cfRule>
  </conditionalFormatting>
  <conditionalFormatting sqref="C183:C184">
    <cfRule type="cellIs" priority="671" operator="lessThan" dxfId="554">
      <formula>1</formula>
    </cfRule>
  </conditionalFormatting>
  <conditionalFormatting sqref="C185">
    <cfRule type="cellIs" priority="660" operator="lessThan" dxfId="164">
      <formula>1</formula>
    </cfRule>
  </conditionalFormatting>
  <conditionalFormatting sqref="C186:C197">
    <cfRule type="cellIs" priority="270" operator="lessThan" dxfId="554">
      <formula>1</formula>
    </cfRule>
  </conditionalFormatting>
  <conditionalFormatting sqref="C9:D9">
    <cfRule type="cellIs" priority="661" operator="lessThan" dxfId="207">
      <formula>0</formula>
    </cfRule>
    <cfRule type="cellIs" priority="662" operator="greaterThan" dxfId="552">
      <formula>0</formula>
    </cfRule>
  </conditionalFormatting>
  <conditionalFormatting sqref="D14">
    <cfRule type="containsText" priority="672" operator="containsText" dxfId="164" text="CANOPY TYPE">
      <formula>NOT(ISERROR(SEARCH("CANOPY TYPE",D14)))</formula>
    </cfRule>
  </conditionalFormatting>
  <conditionalFormatting sqref="D15">
    <cfRule type="expression" priority="425" dxfId="206">
      <formula>(C15="LIGHT SELECTION")</formula>
    </cfRule>
  </conditionalFormatting>
  <conditionalFormatting sqref="D16:D18">
    <cfRule type="expression" priority="627" dxfId="206">
      <formula>($C16="SELECT WORKS")</formula>
    </cfRule>
  </conditionalFormatting>
  <conditionalFormatting sqref="D19">
    <cfRule type="expression" priority="269" dxfId="206">
      <formula>$C19="SELECT CLADDING"</formula>
    </cfRule>
  </conditionalFormatting>
  <conditionalFormatting sqref="D22:D23">
    <cfRule type="expression" priority="408" dxfId="358">
      <formula>($D$14="CANOPY TYPE")</formula>
    </cfRule>
  </conditionalFormatting>
  <conditionalFormatting sqref="D24">
    <cfRule type="expression" priority="685" dxfId="474">
      <formula>ISNUMBER(SEARCH("UV",D14))</formula>
    </cfRule>
  </conditionalFormatting>
  <conditionalFormatting sqref="D25">
    <cfRule type="expression" priority="613" dxfId="358">
      <formula>($D$14="CANOPY TYPE")</formula>
    </cfRule>
  </conditionalFormatting>
  <conditionalFormatting sqref="D26">
    <cfRule type="expression" priority="635" dxfId="472">
      <formula>(ISNUMBER(SEARCH("CMW",D14)))=TRUE</formula>
    </cfRule>
  </conditionalFormatting>
  <conditionalFormatting sqref="D31">
    <cfRule type="containsText" priority="595" operator="containsText" dxfId="164" text="CANOPY TYPE">
      <formula>NOT(ISERROR(SEARCH("CANOPY TYPE",D31)))</formula>
    </cfRule>
  </conditionalFormatting>
  <conditionalFormatting sqref="D32">
    <cfRule type="expression" priority="438" dxfId="206">
      <formula>(C32="LIGHT SELECTION")</formula>
    </cfRule>
  </conditionalFormatting>
  <conditionalFormatting sqref="D33:D35">
    <cfRule type="expression" priority="588" dxfId="206">
      <formula>($C33="SELECT WORKS")</formula>
    </cfRule>
  </conditionalFormatting>
  <conditionalFormatting sqref="D36">
    <cfRule type="expression" priority="417" dxfId="206">
      <formula>$C36="SELECT CLADDING"</formula>
    </cfRule>
  </conditionalFormatting>
  <conditionalFormatting sqref="D39:D40">
    <cfRule type="expression" priority="382" dxfId="358">
      <formula>($D$14="CANOPY TYPE")</formula>
    </cfRule>
  </conditionalFormatting>
  <conditionalFormatting sqref="D41">
    <cfRule type="expression" priority="607" dxfId="474">
      <formula>ISNUMBER(SEARCH("UV",D31))</formula>
    </cfRule>
  </conditionalFormatting>
  <conditionalFormatting sqref="D42">
    <cfRule type="expression" priority="581" dxfId="358">
      <formula>($D$14="CANOPY TYPE")</formula>
    </cfRule>
  </conditionalFormatting>
  <conditionalFormatting sqref="D43">
    <cfRule type="expression" priority="590" dxfId="472">
      <formula>(ISNUMBER(SEARCH("CMW",D31)))=TRUE</formula>
    </cfRule>
  </conditionalFormatting>
  <conditionalFormatting sqref="D48">
    <cfRule type="containsText" priority="420" operator="containsText" dxfId="164" text="CANOPY TYPE">
      <formula>NOT(ISERROR(SEARCH("CANOPY TYPE",D48)))</formula>
    </cfRule>
  </conditionalFormatting>
  <conditionalFormatting sqref="D49">
    <cfRule type="expression" priority="435" dxfId="206">
      <formula>(C15="LIGHT SELECTION")</formula>
    </cfRule>
  </conditionalFormatting>
  <conditionalFormatting sqref="D50:D52">
    <cfRule type="expression" priority="111" dxfId="206">
      <formula>($C50="SELECT WORKS")</formula>
    </cfRule>
  </conditionalFormatting>
  <conditionalFormatting sqref="D53">
    <cfRule type="expression" priority="418" dxfId="206">
      <formula>$C53="SELECT CLADDING"</formula>
    </cfRule>
  </conditionalFormatting>
  <conditionalFormatting sqref="D56:D57">
    <cfRule type="expression" priority="367" dxfId="358">
      <formula>($D$14="CANOPY TYPE")</formula>
    </cfRule>
  </conditionalFormatting>
  <conditionalFormatting sqref="D58">
    <cfRule type="expression" priority="575" dxfId="474">
      <formula>ISNUMBER(SEARCH("UV",D48))</formula>
    </cfRule>
  </conditionalFormatting>
  <conditionalFormatting sqref="D59">
    <cfRule type="expression" priority="554" dxfId="358">
      <formula>($D$14="CANOPY TYPE")</formula>
    </cfRule>
  </conditionalFormatting>
  <conditionalFormatting sqref="D60">
    <cfRule type="expression" priority="559" dxfId="472">
      <formula>(ISNUMBER(SEARCH("CMW",D48)))=TRUE</formula>
    </cfRule>
  </conditionalFormatting>
  <conditionalFormatting sqref="D65">
    <cfRule type="containsText" priority="419" operator="containsText" dxfId="164" text="CANOPY TYPE">
      <formula>NOT(ISERROR(SEARCH("CANOPY TYPE",D65)))</formula>
    </cfRule>
  </conditionalFormatting>
  <conditionalFormatting sqref="D66">
    <cfRule type="expression" priority="428" dxfId="206">
      <formula>(C66="LIGHT SELECTION")</formula>
    </cfRule>
  </conditionalFormatting>
  <conditionalFormatting sqref="D67:D69">
    <cfRule type="expression" priority="97" dxfId="206">
      <formula>($C67="SELECT WORKS")</formula>
    </cfRule>
  </conditionalFormatting>
  <conditionalFormatting sqref="D70">
    <cfRule type="expression" priority="533" dxfId="206">
      <formula>$C70="SELECT CLADDING"</formula>
    </cfRule>
  </conditionalFormatting>
  <conditionalFormatting sqref="D73:D74">
    <cfRule type="expression" priority="352" dxfId="358">
      <formula>($D$14="CANOPY TYPE")</formula>
    </cfRule>
  </conditionalFormatting>
  <conditionalFormatting sqref="D75">
    <cfRule type="expression" priority="548" dxfId="474">
      <formula>ISNUMBER(SEARCH("UV",D65))</formula>
    </cfRule>
  </conditionalFormatting>
  <conditionalFormatting sqref="D76">
    <cfRule type="expression" priority="526" dxfId="358">
      <formula>($D$14="CANOPY TYPE")</formula>
    </cfRule>
  </conditionalFormatting>
  <conditionalFormatting sqref="D77">
    <cfRule type="expression" priority="531" dxfId="472">
      <formula>(ISNUMBER(SEARCH("CMW",D65)))=TRUE</formula>
    </cfRule>
  </conditionalFormatting>
  <conditionalFormatting sqref="D82">
    <cfRule type="containsText" priority="508" operator="containsText" dxfId="164" text="CANOPY TYPE">
      <formula>NOT(ISERROR(SEARCH("CANOPY TYPE",D82)))</formula>
    </cfRule>
  </conditionalFormatting>
  <conditionalFormatting sqref="D83">
    <cfRule type="expression" priority="427" dxfId="206">
      <formula>(C83="LIGHT SELECTION")</formula>
    </cfRule>
  </conditionalFormatting>
  <conditionalFormatting sqref="D84:D86">
    <cfRule type="expression" priority="83" dxfId="206">
      <formula>($C84="SELECT WORKS")</formula>
    </cfRule>
  </conditionalFormatting>
  <conditionalFormatting sqref="D87">
    <cfRule type="expression" priority="504" dxfId="206">
      <formula>$C87="SELECT CLADDING"</formula>
    </cfRule>
  </conditionalFormatting>
  <conditionalFormatting sqref="D90:D91">
    <cfRule type="expression" priority="337" dxfId="358">
      <formula>($D$14="CANOPY TYPE")</formula>
    </cfRule>
  </conditionalFormatting>
  <conditionalFormatting sqref="D92">
    <cfRule type="expression" priority="520" dxfId="474">
      <formula>ISNUMBER(SEARCH("UV",D82))</formula>
    </cfRule>
  </conditionalFormatting>
  <conditionalFormatting sqref="D93">
    <cfRule type="expression" priority="497" dxfId="358">
      <formula>($D$14="CANOPY TYPE")</formula>
    </cfRule>
  </conditionalFormatting>
  <conditionalFormatting sqref="D94">
    <cfRule type="expression" priority="502" dxfId="472">
      <formula>(ISNUMBER(SEARCH("CMW",D82)))=TRUE</formula>
    </cfRule>
  </conditionalFormatting>
  <conditionalFormatting sqref="D99">
    <cfRule type="containsText" priority="479" operator="containsText" dxfId="164" text="CANOPY TYPE">
      <formula>NOT(ISERROR(SEARCH("CANOPY TYPE",D99)))</formula>
    </cfRule>
  </conditionalFormatting>
  <conditionalFormatting sqref="D100">
    <cfRule type="expression" priority="426" dxfId="206">
      <formula>(C100="LIGHT SELECTION")</formula>
    </cfRule>
  </conditionalFormatting>
  <conditionalFormatting sqref="D101:D103">
    <cfRule type="expression" priority="69" dxfId="206">
      <formula>($C101="SELECT WORKS")</formula>
    </cfRule>
  </conditionalFormatting>
  <conditionalFormatting sqref="D104">
    <cfRule type="expression" priority="416" dxfId="206">
      <formula>$C104="SELECT CLADDING"</formula>
    </cfRule>
  </conditionalFormatting>
  <conditionalFormatting sqref="D107:D108">
    <cfRule type="expression" priority="322" dxfId="358">
      <formula>($D$14="CANOPY TYPE")</formula>
    </cfRule>
  </conditionalFormatting>
  <conditionalFormatting sqref="D109">
    <cfRule type="expression" priority="491" dxfId="474">
      <formula>ISNUMBER(SEARCH("UV",D99))</formula>
    </cfRule>
  </conditionalFormatting>
  <conditionalFormatting sqref="D110">
    <cfRule type="expression" priority="469" dxfId="358">
      <formula>($D$14="CANOPY TYPE")</formula>
    </cfRule>
  </conditionalFormatting>
  <conditionalFormatting sqref="D111">
    <cfRule type="expression" priority="474" dxfId="472">
      <formula>(ISNUMBER(SEARCH("CMW",D99)))=TRUE</formula>
    </cfRule>
  </conditionalFormatting>
  <conditionalFormatting sqref="D116">
    <cfRule type="containsText" priority="302" operator="containsText" dxfId="164" text="CANOPY TYPE">
      <formula>NOT(ISERROR(SEARCH("CANOPY TYPE",D116)))</formula>
    </cfRule>
  </conditionalFormatting>
  <conditionalFormatting sqref="D117">
    <cfRule type="expression" priority="287" dxfId="206">
      <formula>(C117="LIGHT SELECTION")</formula>
    </cfRule>
  </conditionalFormatting>
  <conditionalFormatting sqref="D118:D120">
    <cfRule type="expression" priority="55" dxfId="206">
      <formula>($C118="SELECT WORKS")</formula>
    </cfRule>
  </conditionalFormatting>
  <conditionalFormatting sqref="D121">
    <cfRule type="expression" priority="286" dxfId="206">
      <formula>$C121="SELECT CLADDING"</formula>
    </cfRule>
  </conditionalFormatting>
  <conditionalFormatting sqref="D124:D125">
    <cfRule type="expression" priority="271" dxfId="358">
      <formula>($D$14="CANOPY TYPE")</formula>
    </cfRule>
  </conditionalFormatting>
  <conditionalFormatting sqref="D126">
    <cfRule type="expression" priority="314" dxfId="474">
      <formula>ISNUMBER(SEARCH("UV",D116))</formula>
    </cfRule>
  </conditionalFormatting>
  <conditionalFormatting sqref="D127">
    <cfRule type="expression" priority="294" dxfId="358">
      <formula>($D$14="CANOPY TYPE")</formula>
    </cfRule>
  </conditionalFormatting>
  <conditionalFormatting sqref="D128">
    <cfRule type="expression" priority="297" dxfId="472">
      <formula>(ISNUMBER(SEARCH("CMW",D116)))=TRUE</formula>
    </cfRule>
  </conditionalFormatting>
  <conditionalFormatting sqref="D133">
    <cfRule type="containsText" priority="247" operator="containsText" dxfId="164" text="CANOPY TYPE">
      <formula>NOT(ISERROR(SEARCH("CANOPY TYPE",D133)))</formula>
    </cfRule>
  </conditionalFormatting>
  <conditionalFormatting sqref="D134">
    <cfRule type="expression" priority="232" dxfId="206">
      <formula>(C134="LIGHT SELECTION")</formula>
    </cfRule>
  </conditionalFormatting>
  <conditionalFormatting sqref="D135:D137">
    <cfRule type="expression" priority="41" dxfId="206">
      <formula>($C135="SELECT WORKS")</formula>
    </cfRule>
  </conditionalFormatting>
  <conditionalFormatting sqref="D138">
    <cfRule type="expression" priority="231" dxfId="206">
      <formula>$C138="SELECT CLADDING"</formula>
    </cfRule>
  </conditionalFormatting>
  <conditionalFormatting sqref="D141:D142">
    <cfRule type="expression" priority="216" dxfId="358">
      <formula>($D$14="CANOPY TYPE")</formula>
    </cfRule>
  </conditionalFormatting>
  <conditionalFormatting sqref="D143">
    <cfRule type="expression" priority="259" dxfId="474">
      <formula>ISNUMBER(SEARCH("UV",D133))</formula>
    </cfRule>
  </conditionalFormatting>
  <conditionalFormatting sqref="D144">
    <cfRule type="expression" priority="239" dxfId="358">
      <formula>($D$14="CANOPY TYPE")</formula>
    </cfRule>
  </conditionalFormatting>
  <conditionalFormatting sqref="D145">
    <cfRule type="expression" priority="242" dxfId="472">
      <formula>(ISNUMBER(SEARCH("CMW",D133)))=TRUE</formula>
    </cfRule>
  </conditionalFormatting>
  <conditionalFormatting sqref="D150">
    <cfRule type="containsText" priority="196" operator="containsText" dxfId="164" text="CANOPY TYPE">
      <formula>NOT(ISERROR(SEARCH("CANOPY TYPE",D150)))</formula>
    </cfRule>
  </conditionalFormatting>
  <conditionalFormatting sqref="D151">
    <cfRule type="expression" priority="181" dxfId="206">
      <formula>(C151="LIGHT SELECTION")</formula>
    </cfRule>
  </conditionalFormatting>
  <conditionalFormatting sqref="D152:D154">
    <cfRule type="expression" priority="27" dxfId="206">
      <formula>($C152="SELECT WORKS")</formula>
    </cfRule>
  </conditionalFormatting>
  <conditionalFormatting sqref="D155">
    <cfRule type="expression" priority="180" dxfId="206">
      <formula>$C155="SELECT CLADDING"</formula>
    </cfRule>
  </conditionalFormatting>
  <conditionalFormatting sqref="D158:D159">
    <cfRule type="expression" priority="165" dxfId="358">
      <formula>($D$14="CANOPY TYPE")</formula>
    </cfRule>
  </conditionalFormatting>
  <conditionalFormatting sqref="D160">
    <cfRule type="expression" priority="208" dxfId="474">
      <formula>ISNUMBER(SEARCH("UV",D150))</formula>
    </cfRule>
  </conditionalFormatting>
  <conditionalFormatting sqref="D161">
    <cfRule type="expression" priority="188" dxfId="358">
      <formula>($D$14="CANOPY TYPE")</formula>
    </cfRule>
  </conditionalFormatting>
  <conditionalFormatting sqref="D162">
    <cfRule type="expression" priority="191" dxfId="472">
      <formula>(ISNUMBER(SEARCH("CMW",D150)))=TRUE</formula>
    </cfRule>
  </conditionalFormatting>
  <conditionalFormatting sqref="D167">
    <cfRule type="containsText" priority="145" operator="containsText" dxfId="164" text="CANOPY TYPE">
      <formula>NOT(ISERROR(SEARCH("CANOPY TYPE",D167)))</formula>
    </cfRule>
  </conditionalFormatting>
  <conditionalFormatting sqref="D168">
    <cfRule type="expression" priority="130" dxfId="206">
      <formula>(C168="LIGHT SELECTION")</formula>
    </cfRule>
  </conditionalFormatting>
  <conditionalFormatting sqref="D169:D171">
    <cfRule type="expression" priority="13" dxfId="206">
      <formula>($C169="SELECT WORKS")</formula>
    </cfRule>
  </conditionalFormatting>
  <conditionalFormatting sqref="D172">
    <cfRule type="expression" priority="129" dxfId="206">
      <formula>$C172="SELECT CLADDING"</formula>
    </cfRule>
  </conditionalFormatting>
  <conditionalFormatting sqref="D175:D176">
    <cfRule type="expression" priority="114" dxfId="358">
      <formula>($D$14="CANOPY TYPE")</formula>
    </cfRule>
  </conditionalFormatting>
  <conditionalFormatting sqref="D177">
    <cfRule type="expression" priority="157" dxfId="474">
      <formula>ISNUMBER(SEARCH("UV",D167))</formula>
    </cfRule>
  </conditionalFormatting>
  <conditionalFormatting sqref="D178">
    <cfRule type="expression" priority="137" dxfId="358">
      <formula>($D$14="CANOPY TYPE")</formula>
    </cfRule>
  </conditionalFormatting>
  <conditionalFormatting sqref="D179">
    <cfRule type="expression" priority="140" dxfId="472">
      <formula>(ISNUMBER(SEARCH("CMW",D167)))=TRUE</formula>
    </cfRule>
  </conditionalFormatting>
  <conditionalFormatting sqref="E12">
    <cfRule type="cellIs" priority="684" operator="greaterThan" dxfId="204">
      <formula>2000</formula>
    </cfRule>
    <cfRule type="expression" priority="683" dxfId="387">
      <formula>ISNUMBER(SEARCH("I-MUAP",$D$14))</formula>
    </cfRule>
    <cfRule type="expression" priority="682" dxfId="386">
      <formula>AND((ISNUMBER(SEARCH("I-MUAP",$D$14))),E12&lt;2500)</formula>
    </cfRule>
  </conditionalFormatting>
  <conditionalFormatting sqref="E15">
    <cfRule type="expression" priority="423" dxfId="315">
      <formula>(C15="LIGHT SELECTION")</formula>
    </cfRule>
  </conditionalFormatting>
  <conditionalFormatting sqref="E16:E18">
    <cfRule type="expression" priority="113" dxfId="381">
      <formula>$C16="SELECT WORKS"</formula>
    </cfRule>
  </conditionalFormatting>
  <conditionalFormatting sqref="E22:E23">
    <cfRule type="expression" priority="665" dxfId="384">
      <formula>D22="WW PODS"</formula>
    </cfRule>
    <cfRule type="expression" priority="666" dxfId="383">
      <formula>D22="FILTER TYPE"</formula>
    </cfRule>
    <cfRule type="expression" priority="667" dxfId="382">
      <formula>D22="KSA"</formula>
    </cfRule>
    <cfRule type="expression" priority="687" dxfId="381">
      <formula>(D14="CANOPY TYPE")</formula>
    </cfRule>
  </conditionalFormatting>
  <conditionalFormatting sqref="E24">
    <cfRule type="containsText" priority="674" operator="containsText" dxfId="380" text="LONG ">
      <formula>NOT(ISERROR(SEARCH("LONG ",E24)))</formula>
    </cfRule>
  </conditionalFormatting>
  <conditionalFormatting sqref="E29">
    <cfRule type="expression" priority="604" dxfId="386">
      <formula>AND((ISNUMBER(SEARCH("I-MUAP",$D$14))),E29&lt;2500)</formula>
    </cfRule>
    <cfRule type="expression" priority="605" dxfId="387">
      <formula>ISNUMBER(SEARCH("I-MUAP",$D$14))</formula>
    </cfRule>
    <cfRule type="cellIs" priority="606" operator="greaterThan" dxfId="204">
      <formula>2000</formula>
    </cfRule>
  </conditionalFormatting>
  <conditionalFormatting sqref="E33:E34">
    <cfRule type="expression" priority="587" dxfId="381">
      <formula>$C33="SELECT WORKS"</formula>
    </cfRule>
  </conditionalFormatting>
  <conditionalFormatting sqref="E39:E40">
    <cfRule type="expression" priority="397" dxfId="382">
      <formula>D39="KSA"</formula>
    </cfRule>
    <cfRule type="expression" priority="398" dxfId="381">
      <formula>(D31="CANOPY TYPE")</formula>
    </cfRule>
    <cfRule type="expression" priority="396" dxfId="383">
      <formula>D39="FILTER TYPE"</formula>
    </cfRule>
    <cfRule type="expression" priority="395" dxfId="384">
      <formula>D39="WW PODS"</formula>
    </cfRule>
  </conditionalFormatting>
  <conditionalFormatting sqref="E41">
    <cfRule type="containsText" priority="597" operator="containsText" dxfId="380" text="LONG ">
      <formula>NOT(ISERROR(SEARCH("LONG ",E41)))</formula>
    </cfRule>
  </conditionalFormatting>
  <conditionalFormatting sqref="E46">
    <cfRule type="cellIs" priority="574" operator="greaterThan" dxfId="204">
      <formula>2000</formula>
    </cfRule>
    <cfRule type="expression" priority="573" dxfId="387">
      <formula>ISNUMBER(SEARCH("I-MUAP",$D$14))</formula>
    </cfRule>
    <cfRule type="expression" priority="572" dxfId="386">
      <formula>AND((ISNUMBER(SEARCH("I-MUAP",$D$14))),E46&lt;2500)</formula>
    </cfRule>
  </conditionalFormatting>
  <conditionalFormatting sqref="E49">
    <cfRule type="expression" priority="437" dxfId="315">
      <formula>(C49="LIGHT SELECTION")</formula>
    </cfRule>
  </conditionalFormatting>
  <conditionalFormatting sqref="E50:E52">
    <cfRule type="expression" priority="110" dxfId="381">
      <formula>$C50="SELECT WORKS"</formula>
    </cfRule>
  </conditionalFormatting>
  <conditionalFormatting sqref="E56:E57">
    <cfRule type="expression" priority="369" dxfId="384">
      <formula>D56="WW PODS"</formula>
    </cfRule>
    <cfRule type="expression" priority="370" dxfId="383">
      <formula>D56="FILTER TYPE"</formula>
    </cfRule>
    <cfRule type="expression" priority="372" dxfId="381">
      <formula>(D48="CANOPY TYPE")</formula>
    </cfRule>
    <cfRule type="expression" priority="371" dxfId="382">
      <formula>D56="KSA"</formula>
    </cfRule>
  </conditionalFormatting>
  <conditionalFormatting sqref="E58">
    <cfRule type="containsText" priority="565" operator="containsText" dxfId="380" text="LONG ">
      <formula>NOT(ISERROR(SEARCH("LONG ",E58)))</formula>
    </cfRule>
  </conditionalFormatting>
  <conditionalFormatting sqref="E63">
    <cfRule type="cellIs" priority="547" operator="greaterThan" dxfId="204">
      <formula>2000</formula>
    </cfRule>
    <cfRule type="expression" priority="546" dxfId="387">
      <formula>ISNUMBER(SEARCH("I-MUAP",$D$14))</formula>
    </cfRule>
    <cfRule type="expression" priority="545" dxfId="386">
      <formula>AND((ISNUMBER(SEARCH("I-MUAP",$D$14))),E63&lt;2500)</formula>
    </cfRule>
  </conditionalFormatting>
  <conditionalFormatting sqref="E67:E69">
    <cfRule type="expression" priority="96" dxfId="381">
      <formula>$C67="SELECT WORKS"</formula>
    </cfRule>
  </conditionalFormatting>
  <conditionalFormatting sqref="E73:E74">
    <cfRule type="expression" priority="354" dxfId="384">
      <formula>D73="WW PODS"</formula>
    </cfRule>
    <cfRule type="expression" priority="356" dxfId="382">
      <formula>D73="KSA"</formula>
    </cfRule>
    <cfRule type="expression" priority="357" dxfId="381">
      <formula>(D65="CANOPY TYPE")</formula>
    </cfRule>
    <cfRule type="expression" priority="355" dxfId="383">
      <formula>D73="FILTER TYPE"</formula>
    </cfRule>
  </conditionalFormatting>
  <conditionalFormatting sqref="E75">
    <cfRule type="containsText" priority="538" operator="containsText" dxfId="380" text="LONG ">
      <formula>NOT(ISERROR(SEARCH("LONG ",E75)))</formula>
    </cfRule>
  </conditionalFormatting>
  <conditionalFormatting sqref="E80">
    <cfRule type="cellIs" priority="519" operator="greaterThan" dxfId="204">
      <formula>2000</formula>
    </cfRule>
    <cfRule type="expression" priority="517" dxfId="386">
      <formula>AND((ISNUMBER(SEARCH("I-MUAP",$D$14))),E80&lt;2500)</formula>
    </cfRule>
    <cfRule type="expression" priority="518" dxfId="387">
      <formula>ISNUMBER(SEARCH("I-MUAP",$D$14))</formula>
    </cfRule>
  </conditionalFormatting>
  <conditionalFormatting sqref="E84:E86">
    <cfRule type="expression" priority="82" dxfId="381">
      <formula>$C84="SELECT WORKS"</formula>
    </cfRule>
  </conditionalFormatting>
  <conditionalFormatting sqref="E90:E91">
    <cfRule type="expression" priority="342" dxfId="381">
      <formula>(D82="CANOPY TYPE")</formula>
    </cfRule>
    <cfRule type="expression" priority="339" dxfId="384">
      <formula>D90="WW PODS"</formula>
    </cfRule>
    <cfRule type="expression" priority="340" dxfId="383">
      <formula>D90="FILTER TYPE"</formula>
    </cfRule>
    <cfRule type="expression" priority="341" dxfId="382">
      <formula>D90="KSA"</formula>
    </cfRule>
  </conditionalFormatting>
  <conditionalFormatting sqref="E92">
    <cfRule type="containsText" priority="510" operator="containsText" dxfId="380" text="LONG ">
      <formula>NOT(ISERROR(SEARCH("LONG ",E92)))</formula>
    </cfRule>
  </conditionalFormatting>
  <conditionalFormatting sqref="E97">
    <cfRule type="expression" priority="489" dxfId="387">
      <formula>ISNUMBER(SEARCH("I-MUAP",$D$14))</formula>
    </cfRule>
    <cfRule type="cellIs" priority="490" operator="greaterThan" dxfId="204">
      <formula>2000</formula>
    </cfRule>
    <cfRule type="expression" priority="488" dxfId="386">
      <formula>AND((ISNUMBER(SEARCH("I-MUAP",$D$14))),E97&lt;2500)</formula>
    </cfRule>
  </conditionalFormatting>
  <conditionalFormatting sqref="E101:E103">
    <cfRule type="expression" priority="68" dxfId="381">
      <formula>$C101="SELECT WORKS"</formula>
    </cfRule>
  </conditionalFormatting>
  <conditionalFormatting sqref="E107:E108">
    <cfRule type="expression" priority="324" dxfId="384">
      <formula>D107="WW PODS"</formula>
    </cfRule>
    <cfRule type="expression" priority="325" dxfId="383">
      <formula>D107="FILTER TYPE"</formula>
    </cfRule>
    <cfRule type="expression" priority="326" dxfId="382">
      <formula>D107="KSA"</formula>
    </cfRule>
    <cfRule type="expression" priority="327" dxfId="381">
      <formula>(D99="CANOPY TYPE")</formula>
    </cfRule>
  </conditionalFormatting>
  <conditionalFormatting sqref="E109">
    <cfRule type="containsText" priority="481" operator="containsText" dxfId="380" text="LONG ">
      <formula>NOT(ISERROR(SEARCH("LONG ",E109)))</formula>
    </cfRule>
  </conditionalFormatting>
  <conditionalFormatting sqref="E114">
    <cfRule type="cellIs" priority="313" operator="greaterThan" dxfId="204">
      <formula>2000</formula>
    </cfRule>
    <cfRule type="expression" priority="312" dxfId="387">
      <formula>ISNUMBER(SEARCH("I-MUAP",$D$14))</formula>
    </cfRule>
    <cfRule type="expression" priority="311" dxfId="386">
      <formula>AND((ISNUMBER(SEARCH("I-MUAP",$D$14))),E114&lt;2500)</formula>
    </cfRule>
  </conditionalFormatting>
  <conditionalFormatting sqref="E118:E120">
    <cfRule type="expression" priority="54" dxfId="381">
      <formula>$C118="SELECT WORKS"</formula>
    </cfRule>
  </conditionalFormatting>
  <conditionalFormatting sqref="E124:E125">
    <cfRule type="expression" priority="273" dxfId="384">
      <formula>D124="WW PODS"</formula>
    </cfRule>
    <cfRule type="expression" priority="276" dxfId="381">
      <formula>(D116="CANOPY TYPE")</formula>
    </cfRule>
    <cfRule type="expression" priority="275" dxfId="382">
      <formula>D124="KSA"</formula>
    </cfRule>
    <cfRule type="expression" priority="274" dxfId="383">
      <formula>D124="FILTER TYPE"</formula>
    </cfRule>
  </conditionalFormatting>
  <conditionalFormatting sqref="E126">
    <cfRule type="containsText" priority="304" operator="containsText" dxfId="380" text="LONG ">
      <formula>NOT(ISERROR(SEARCH("LONG ",E126)))</formula>
    </cfRule>
  </conditionalFormatting>
  <conditionalFormatting sqref="E131">
    <cfRule type="expression" priority="257" dxfId="387">
      <formula>ISNUMBER(SEARCH("I-MUAP",$D$14))</formula>
    </cfRule>
    <cfRule type="cellIs" priority="258" operator="greaterThan" dxfId="204">
      <formula>2000</formula>
    </cfRule>
    <cfRule type="expression" priority="256" dxfId="386">
      <formula>AND((ISNUMBER(SEARCH("I-MUAP",$D$14))),E131&lt;2500)</formula>
    </cfRule>
  </conditionalFormatting>
  <conditionalFormatting sqref="E135:E137">
    <cfRule type="expression" priority="40" dxfId="381">
      <formula>$C135="SELECT WORKS"</formula>
    </cfRule>
  </conditionalFormatting>
  <conditionalFormatting sqref="E141:E142">
    <cfRule type="expression" priority="221" dxfId="381">
      <formula>(D133="CANOPY TYPE")</formula>
    </cfRule>
    <cfRule type="expression" priority="220" dxfId="382">
      <formula>D141="KSA"</formula>
    </cfRule>
    <cfRule type="expression" priority="218" dxfId="384">
      <formula>D141="WW PODS"</formula>
    </cfRule>
    <cfRule type="expression" priority="219" dxfId="383">
      <formula>D141="FILTER TYPE"</formula>
    </cfRule>
  </conditionalFormatting>
  <conditionalFormatting sqref="E143">
    <cfRule type="containsText" priority="249" operator="containsText" dxfId="380" text="LONG ">
      <formula>NOT(ISERROR(SEARCH("LONG ",E143)))</formula>
    </cfRule>
  </conditionalFormatting>
  <conditionalFormatting sqref="E148">
    <cfRule type="cellIs" priority="207" operator="greaterThan" dxfId="204">
      <formula>2000</formula>
    </cfRule>
    <cfRule type="expression" priority="206" dxfId="387">
      <formula>ISNUMBER(SEARCH("I-MUAP",$D$14))</formula>
    </cfRule>
    <cfRule type="expression" priority="205" dxfId="386">
      <formula>AND((ISNUMBER(SEARCH("I-MUAP",$D$14))),E148&lt;2500)</formula>
    </cfRule>
  </conditionalFormatting>
  <conditionalFormatting sqref="E152:E154">
    <cfRule type="expression" priority="26" dxfId="381">
      <formula>$C152="SELECT WORKS"</formula>
    </cfRule>
  </conditionalFormatting>
  <conditionalFormatting sqref="E158:E159">
    <cfRule type="expression" priority="169" dxfId="382">
      <formula>D158="KSA"</formula>
    </cfRule>
    <cfRule type="expression" priority="167" dxfId="384">
      <formula>D158="WW PODS"</formula>
    </cfRule>
    <cfRule type="expression" priority="168" dxfId="383">
      <formula>D158="FILTER TYPE"</formula>
    </cfRule>
    <cfRule type="expression" priority="170" dxfId="381">
      <formula>(D150="CANOPY TYPE")</formula>
    </cfRule>
  </conditionalFormatting>
  <conditionalFormatting sqref="E160">
    <cfRule type="containsText" priority="198" operator="containsText" dxfId="380" text="LONG ">
      <formula>NOT(ISERROR(SEARCH("LONG ",E160)))</formula>
    </cfRule>
  </conditionalFormatting>
  <conditionalFormatting sqref="E165">
    <cfRule type="cellIs" priority="156" operator="greaterThan" dxfId="204">
      <formula>2000</formula>
    </cfRule>
    <cfRule type="expression" priority="155" dxfId="387">
      <formula>ISNUMBER(SEARCH("I-MUAP",$D$14))</formula>
    </cfRule>
    <cfRule type="expression" priority="154" dxfId="386">
      <formula>AND((ISNUMBER(SEARCH("I-MUAP",$D$14))),E165&lt;2500)</formula>
    </cfRule>
  </conditionalFormatting>
  <conditionalFormatting sqref="E169:E171">
    <cfRule type="expression" priority="12" dxfId="381">
      <formula>$C169="SELECT WORKS"</formula>
    </cfRule>
  </conditionalFormatting>
  <conditionalFormatting sqref="E175:E176">
    <cfRule type="expression" priority="116" dxfId="384">
      <formula>D175="WW PODS"</formula>
    </cfRule>
    <cfRule type="expression" priority="117" dxfId="383">
      <formula>D175="FILTER TYPE"</formula>
    </cfRule>
    <cfRule type="expression" priority="118" dxfId="382">
      <formula>D175="KSA"</formula>
    </cfRule>
    <cfRule type="expression" priority="119" dxfId="381">
      <formula>(D167="CANOPY TYPE")</formula>
    </cfRule>
  </conditionalFormatting>
  <conditionalFormatting sqref="E177">
    <cfRule type="containsText" priority="147" operator="containsText" dxfId="380" text="LONG ">
      <formula>NOT(ISERROR(SEARCH("LONG ",E177)))</formula>
    </cfRule>
  </conditionalFormatting>
  <conditionalFormatting sqref="E12:F12">
    <cfRule type="cellIs" priority="678" operator="lessThan" dxfId="204">
      <formula>1000</formula>
    </cfRule>
  </conditionalFormatting>
  <conditionalFormatting sqref="E14:F14">
    <cfRule type="cellIs" priority="675" operator="lessThan" dxfId="164">
      <formula>1000</formula>
    </cfRule>
  </conditionalFormatting>
  <conditionalFormatting sqref="E25:F27">
    <cfRule type="expression" priority="614" dxfId="358">
      <formula>($D$14="CANOPY TYPE")</formula>
    </cfRule>
  </conditionalFormatting>
  <conditionalFormatting sqref="E29:F29">
    <cfRule type="cellIs" priority="601" operator="lessThan" dxfId="204">
      <formula>1000</formula>
    </cfRule>
  </conditionalFormatting>
  <conditionalFormatting sqref="E31:F31">
    <cfRule type="cellIs" priority="598" operator="lessThan" dxfId="164">
      <formula>1000</formula>
    </cfRule>
  </conditionalFormatting>
  <conditionalFormatting sqref="E32:F32">
    <cfRule type="expression" priority="461" dxfId="315">
      <formula>(C32="LIGHT SELECTION")</formula>
    </cfRule>
  </conditionalFormatting>
  <conditionalFormatting sqref="E42:F44">
    <cfRule type="expression" priority="582" dxfId="358">
      <formula>($D$14="CANOPY TYPE")</formula>
    </cfRule>
  </conditionalFormatting>
  <conditionalFormatting sqref="E46:F46">
    <cfRule type="cellIs" priority="569" operator="lessThan" dxfId="204">
      <formula>1000</formula>
    </cfRule>
  </conditionalFormatting>
  <conditionalFormatting sqref="E48:F48">
    <cfRule type="cellIs" priority="566" operator="lessThan" dxfId="164">
      <formula>1000</formula>
    </cfRule>
  </conditionalFormatting>
  <conditionalFormatting sqref="E59:F61">
    <cfRule type="expression" priority="555" dxfId="358">
      <formula>($D$14="CANOPY TYPE")</formula>
    </cfRule>
  </conditionalFormatting>
  <conditionalFormatting sqref="E63:F63">
    <cfRule type="cellIs" priority="542" operator="lessThan" dxfId="204">
      <formula>1000</formula>
    </cfRule>
  </conditionalFormatting>
  <conditionalFormatting sqref="E65:F65">
    <cfRule type="cellIs" priority="539" operator="lessThan" dxfId="164">
      <formula>1000</formula>
    </cfRule>
  </conditionalFormatting>
  <conditionalFormatting sqref="E66:F66">
    <cfRule type="expression" priority="454" dxfId="315">
      <formula>(C66="LIGHT SELECTION")</formula>
    </cfRule>
  </conditionalFormatting>
  <conditionalFormatting sqref="E76:F78">
    <cfRule type="expression" priority="527" dxfId="358">
      <formula>($D$14="CANOPY TYPE")</formula>
    </cfRule>
  </conditionalFormatting>
  <conditionalFormatting sqref="E80:F80">
    <cfRule type="cellIs" priority="514" operator="lessThan" dxfId="204">
      <formula>1000</formula>
    </cfRule>
  </conditionalFormatting>
  <conditionalFormatting sqref="E82:F82">
    <cfRule type="cellIs" priority="511" operator="lessThan" dxfId="164">
      <formula>1000</formula>
    </cfRule>
  </conditionalFormatting>
  <conditionalFormatting sqref="E83:F83">
    <cfRule type="expression" priority="450" dxfId="315">
      <formula>(C83="LIGHT SELECTION")</formula>
    </cfRule>
  </conditionalFormatting>
  <conditionalFormatting sqref="E93:F95">
    <cfRule type="expression" priority="498" dxfId="358">
      <formula>($D$14="CANOPY TYPE")</formula>
    </cfRule>
  </conditionalFormatting>
  <conditionalFormatting sqref="E97:F97">
    <cfRule type="cellIs" priority="485" operator="lessThan" dxfId="204">
      <formula>1000</formula>
    </cfRule>
  </conditionalFormatting>
  <conditionalFormatting sqref="E99:F99">
    <cfRule type="cellIs" priority="482" operator="lessThan" dxfId="164">
      <formula>1000</formula>
    </cfRule>
  </conditionalFormatting>
  <conditionalFormatting sqref="E100:F100">
    <cfRule type="expression" priority="446" dxfId="315">
      <formula>(C100="LIGHT SELECTION")</formula>
    </cfRule>
  </conditionalFormatting>
  <conditionalFormatting sqref="E110:F112 E127:F129 E144:F146 E161:F163 E178:F180">
    <cfRule type="expression" priority="470" dxfId="358">
      <formula>($D$14="CANOPY TYPE")</formula>
    </cfRule>
  </conditionalFormatting>
  <conditionalFormatting sqref="E114:F114">
    <cfRule type="cellIs" priority="308" operator="lessThan" dxfId="204">
      <formula>1000</formula>
    </cfRule>
  </conditionalFormatting>
  <conditionalFormatting sqref="E116:F116">
    <cfRule type="cellIs" priority="305" operator="lessThan" dxfId="164">
      <formula>1000</formula>
    </cfRule>
  </conditionalFormatting>
  <conditionalFormatting sqref="E117:F117">
    <cfRule type="expression" priority="291" dxfId="315">
      <formula>(C117="LIGHT SELECTION")</formula>
    </cfRule>
  </conditionalFormatting>
  <conditionalFormatting sqref="E131:F131">
    <cfRule type="cellIs" priority="253" operator="lessThan" dxfId="204">
      <formula>1000</formula>
    </cfRule>
  </conditionalFormatting>
  <conditionalFormatting sqref="E133:F133">
    <cfRule type="cellIs" priority="250" operator="lessThan" dxfId="164">
      <formula>1000</formula>
    </cfRule>
  </conditionalFormatting>
  <conditionalFormatting sqref="E134:F134">
    <cfRule type="expression" priority="236" dxfId="315">
      <formula>(C134="LIGHT SELECTION")</formula>
    </cfRule>
  </conditionalFormatting>
  <conditionalFormatting sqref="E148:F148">
    <cfRule type="cellIs" priority="202" operator="lessThan" dxfId="204">
      <formula>1000</formula>
    </cfRule>
  </conditionalFormatting>
  <conditionalFormatting sqref="E150:F150">
    <cfRule type="cellIs" priority="199" operator="lessThan" dxfId="164">
      <formula>1000</formula>
    </cfRule>
  </conditionalFormatting>
  <conditionalFormatting sqref="E151:F151">
    <cfRule type="expression" priority="185" dxfId="315">
      <formula>(C151="LIGHT SELECTION")</formula>
    </cfRule>
  </conditionalFormatting>
  <conditionalFormatting sqref="E165:F165">
    <cfRule type="cellIs" priority="151" operator="lessThan" dxfId="204">
      <formula>1000</formula>
    </cfRule>
  </conditionalFormatting>
  <conditionalFormatting sqref="E167:F167">
    <cfRule type="cellIs" priority="148" operator="lessThan" dxfId="164">
      <formula>1000</formula>
    </cfRule>
  </conditionalFormatting>
  <conditionalFormatting sqref="E168:F168">
    <cfRule type="expression" priority="134" dxfId="315">
      <formula>(C168="LIGHT SELECTION")</formula>
    </cfRule>
  </conditionalFormatting>
  <conditionalFormatting sqref="F12">
    <cfRule type="cellIs" priority="679" operator="greaterThan" dxfId="204">
      <formula>3001</formula>
    </cfRule>
  </conditionalFormatting>
  <conditionalFormatting sqref="F15">
    <cfRule type="expression" priority="668" dxfId="215">
      <formula>(C15="LIGHT SELECTION")</formula>
    </cfRule>
    <cfRule type="expression" priority="670" dxfId="216">
      <formula>(C15="FLO")</formula>
    </cfRule>
    <cfRule type="expression" priority="463" dxfId="214">
      <formula>(C15="LED STRIP")</formula>
    </cfRule>
    <cfRule type="expression" priority="701" dxfId="315">
      <formula>(D49="LIGHT SELECTION")</formula>
    </cfRule>
  </conditionalFormatting>
  <conditionalFormatting sqref="F22:F23">
    <cfRule type="expression" priority="700" dxfId="205">
      <formula>D22="KSA"</formula>
    </cfRule>
    <cfRule type="expression" priority="692" dxfId="206">
      <formula>D22="NF"</formula>
    </cfRule>
    <cfRule type="expression" priority="693" dxfId="208">
      <formula>D22="WW PODS"</formula>
    </cfRule>
    <cfRule type="expression" priority="694" dxfId="206">
      <formula>D22="GRILLE"</formula>
    </cfRule>
    <cfRule type="expression" priority="695" dxfId="206">
      <formula>D22="CENTREX"</formula>
    </cfRule>
    <cfRule type="expression" priority="696" dxfId="206" stopIfTrue="1">
      <formula>D14="canopy type"</formula>
    </cfRule>
    <cfRule type="expression" priority="697" dxfId="207">
      <formula>(((I14*3600)/(C22*I11))^2+20)&gt;300</formula>
    </cfRule>
    <cfRule type="expression" priority="698" dxfId="205" stopIfTrue="1">
      <formula>(ISNUMBER(SEARCH("UV",D14)))</formula>
    </cfRule>
    <cfRule type="expression" priority="699" dxfId="207">
      <formula>(((I14*3600)/(C22*I11))^2+20)&gt;180</formula>
    </cfRule>
  </conditionalFormatting>
  <conditionalFormatting sqref="F24">
    <cfRule type="cellIs" priority="673" operator="lessThan" dxfId="204">
      <formula>2100</formula>
    </cfRule>
  </conditionalFormatting>
  <conditionalFormatting sqref="F29">
    <cfRule type="cellIs" priority="602" operator="greaterThan" dxfId="204">
      <formula>3001</formula>
    </cfRule>
  </conditionalFormatting>
  <conditionalFormatting sqref="F32">
    <cfRule type="expression" priority="462" dxfId="216">
      <formula>(C32="FLO")</formula>
    </cfRule>
    <cfRule type="expression" priority="460" dxfId="215">
      <formula>(C32="LIGHT SELECTION")</formula>
    </cfRule>
    <cfRule type="expression" priority="459" dxfId="214">
      <formula>(C32="LED STRIP")</formula>
    </cfRule>
  </conditionalFormatting>
  <conditionalFormatting sqref="F39:F40">
    <cfRule type="expression" priority="406" dxfId="207">
      <formula>(((I31*3600)/(C39*I28))^2+20)&gt;180</formula>
    </cfRule>
    <cfRule type="expression" priority="407" dxfId="205">
      <formula>D39="KSA"</formula>
    </cfRule>
    <cfRule type="expression" priority="399" dxfId="206">
      <formula>D39="NF"</formula>
    </cfRule>
    <cfRule type="expression" priority="400" dxfId="208">
      <formula>D39="WW PODS"</formula>
    </cfRule>
    <cfRule type="expression" priority="401" dxfId="206">
      <formula>D39="GRILLE"</formula>
    </cfRule>
    <cfRule type="expression" priority="402" dxfId="206">
      <formula>D39="CENTREX"</formula>
    </cfRule>
    <cfRule type="expression" priority="403" dxfId="206" stopIfTrue="1">
      <formula>D31="canopy type"</formula>
    </cfRule>
    <cfRule type="expression" priority="404" dxfId="207">
      <formula>(((I31*3600)/(C39*I28))^2+20)&gt;300</formula>
    </cfRule>
    <cfRule type="expression" priority="405" dxfId="205" stopIfTrue="1">
      <formula>(ISNUMBER(SEARCH("UV",D31)))</formula>
    </cfRule>
  </conditionalFormatting>
  <conditionalFormatting sqref="F41">
    <cfRule type="cellIs" priority="596" operator="lessThan" dxfId="204">
      <formula>2100</formula>
    </cfRule>
  </conditionalFormatting>
  <conditionalFormatting sqref="F46">
    <cfRule type="cellIs" priority="570" operator="greaterThan" dxfId="204">
      <formula>3001</formula>
    </cfRule>
  </conditionalFormatting>
  <conditionalFormatting sqref="F49">
    <cfRule type="expression" priority="702" dxfId="315">
      <formula>(#REF!="LIGHT SELECTION")</formula>
    </cfRule>
    <cfRule type="expression" priority="458" dxfId="216">
      <formula>(C49="FLO")</formula>
    </cfRule>
    <cfRule type="expression" priority="457" dxfId="215">
      <formula>(C49="LIGHT SELECTION")</formula>
    </cfRule>
    <cfRule type="expression" priority="456" dxfId="214">
      <formula>(C49="LED STRIP")</formula>
    </cfRule>
  </conditionalFormatting>
  <conditionalFormatting sqref="F56:F57">
    <cfRule type="expression" priority="379" dxfId="205" stopIfTrue="1">
      <formula>(ISNUMBER(SEARCH("UV",D48)))</formula>
    </cfRule>
    <cfRule type="expression" priority="380" dxfId="207">
      <formula>(((I48*3600)/(C56*I45))^2+20)&gt;180</formula>
    </cfRule>
    <cfRule type="expression" priority="378" dxfId="207">
      <formula>(((I48*3600)/(C56*I45))^2+20)&gt;300</formula>
    </cfRule>
    <cfRule type="expression" priority="377" dxfId="206" stopIfTrue="1">
      <formula>D48="canopy type"</formula>
    </cfRule>
    <cfRule type="expression" priority="376" dxfId="206">
      <formula>D56="CENTREX"</formula>
    </cfRule>
    <cfRule type="expression" priority="375" dxfId="206">
      <formula>D56="GRILLE"</formula>
    </cfRule>
    <cfRule type="expression" priority="374" dxfId="208">
      <formula>D56="WW PODS"</formula>
    </cfRule>
    <cfRule type="expression" priority="373" dxfId="206">
      <formula>D56="NF"</formula>
    </cfRule>
    <cfRule type="expression" priority="381" dxfId="205">
      <formula>D56="KSA"</formula>
    </cfRule>
  </conditionalFormatting>
  <conditionalFormatting sqref="F58">
    <cfRule type="cellIs" priority="564" operator="lessThan" dxfId="204">
      <formula>2100</formula>
    </cfRule>
  </conditionalFormatting>
  <conditionalFormatting sqref="F63">
    <cfRule type="cellIs" priority="543" operator="greaterThan" dxfId="204">
      <formula>3001</formula>
    </cfRule>
  </conditionalFormatting>
  <conditionalFormatting sqref="F66">
    <cfRule type="expression" priority="452" dxfId="214">
      <formula>(C66="LED STRIP")</formula>
    </cfRule>
    <cfRule type="expression" priority="453" dxfId="215">
      <formula>(C66="LIGHT SELECTION")</formula>
    </cfRule>
    <cfRule type="expression" priority="455" dxfId="216">
      <formula>(C66="FLO")</formula>
    </cfRule>
  </conditionalFormatting>
  <conditionalFormatting sqref="F73:F74">
    <cfRule type="expression" priority="358" dxfId="206">
      <formula>D73="NF"</formula>
    </cfRule>
    <cfRule type="expression" priority="359" dxfId="208">
      <formula>D73="WW PODS"</formula>
    </cfRule>
    <cfRule type="expression" priority="360" dxfId="206">
      <formula>D73="GRILLE"</formula>
    </cfRule>
    <cfRule type="expression" priority="361" dxfId="206">
      <formula>D73="CENTREX"</formula>
    </cfRule>
    <cfRule type="expression" priority="362" dxfId="206" stopIfTrue="1">
      <formula>D65="canopy type"</formula>
    </cfRule>
    <cfRule type="expression" priority="363" dxfId="207">
      <formula>(((I65*3600)/(C73*I62))^2+20)&gt;300</formula>
    </cfRule>
    <cfRule type="expression" priority="364" dxfId="205" stopIfTrue="1">
      <formula>(ISNUMBER(SEARCH("UV",D65)))</formula>
    </cfRule>
    <cfRule type="expression" priority="365" dxfId="207">
      <formula>(((I65*3600)/(C73*I62))^2+20)&gt;180</formula>
    </cfRule>
    <cfRule type="expression" priority="366" dxfId="205">
      <formula>D73="KSA"</formula>
    </cfRule>
  </conditionalFormatting>
  <conditionalFormatting sqref="F75">
    <cfRule type="cellIs" priority="537" operator="lessThan" dxfId="204">
      <formula>2100</formula>
    </cfRule>
  </conditionalFormatting>
  <conditionalFormatting sqref="F80">
    <cfRule type="cellIs" priority="515" operator="greaterThan" dxfId="204">
      <formula>3001</formula>
    </cfRule>
  </conditionalFormatting>
  <conditionalFormatting sqref="F83">
    <cfRule type="expression" priority="448" dxfId="214">
      <formula>(C83="LED STRIP")</formula>
    </cfRule>
    <cfRule type="expression" priority="451" dxfId="216">
      <formula>(C83="FLO")</formula>
    </cfRule>
    <cfRule type="expression" priority="449" dxfId="215">
      <formula>(C83="LIGHT SELECTION")</formula>
    </cfRule>
  </conditionalFormatting>
  <conditionalFormatting sqref="F90:F91">
    <cfRule type="expression" priority="343" dxfId="206">
      <formula>D90="NF"</formula>
    </cfRule>
    <cfRule type="expression" priority="344" dxfId="208">
      <formula>D90="WW PODS"</formula>
    </cfRule>
    <cfRule type="expression" priority="345" dxfId="206">
      <formula>D90="GRILLE"</formula>
    </cfRule>
    <cfRule type="expression" priority="346" dxfId="206">
      <formula>D90="CENTREX"</formula>
    </cfRule>
    <cfRule type="expression" priority="347" dxfId="206" stopIfTrue="1">
      <formula>D82="canopy type"</formula>
    </cfRule>
    <cfRule type="expression" priority="348" dxfId="207">
      <formula>(((I82*3600)/(C90*I79))^2+20)&gt;300</formula>
    </cfRule>
    <cfRule type="expression" priority="349" dxfId="205" stopIfTrue="1">
      <formula>(ISNUMBER(SEARCH("UV",D82)))</formula>
    </cfRule>
    <cfRule type="expression" priority="351" dxfId="205">
      <formula>D90="KSA"</formula>
    </cfRule>
    <cfRule type="expression" priority="350" dxfId="207">
      <formula>(((I82*3600)/(C90*I79))^2+20)&gt;180</formula>
    </cfRule>
  </conditionalFormatting>
  <conditionalFormatting sqref="F92">
    <cfRule type="cellIs" priority="509" operator="lessThan" dxfId="204">
      <formula>2100</formula>
    </cfRule>
  </conditionalFormatting>
  <conditionalFormatting sqref="F97">
    <cfRule type="cellIs" priority="486" operator="greaterThan" dxfId="204">
      <formula>3001</formula>
    </cfRule>
  </conditionalFormatting>
  <conditionalFormatting sqref="F100">
    <cfRule type="expression" priority="447" dxfId="216">
      <formula>(C100="FLO")</formula>
    </cfRule>
    <cfRule type="expression" priority="444" dxfId="214">
      <formula>(C100="LED STRIP")</formula>
    </cfRule>
    <cfRule type="expression" priority="445" dxfId="215">
      <formula>(C100="LIGHT SELECTION")</formula>
    </cfRule>
  </conditionalFormatting>
  <conditionalFormatting sqref="F107:F108">
    <cfRule type="expression" priority="329" dxfId="208">
      <formula>D107="WW PODS"</formula>
    </cfRule>
    <cfRule type="expression" priority="330" dxfId="206">
      <formula>D107="GRILLE"</formula>
    </cfRule>
    <cfRule type="expression" priority="334" dxfId="205" stopIfTrue="1">
      <formula>(ISNUMBER(SEARCH("UV",D99)))</formula>
    </cfRule>
    <cfRule type="expression" priority="333" dxfId="207">
      <formula>(((I99*3600)/(C107*I96))^2+20)&gt;300</formula>
    </cfRule>
    <cfRule type="expression" priority="335" dxfId="207">
      <formula>(((I99*3600)/(C107*I96))^2+20)&gt;180</formula>
    </cfRule>
    <cfRule type="expression" priority="332" dxfId="206" stopIfTrue="1">
      <formula>D99="canopy type"</formula>
    </cfRule>
    <cfRule type="expression" priority="331" dxfId="206">
      <formula>D107="CENTREX"</formula>
    </cfRule>
    <cfRule type="expression" priority="336" dxfId="205">
      <formula>D107="KSA"</formula>
    </cfRule>
    <cfRule type="expression" priority="328" dxfId="206">
      <formula>D107="NF"</formula>
    </cfRule>
  </conditionalFormatting>
  <conditionalFormatting sqref="F109">
    <cfRule type="cellIs" priority="480" operator="lessThan" dxfId="204">
      <formula>2100</formula>
    </cfRule>
  </conditionalFormatting>
  <conditionalFormatting sqref="F114">
    <cfRule type="cellIs" priority="309" operator="greaterThan" dxfId="204">
      <formula>3001</formula>
    </cfRule>
  </conditionalFormatting>
  <conditionalFormatting sqref="F117">
    <cfRule type="expression" priority="292" dxfId="216">
      <formula>(C117="FLO")</formula>
    </cfRule>
    <cfRule type="expression" priority="290" dxfId="215">
      <formula>(C117="LIGHT SELECTION")</formula>
    </cfRule>
    <cfRule type="expression" priority="289" dxfId="214">
      <formula>(C117="LED STRIP")</formula>
    </cfRule>
  </conditionalFormatting>
  <conditionalFormatting sqref="F124:F125">
    <cfRule type="expression" priority="279" dxfId="206">
      <formula>D124="GRILLE"</formula>
    </cfRule>
    <cfRule type="expression" priority="278" dxfId="208">
      <formula>D124="WW PODS"</formula>
    </cfRule>
    <cfRule type="expression" priority="277" dxfId="206">
      <formula>D124="NF"</formula>
    </cfRule>
    <cfRule type="expression" priority="281" dxfId="206" stopIfTrue="1">
      <formula>D116="canopy type"</formula>
    </cfRule>
    <cfRule type="expression" priority="282" dxfId="207">
      <formula>(((I116*3600)/(C124*I113))^2+20)&gt;300</formula>
    </cfRule>
    <cfRule type="expression" priority="283" dxfId="205" stopIfTrue="1">
      <formula>(ISNUMBER(SEARCH("UV",D116)))</formula>
    </cfRule>
    <cfRule type="expression" priority="284" dxfId="207">
      <formula>(((I116*3600)/(C124*I113))^2+20)&gt;180</formula>
    </cfRule>
    <cfRule type="expression" priority="285" dxfId="205">
      <formula>D124="KSA"</formula>
    </cfRule>
    <cfRule type="expression" priority="280" dxfId="206">
      <formula>D124="CENTREX"</formula>
    </cfRule>
  </conditionalFormatting>
  <conditionalFormatting sqref="F126">
    <cfRule type="cellIs" priority="303" operator="lessThan" dxfId="204">
      <formula>2100</formula>
    </cfRule>
  </conditionalFormatting>
  <conditionalFormatting sqref="F131">
    <cfRule type="cellIs" priority="254" operator="greaterThan" dxfId="204">
      <formula>3001</formula>
    </cfRule>
  </conditionalFormatting>
  <conditionalFormatting sqref="F134">
    <cfRule type="expression" priority="234" dxfId="214">
      <formula>(C134="LED STRIP")</formula>
    </cfRule>
    <cfRule type="expression" priority="237" dxfId="216">
      <formula>(C134="FLO")</formula>
    </cfRule>
    <cfRule type="expression" priority="235" dxfId="215">
      <formula>(C134="LIGHT SELECTION")</formula>
    </cfRule>
  </conditionalFormatting>
  <conditionalFormatting sqref="F141:F142">
    <cfRule type="expression" priority="223" dxfId="208">
      <formula>D141="WW PODS"</formula>
    </cfRule>
    <cfRule type="expression" priority="224" dxfId="206">
      <formula>D141="GRILLE"</formula>
    </cfRule>
    <cfRule type="expression" priority="225" dxfId="206">
      <formula>D141="CENTREX"</formula>
    </cfRule>
    <cfRule type="expression" priority="222" dxfId="206">
      <formula>D141="NF"</formula>
    </cfRule>
    <cfRule type="expression" priority="226" dxfId="206" stopIfTrue="1">
      <formula>D133="canopy type"</formula>
    </cfRule>
    <cfRule type="expression" priority="227" dxfId="207">
      <formula>(((I133*3600)/(C141*I130))^2+20)&gt;300</formula>
    </cfRule>
    <cfRule type="expression" priority="228" dxfId="205" stopIfTrue="1">
      <formula>(ISNUMBER(SEARCH("UV",D133)))</formula>
    </cfRule>
    <cfRule type="expression" priority="229" dxfId="207">
      <formula>(((I133*3600)/(C141*I130))^2+20)&gt;180</formula>
    </cfRule>
    <cfRule type="expression" priority="230" dxfId="205">
      <formula>D141="KSA"</formula>
    </cfRule>
  </conditionalFormatting>
  <conditionalFormatting sqref="F143">
    <cfRule type="cellIs" priority="248" operator="lessThan" dxfId="204">
      <formula>2100</formula>
    </cfRule>
  </conditionalFormatting>
  <conditionalFormatting sqref="F148">
    <cfRule type="cellIs" priority="203" operator="greaterThan" dxfId="204">
      <formula>3001</formula>
    </cfRule>
  </conditionalFormatting>
  <conditionalFormatting sqref="F151">
    <cfRule type="expression" priority="183" dxfId="214">
      <formula>(C151="LED STRIP")</formula>
    </cfRule>
    <cfRule type="expression" priority="184" dxfId="215">
      <formula>(C151="LIGHT SELECTION")</formula>
    </cfRule>
    <cfRule type="expression" priority="186" dxfId="216">
      <formula>(C151="FLO")</formula>
    </cfRule>
  </conditionalFormatting>
  <conditionalFormatting sqref="F158:F159">
    <cfRule type="expression" priority="178" dxfId="207">
      <formula>(((I150*3600)/(C158*I147))^2+20)&gt;180</formula>
    </cfRule>
    <cfRule type="expression" priority="171" dxfId="206">
      <formula>D158="NF"</formula>
    </cfRule>
    <cfRule type="expression" priority="172" dxfId="208">
      <formula>D158="WW PODS"</formula>
    </cfRule>
    <cfRule type="expression" priority="173" dxfId="206">
      <formula>D158="GRILLE"</formula>
    </cfRule>
    <cfRule type="expression" priority="174" dxfId="206">
      <formula>D158="CENTREX"</formula>
    </cfRule>
    <cfRule type="expression" priority="175" dxfId="206" stopIfTrue="1">
      <formula>D150="canopy type"</formula>
    </cfRule>
    <cfRule type="expression" priority="176" dxfId="207">
      <formula>(((I150*3600)/(C158*I147))^2+20)&gt;300</formula>
    </cfRule>
    <cfRule type="expression" priority="179" dxfId="205">
      <formula>D158="KSA"</formula>
    </cfRule>
    <cfRule type="expression" priority="177" dxfId="205" stopIfTrue="1">
      <formula>(ISNUMBER(SEARCH("UV",D150)))</formula>
    </cfRule>
  </conditionalFormatting>
  <conditionalFormatting sqref="F160">
    <cfRule type="cellIs" priority="197" operator="lessThan" dxfId="204">
      <formula>2100</formula>
    </cfRule>
  </conditionalFormatting>
  <conditionalFormatting sqref="F165">
    <cfRule type="cellIs" priority="152" operator="greaterThan" dxfId="204">
      <formula>3001</formula>
    </cfRule>
  </conditionalFormatting>
  <conditionalFormatting sqref="F168">
    <cfRule type="expression" priority="135" dxfId="216">
      <formula>(C168="FLO")</formula>
    </cfRule>
    <cfRule type="expression" priority="133" dxfId="215">
      <formula>(C168="LIGHT SELECTION")</formula>
    </cfRule>
    <cfRule type="expression" priority="132" dxfId="214">
      <formula>(C168="LED STRIP")</formula>
    </cfRule>
  </conditionalFormatting>
  <conditionalFormatting sqref="F175:F176">
    <cfRule type="expression" priority="126" dxfId="205" stopIfTrue="1">
      <formula>(ISNUMBER(SEARCH("UV",D167)))</formula>
    </cfRule>
    <cfRule type="expression" priority="125" dxfId="207">
      <formula>(((I167*3600)/(C175*I164))^2+20)&gt;300</formula>
    </cfRule>
    <cfRule type="expression" priority="124" dxfId="206" stopIfTrue="1">
      <formula>D167="canopy type"</formula>
    </cfRule>
    <cfRule type="expression" priority="123" dxfId="206">
      <formula>D175="CENTREX"</formula>
    </cfRule>
    <cfRule type="expression" priority="122" dxfId="206">
      <formula>D175="GRILLE"</formula>
    </cfRule>
    <cfRule type="expression" priority="121" dxfId="208">
      <formula>D175="WW PODS"</formula>
    </cfRule>
    <cfRule type="expression" priority="127" dxfId="207">
      <formula>(((I167*3600)/(C175*I164))^2+20)&gt;180</formula>
    </cfRule>
    <cfRule type="expression" priority="120" dxfId="206">
      <formula>D175="NF"</formula>
    </cfRule>
    <cfRule type="expression" priority="128" dxfId="205">
      <formula>D175="KSA"</formula>
    </cfRule>
  </conditionalFormatting>
  <conditionalFormatting sqref="F177">
    <cfRule type="cellIs" priority="146" operator="lessThan" dxfId="204">
      <formula>2100</formula>
    </cfRule>
  </conditionalFormatting>
  <conditionalFormatting sqref="G11">
    <cfRule type="expression" priority="681" dxfId="176">
      <formula>((F14-50)/H14)&lt;950</formula>
    </cfRule>
  </conditionalFormatting>
  <conditionalFormatting sqref="G12">
    <cfRule type="expression" priority="680" dxfId="175">
      <formula>((F14-50)/H14)&lt;950</formula>
    </cfRule>
  </conditionalFormatting>
  <conditionalFormatting sqref="G14">
    <cfRule type="cellIs" priority="676" operator="lessThan" dxfId="164">
      <formula>400</formula>
    </cfRule>
  </conditionalFormatting>
  <conditionalFormatting sqref="G28">
    <cfRule type="expression" priority="625" dxfId="176">
      <formula>((F31-50)/H31)&lt;950</formula>
    </cfRule>
  </conditionalFormatting>
  <conditionalFormatting sqref="G29">
    <cfRule type="expression" priority="603" dxfId="175">
      <formula>((F31-50)/H31)&lt;950</formula>
    </cfRule>
  </conditionalFormatting>
  <conditionalFormatting sqref="G31">
    <cfRule type="cellIs" priority="599" operator="lessThan" dxfId="164">
      <formula>400</formula>
    </cfRule>
  </conditionalFormatting>
  <conditionalFormatting sqref="G45">
    <cfRule type="expression" priority="641" dxfId="176">
      <formula>((F48-50)/H48)&lt;950</formula>
    </cfRule>
  </conditionalFormatting>
  <conditionalFormatting sqref="G46">
    <cfRule type="expression" priority="571" dxfId="175">
      <formula>((F48-50)/H48)&lt;950</formula>
    </cfRule>
  </conditionalFormatting>
  <conditionalFormatting sqref="G48">
    <cfRule type="cellIs" priority="567" operator="lessThan" dxfId="164">
      <formula>400</formula>
    </cfRule>
  </conditionalFormatting>
  <conditionalFormatting sqref="G62">
    <cfRule type="expression" priority="642" dxfId="176">
      <formula>((F65-50)/H65)&lt;950</formula>
    </cfRule>
  </conditionalFormatting>
  <conditionalFormatting sqref="G63">
    <cfRule type="expression" priority="544" dxfId="175">
      <formula>((F65-50)/H65)&lt;950</formula>
    </cfRule>
  </conditionalFormatting>
  <conditionalFormatting sqref="G65">
    <cfRule type="cellIs" priority="540" operator="lessThan" dxfId="164">
      <formula>400</formula>
    </cfRule>
  </conditionalFormatting>
  <conditionalFormatting sqref="G79">
    <cfRule type="expression" priority="643" dxfId="176">
      <formula>((F82-50)/H82)&lt;950</formula>
    </cfRule>
  </conditionalFormatting>
  <conditionalFormatting sqref="G80">
    <cfRule type="expression" priority="516" dxfId="175">
      <formula>((F82-50)/H82)&lt;950</formula>
    </cfRule>
  </conditionalFormatting>
  <conditionalFormatting sqref="G82">
    <cfRule type="cellIs" priority="512" operator="lessThan" dxfId="164">
      <formula>400</formula>
    </cfRule>
  </conditionalFormatting>
  <conditionalFormatting sqref="G96">
    <cfRule type="expression" priority="653" dxfId="176">
      <formula>((F99-50)/H99)&lt;950</formula>
    </cfRule>
  </conditionalFormatting>
  <conditionalFormatting sqref="G97">
    <cfRule type="expression" priority="487" dxfId="175">
      <formula>((F99-50)/H99)&lt;950</formula>
    </cfRule>
  </conditionalFormatting>
  <conditionalFormatting sqref="G99">
    <cfRule type="cellIs" priority="483" operator="lessThan" dxfId="164">
      <formula>400</formula>
    </cfRule>
  </conditionalFormatting>
  <conditionalFormatting sqref="G113">
    <cfRule type="expression" priority="321" dxfId="176">
      <formula>((F116-50)/H116)&lt;950</formula>
    </cfRule>
  </conditionalFormatting>
  <conditionalFormatting sqref="G114">
    <cfRule type="expression" priority="310" dxfId="175">
      <formula>((F116-50)/H116)&lt;950</formula>
    </cfRule>
  </conditionalFormatting>
  <conditionalFormatting sqref="G116">
    <cfRule type="cellIs" priority="306" operator="lessThan" dxfId="164">
      <formula>400</formula>
    </cfRule>
  </conditionalFormatting>
  <conditionalFormatting sqref="G130">
    <cfRule type="expression" priority="266" dxfId="176">
      <formula>((F133-50)/H133)&lt;950</formula>
    </cfRule>
  </conditionalFormatting>
  <conditionalFormatting sqref="G131">
    <cfRule type="expression" priority="255" dxfId="175">
      <formula>((F133-50)/H133)&lt;950</formula>
    </cfRule>
  </conditionalFormatting>
  <conditionalFormatting sqref="G133">
    <cfRule type="cellIs" priority="251" operator="lessThan" dxfId="164">
      <formula>400</formula>
    </cfRule>
  </conditionalFormatting>
  <conditionalFormatting sqref="G147">
    <cfRule type="expression" priority="215" dxfId="176">
      <formula>((F150-50)/H150)&lt;950</formula>
    </cfRule>
  </conditionalFormatting>
  <conditionalFormatting sqref="G148">
    <cfRule type="expression" priority="204" dxfId="175">
      <formula>((F150-50)/H150)&lt;950</formula>
    </cfRule>
  </conditionalFormatting>
  <conditionalFormatting sqref="G150">
    <cfRule type="cellIs" priority="200" operator="lessThan" dxfId="164">
      <formula>400</formula>
    </cfRule>
  </conditionalFormatting>
  <conditionalFormatting sqref="G164">
    <cfRule type="expression" priority="164" dxfId="176">
      <formula>((F167-50)/H167)&lt;950</formula>
    </cfRule>
  </conditionalFormatting>
  <conditionalFormatting sqref="G165">
    <cfRule type="expression" priority="153" dxfId="175">
      <formula>((F167-50)/H167)&lt;950</formula>
    </cfRule>
  </conditionalFormatting>
  <conditionalFormatting sqref="G167">
    <cfRule type="cellIs" priority="149" operator="lessThan" dxfId="164">
      <formula>400</formula>
    </cfRule>
  </conditionalFormatting>
  <conditionalFormatting sqref="I14">
    <cfRule type="cellIs" priority="677" operator="lessThan" dxfId="164">
      <formula>0.1</formula>
    </cfRule>
  </conditionalFormatting>
  <conditionalFormatting sqref="I31">
    <cfRule type="cellIs" priority="600" operator="lessThan" dxfId="164">
      <formula>0.1</formula>
    </cfRule>
  </conditionalFormatting>
  <conditionalFormatting sqref="I48">
    <cfRule type="cellIs" priority="568" operator="lessThan" dxfId="164">
      <formula>0.1</formula>
    </cfRule>
  </conditionalFormatting>
  <conditionalFormatting sqref="I65">
    <cfRule type="cellIs" priority="541" operator="lessThan" dxfId="164">
      <formula>0.1</formula>
    </cfRule>
  </conditionalFormatting>
  <conditionalFormatting sqref="I82">
    <cfRule type="cellIs" priority="513" operator="lessThan" dxfId="164">
      <formula>0.1</formula>
    </cfRule>
  </conditionalFormatting>
  <conditionalFormatting sqref="I99">
    <cfRule type="cellIs" priority="484" operator="lessThan" dxfId="164">
      <formula>0.1</formula>
    </cfRule>
  </conditionalFormatting>
  <conditionalFormatting sqref="I116">
    <cfRule type="cellIs" priority="307" operator="lessThan" dxfId="164">
      <formula>0.1</formula>
    </cfRule>
  </conditionalFormatting>
  <conditionalFormatting sqref="I133">
    <cfRule type="cellIs" priority="252" operator="lessThan" dxfId="164">
      <formula>0.1</formula>
    </cfRule>
  </conditionalFormatting>
  <conditionalFormatting sqref="I150">
    <cfRule type="cellIs" priority="201" operator="lessThan" dxfId="164">
      <formula>0.1</formula>
    </cfRule>
  </conditionalFormatting>
  <conditionalFormatting sqref="I167">
    <cfRule type="cellIs" priority="150" operator="lessThan" dxfId="164">
      <formula>0.1</formula>
    </cfRule>
  </conditionalFormatting>
  <conditionalFormatting sqref="J14:J27">
    <cfRule type="cellIs" priority="410" operator="greaterThan" dxfId="153">
      <formula>0</formula>
    </cfRule>
  </conditionalFormatting>
  <conditionalFormatting sqref="J31:J44">
    <cfRule type="cellIs" priority="383" operator="greaterThan" dxfId="153">
      <formula>0</formula>
    </cfRule>
  </conditionalFormatting>
  <conditionalFormatting sqref="J48:J61">
    <cfRule type="cellIs" priority="99" operator="greaterThan" dxfId="153">
      <formula>0</formula>
    </cfRule>
  </conditionalFormatting>
  <conditionalFormatting sqref="J65:J78">
    <cfRule type="cellIs" priority="85" operator="greaterThan" dxfId="153">
      <formula>0</formula>
    </cfRule>
  </conditionalFormatting>
  <conditionalFormatting sqref="J82:J95">
    <cfRule type="cellIs" priority="71" operator="greaterThan" dxfId="153">
      <formula>0</formula>
    </cfRule>
  </conditionalFormatting>
  <conditionalFormatting sqref="J99:J112">
    <cfRule type="cellIs" priority="57" operator="greaterThan" dxfId="153">
      <formula>0</formula>
    </cfRule>
  </conditionalFormatting>
  <conditionalFormatting sqref="J116:J129">
    <cfRule type="cellIs" priority="43" operator="greaterThan" dxfId="153">
      <formula>0</formula>
    </cfRule>
  </conditionalFormatting>
  <conditionalFormatting sqref="J133:J146">
    <cfRule type="cellIs" priority="29" operator="greaterThan" dxfId="153">
      <formula>0</formula>
    </cfRule>
  </conditionalFormatting>
  <conditionalFormatting sqref="J150:J163">
    <cfRule type="cellIs" priority="15" operator="greaterThan" dxfId="153">
      <formula>0</formula>
    </cfRule>
  </conditionalFormatting>
  <conditionalFormatting sqref="J167:J180">
    <cfRule type="cellIs" priority="1" operator="greaterThan" dxfId="153">
      <formula>0</formula>
    </cfRule>
  </conditionalFormatting>
  <conditionalFormatting sqref="J183:J197">
    <cfRule type="expression" priority="267" dxfId="153">
      <formula>C183&gt;0</formula>
    </cfRule>
  </conditionalFormatting>
  <conditionalFormatting sqref="J199">
    <cfRule type="expression" priority="658" dxfId="2">
      <formula>#REF!="EURO"</formula>
    </cfRule>
  </conditionalFormatting>
  <conditionalFormatting sqref="K14:K27">
    <cfRule type="cellIs" priority="424" operator="greaterThan" dxfId="141">
      <formula>0</formula>
    </cfRule>
  </conditionalFormatting>
  <conditionalFormatting sqref="K31:K44">
    <cfRule type="cellIs" priority="386" operator="greaterThan" dxfId="141">
      <formula>0</formula>
    </cfRule>
  </conditionalFormatting>
  <conditionalFormatting sqref="K48:K61">
    <cfRule type="cellIs" priority="102" operator="greaterThan" dxfId="141">
      <formula>0</formula>
    </cfRule>
  </conditionalFormatting>
  <conditionalFormatting sqref="K65:K78">
    <cfRule type="cellIs" priority="88" operator="greaterThan" dxfId="141">
      <formula>0</formula>
    </cfRule>
  </conditionalFormatting>
  <conditionalFormatting sqref="K82:K95">
    <cfRule type="cellIs" priority="74" operator="greaterThan" dxfId="141">
      <formula>0</formula>
    </cfRule>
  </conditionalFormatting>
  <conditionalFormatting sqref="K99:K112">
    <cfRule type="cellIs" priority="60" operator="greaterThan" dxfId="141">
      <formula>0</formula>
    </cfRule>
  </conditionalFormatting>
  <conditionalFormatting sqref="K116:K129">
    <cfRule type="cellIs" priority="46" operator="greaterThan" dxfId="141">
      <formula>0</formula>
    </cfRule>
  </conditionalFormatting>
  <conditionalFormatting sqref="K133:K146">
    <cfRule type="cellIs" priority="32" operator="greaterThan" dxfId="141">
      <formula>0</formula>
    </cfRule>
  </conditionalFormatting>
  <conditionalFormatting sqref="K150:K163">
    <cfRule type="cellIs" priority="18" operator="greaterThan" dxfId="141">
      <formula>0</formula>
    </cfRule>
  </conditionalFormatting>
  <conditionalFormatting sqref="K167:K180">
    <cfRule type="cellIs" priority="4" operator="greaterThan" dxfId="141">
      <formula>0</formula>
    </cfRule>
  </conditionalFormatting>
  <conditionalFormatting sqref="K183:K197">
    <cfRule type="cellIs" priority="268" operator="greaterThan" dxfId="141">
      <formula>0</formula>
    </cfRule>
  </conditionalFormatting>
  <conditionalFormatting sqref="K199">
    <cfRule type="expression" priority="657" dxfId="2">
      <formula>$B$9="EURO"</formula>
    </cfRule>
    <cfRule type="expression" priority="656" dxfId="3">
      <formula>$B$9="USD"</formula>
    </cfRule>
    <cfRule type="expression" priority="655" dxfId="0">
      <formula>$B$9="CZK"</formula>
    </cfRule>
    <cfRule type="expression" priority="654" dxfId="4">
      <formula>$B$9="PLN"</formula>
    </cfRule>
  </conditionalFormatting>
  <conditionalFormatting sqref="L14:L27">
    <cfRule type="expression" priority="421" dxfId="116">
      <formula>$C$9&lt;0</formula>
    </cfRule>
    <cfRule type="expression" priority="422" dxfId="115">
      <formula>$C$9&gt;0</formula>
    </cfRule>
  </conditionalFormatting>
  <conditionalFormatting sqref="L31:L44">
    <cfRule type="expression" priority="385" dxfId="115">
      <formula>$C$9&gt;0</formula>
    </cfRule>
    <cfRule type="expression" priority="384" dxfId="116">
      <formula>$C$9&lt;0</formula>
    </cfRule>
  </conditionalFormatting>
  <conditionalFormatting sqref="L48:L61">
    <cfRule type="expression" priority="100" dxfId="116">
      <formula>$C$9&lt;0</formula>
    </cfRule>
    <cfRule type="expression" priority="101" dxfId="115">
      <formula>$C$9&gt;0</formula>
    </cfRule>
  </conditionalFormatting>
  <conditionalFormatting sqref="L65:L78">
    <cfRule type="expression" priority="86" dxfId="116">
      <formula>$C$9&lt;0</formula>
    </cfRule>
    <cfRule type="expression" priority="87" dxfId="115">
      <formula>$C$9&gt;0</formula>
    </cfRule>
  </conditionalFormatting>
  <conditionalFormatting sqref="L82:L95">
    <cfRule type="expression" priority="72" dxfId="116">
      <formula>$C$9&lt;0</formula>
    </cfRule>
    <cfRule type="expression" priority="73" dxfId="115">
      <formula>$C$9&gt;0</formula>
    </cfRule>
  </conditionalFormatting>
  <conditionalFormatting sqref="L99:L112">
    <cfRule type="expression" priority="58" dxfId="116">
      <formula>$C$9&lt;0</formula>
    </cfRule>
    <cfRule type="expression" priority="59" dxfId="115">
      <formula>$C$9&gt;0</formula>
    </cfRule>
  </conditionalFormatting>
  <conditionalFormatting sqref="L116:L129">
    <cfRule type="expression" priority="44" dxfId="116">
      <formula>$C$9&lt;0</formula>
    </cfRule>
    <cfRule type="expression" priority="45" dxfId="115">
      <formula>$C$9&gt;0</formula>
    </cfRule>
  </conditionalFormatting>
  <conditionalFormatting sqref="L133:L146">
    <cfRule type="expression" priority="31" dxfId="115">
      <formula>$C$9&gt;0</formula>
    </cfRule>
    <cfRule type="expression" priority="30" dxfId="116">
      <formula>$C$9&lt;0</formula>
    </cfRule>
  </conditionalFormatting>
  <conditionalFormatting sqref="L150:L163">
    <cfRule type="expression" priority="17" dxfId="115">
      <formula>$C$9&gt;0</formula>
    </cfRule>
    <cfRule type="expression" priority="16" dxfId="116">
      <formula>$C$9&lt;0</formula>
    </cfRule>
  </conditionalFormatting>
  <conditionalFormatting sqref="L167:L180">
    <cfRule type="expression" priority="3" dxfId="115">
      <formula>$C$9&gt;0</formula>
    </cfRule>
    <cfRule type="expression" priority="2" dxfId="116">
      <formula>$C$9&lt;0</formula>
    </cfRule>
  </conditionalFormatting>
  <conditionalFormatting sqref="L183:L197">
    <cfRule type="expression" priority="644" dxfId="116">
      <formula>$C$9&lt;0</formula>
    </cfRule>
    <cfRule type="expression" priority="645" dxfId="115">
      <formula>$C$9&gt;0</formula>
    </cfRule>
  </conditionalFormatting>
  <conditionalFormatting sqref="N9 N12">
    <cfRule type="expression" priority="688" dxfId="4">
      <formula>$B$9="PLN"</formula>
    </cfRule>
    <cfRule type="expression" priority="689" dxfId="0">
      <formula>$B$9="CZK"</formula>
    </cfRule>
    <cfRule type="expression" priority="690" dxfId="3">
      <formula>$B$9="USD"</formula>
    </cfRule>
    <cfRule type="expression" priority="691" dxfId="2">
      <formula>$B$9="EURO"</formula>
    </cfRule>
  </conditionalFormatting>
  <conditionalFormatting sqref="N14:N27">
    <cfRule type="expression" priority="630" dxfId="3">
      <formula>$B$9="USD"</formula>
    </cfRule>
    <cfRule type="expression" priority="629" dxfId="2">
      <formula>$B$9="EURO"</formula>
    </cfRule>
    <cfRule type="cellIs" priority="628" operator="greaterThan" dxfId="1">
      <formula>0</formula>
    </cfRule>
    <cfRule type="expression" priority="632" dxfId="0">
      <formula>$B$9="CZK"</formula>
    </cfRule>
    <cfRule type="expression" priority="631" dxfId="4">
      <formula>$B$9="PLN"</formula>
    </cfRule>
  </conditionalFormatting>
  <conditionalFormatting sqref="N29">
    <cfRule type="expression" priority="609" dxfId="4">
      <formula>$B$9="PLN"</formula>
    </cfRule>
    <cfRule type="expression" priority="612" dxfId="2">
      <formula>$B$9="EURO"</formula>
    </cfRule>
    <cfRule type="expression" priority="611" dxfId="3">
      <formula>$B$9="USD"</formula>
    </cfRule>
    <cfRule type="expression" priority="610" dxfId="0">
      <formula>$B$9="CZK"</formula>
    </cfRule>
  </conditionalFormatting>
  <conditionalFormatting sqref="N31:N44">
    <cfRule type="cellIs" priority="389" operator="greaterThan" dxfId="1">
      <formula>0</formula>
    </cfRule>
    <cfRule type="expression" priority="390" dxfId="2">
      <formula>$B$9="EURO"</formula>
    </cfRule>
    <cfRule type="expression" priority="391" dxfId="3">
      <formula>$B$9="USD"</formula>
    </cfRule>
    <cfRule type="expression" priority="392" dxfId="4">
      <formula>$B$9="PLN"</formula>
    </cfRule>
    <cfRule type="expression" priority="393" dxfId="0">
      <formula>$B$9="CZK"</formula>
    </cfRule>
  </conditionalFormatting>
  <conditionalFormatting sqref="N46">
    <cfRule type="expression" priority="577" dxfId="4">
      <formula>$B$9="PLN"</formula>
    </cfRule>
    <cfRule type="expression" priority="579" dxfId="3">
      <formula>$B$9="USD"</formula>
    </cfRule>
    <cfRule type="expression" priority="580" dxfId="2">
      <formula>$B$9="EURO"</formula>
    </cfRule>
    <cfRule type="expression" priority="578" dxfId="0">
      <formula>$B$9="CZK"</formula>
    </cfRule>
  </conditionalFormatting>
  <conditionalFormatting sqref="N48:N61">
    <cfRule type="expression" priority="105" dxfId="2">
      <formula>$B$9="EURO"</formula>
    </cfRule>
    <cfRule type="cellIs" priority="104" operator="greaterThan" dxfId="1">
      <formula>0</formula>
    </cfRule>
    <cfRule type="expression" priority="108" dxfId="0">
      <formula>$B$9="CZK"</formula>
    </cfRule>
    <cfRule type="expression" priority="107" dxfId="4">
      <formula>$B$9="PLN"</formula>
    </cfRule>
    <cfRule type="expression" priority="106" dxfId="3">
      <formula>$B$9="USD"</formula>
    </cfRule>
  </conditionalFormatting>
  <conditionalFormatting sqref="N63">
    <cfRule type="expression" priority="550" dxfId="4">
      <formula>$B$9="PLN"</formula>
    </cfRule>
    <cfRule type="expression" priority="551" dxfId="0">
      <formula>$B$9="CZK"</formula>
    </cfRule>
    <cfRule type="expression" priority="552" dxfId="3">
      <formula>$B$9="USD"</formula>
    </cfRule>
    <cfRule type="expression" priority="553" dxfId="2">
      <formula>$B$9="EURO"</formula>
    </cfRule>
  </conditionalFormatting>
  <conditionalFormatting sqref="N65:N78">
    <cfRule type="expression" priority="93" dxfId="4">
      <formula>$B$9="PLN"</formula>
    </cfRule>
    <cfRule type="expression" priority="94" dxfId="0">
      <formula>$B$9="CZK"</formula>
    </cfRule>
    <cfRule type="expression" priority="92" dxfId="3">
      <formula>$B$9="USD"</formula>
    </cfRule>
    <cfRule type="expression" priority="91" dxfId="2">
      <formula>$B$9="EURO"</formula>
    </cfRule>
    <cfRule type="cellIs" priority="90" operator="greaterThan" dxfId="1">
      <formula>0</formula>
    </cfRule>
  </conditionalFormatting>
  <conditionalFormatting sqref="N80">
    <cfRule type="expression" priority="523" dxfId="0">
      <formula>$B$9="CZK"</formula>
    </cfRule>
    <cfRule type="expression" priority="524" dxfId="3">
      <formula>$B$9="USD"</formula>
    </cfRule>
    <cfRule type="expression" priority="522" dxfId="4">
      <formula>$B$9="PLN"</formula>
    </cfRule>
    <cfRule type="expression" priority="525" dxfId="2">
      <formula>$B$9="EURO"</formula>
    </cfRule>
  </conditionalFormatting>
  <conditionalFormatting sqref="N82:N95">
    <cfRule type="expression" priority="79" dxfId="4">
      <formula>$B$9="PLN"</formula>
    </cfRule>
    <cfRule type="expression" priority="78" dxfId="3">
      <formula>$B$9="USD"</formula>
    </cfRule>
    <cfRule type="expression" priority="80" dxfId="0">
      <formula>$B$9="CZK"</formula>
    </cfRule>
    <cfRule type="cellIs" priority="76" operator="greaterThan" dxfId="1">
      <formula>0</formula>
    </cfRule>
    <cfRule type="expression" priority="77" dxfId="2">
      <formula>$B$9="EURO"</formula>
    </cfRule>
  </conditionalFormatting>
  <conditionalFormatting sqref="N97">
    <cfRule type="expression" priority="494" dxfId="0">
      <formula>$B$9="CZK"</formula>
    </cfRule>
    <cfRule type="expression" priority="493" dxfId="4">
      <formula>$B$9="PLN"</formula>
    </cfRule>
    <cfRule type="expression" priority="496" dxfId="2">
      <formula>$B$9="EURO"</formula>
    </cfRule>
    <cfRule type="expression" priority="495" dxfId="3">
      <formula>$B$9="USD"</formula>
    </cfRule>
  </conditionalFormatting>
  <conditionalFormatting sqref="N99:N112">
    <cfRule type="cellIs" priority="62" operator="greaterThan" dxfId="1">
      <formula>0</formula>
    </cfRule>
    <cfRule type="expression" priority="63" dxfId="2">
      <formula>$B$9="EURO"</formula>
    </cfRule>
    <cfRule type="expression" priority="64" dxfId="3">
      <formula>$B$9="USD"</formula>
    </cfRule>
    <cfRule type="expression" priority="65" dxfId="4">
      <formula>$B$9="PLN"</formula>
    </cfRule>
    <cfRule type="expression" priority="66" dxfId="0">
      <formula>$B$9="CZK"</formula>
    </cfRule>
  </conditionalFormatting>
  <conditionalFormatting sqref="N114">
    <cfRule type="expression" priority="317" dxfId="0">
      <formula>$B$9="CZK"</formula>
    </cfRule>
    <cfRule type="expression" priority="318" dxfId="3">
      <formula>$B$9="USD"</formula>
    </cfRule>
    <cfRule type="expression" priority="319" dxfId="2">
      <formula>$B$9="EURO"</formula>
    </cfRule>
    <cfRule type="expression" priority="316" dxfId="4">
      <formula>$B$9="PLN"</formula>
    </cfRule>
  </conditionalFormatting>
  <conditionalFormatting sqref="N116:N129">
    <cfRule type="cellIs" priority="48" operator="greaterThan" dxfId="1">
      <formula>0</formula>
    </cfRule>
    <cfRule type="expression" priority="52" dxfId="0">
      <formula>$B$9="CZK"</formula>
    </cfRule>
    <cfRule type="expression" priority="51" dxfId="4">
      <formula>$B$9="PLN"</formula>
    </cfRule>
    <cfRule type="expression" priority="50" dxfId="3">
      <formula>$B$9="USD"</formula>
    </cfRule>
    <cfRule type="expression" priority="49" dxfId="2">
      <formula>$B$9="EURO"</formula>
    </cfRule>
  </conditionalFormatting>
  <conditionalFormatting sqref="N131">
    <cfRule type="expression" priority="261" dxfId="4">
      <formula>$B$9="PLN"</formula>
    </cfRule>
    <cfRule type="expression" priority="262" dxfId="0">
      <formula>$B$9="CZK"</formula>
    </cfRule>
    <cfRule type="expression" priority="263" dxfId="3">
      <formula>$B$9="USD"</formula>
    </cfRule>
    <cfRule type="expression" priority="264" dxfId="2">
      <formula>$B$9="EURO"</formula>
    </cfRule>
  </conditionalFormatting>
  <conditionalFormatting sqref="N133:N146">
    <cfRule type="expression" priority="37" dxfId="4">
      <formula>$B$9="PLN"</formula>
    </cfRule>
    <cfRule type="expression" priority="36" dxfId="3">
      <formula>$B$9="USD"</formula>
    </cfRule>
    <cfRule type="expression" priority="38" dxfId="0">
      <formula>$B$9="CZK"</formula>
    </cfRule>
    <cfRule type="expression" priority="35" dxfId="2">
      <formula>$B$9="EURO"</formula>
    </cfRule>
    <cfRule type="cellIs" priority="34" operator="greaterThan" dxfId="1">
      <formula>0</formula>
    </cfRule>
  </conditionalFormatting>
  <conditionalFormatting sqref="N148">
    <cfRule type="expression" priority="213" dxfId="2">
      <formula>$B$9="EURO"</formula>
    </cfRule>
    <cfRule type="expression" priority="211" dxfId="0">
      <formula>$B$9="CZK"</formula>
    </cfRule>
    <cfRule type="expression" priority="210" dxfId="4">
      <formula>$B$9="PLN"</formula>
    </cfRule>
    <cfRule type="expression" priority="212" dxfId="3">
      <formula>$B$9="USD"</formula>
    </cfRule>
  </conditionalFormatting>
  <conditionalFormatting sqref="N150:N163">
    <cfRule type="expression" priority="22" dxfId="3">
      <formula>$B$9="USD"</formula>
    </cfRule>
    <cfRule type="cellIs" priority="20" operator="greaterThan" dxfId="1">
      <formula>0</formula>
    </cfRule>
    <cfRule type="expression" priority="21" dxfId="2">
      <formula>$B$9="EURO"</formula>
    </cfRule>
    <cfRule type="expression" priority="24" dxfId="0">
      <formula>$B$9="CZK"</formula>
    </cfRule>
    <cfRule type="expression" priority="23" dxfId="4">
      <formula>$B$9="PLN"</formula>
    </cfRule>
  </conditionalFormatting>
  <conditionalFormatting sqref="N165">
    <cfRule type="expression" priority="161" dxfId="3">
      <formula>$B$9="USD"</formula>
    </cfRule>
    <cfRule type="expression" priority="160" dxfId="0">
      <formula>$B$9="CZK"</formula>
    </cfRule>
    <cfRule type="expression" priority="162" dxfId="2">
      <formula>$B$9="EURO"</formula>
    </cfRule>
    <cfRule type="expression" priority="159" dxfId="4">
      <formula>$B$9="PLN"</formula>
    </cfRule>
  </conditionalFormatting>
  <conditionalFormatting sqref="N167:N180">
    <cfRule type="expression" priority="10" dxfId="0">
      <formula>$B$9="CZK"</formula>
    </cfRule>
    <cfRule type="expression" priority="7" dxfId="2">
      <formula>$B$9="EURO"</formula>
    </cfRule>
    <cfRule type="cellIs" priority="6" operator="greaterThan" dxfId="1">
      <formula>0</formula>
    </cfRule>
    <cfRule type="expression" priority="8" dxfId="3">
      <formula>$B$9="USD"</formula>
    </cfRule>
    <cfRule type="expression" priority="9" dxfId="4">
      <formula>$B$9="PLN"</formula>
    </cfRule>
  </conditionalFormatting>
  <conditionalFormatting sqref="N183:N197">
    <cfRule type="expression" priority="640" dxfId="0">
      <formula>$B$9="CZK"</formula>
    </cfRule>
    <cfRule type="expression" priority="639" dxfId="4">
      <formula>$B$9="PLN"</formula>
    </cfRule>
    <cfRule type="expression" priority="638" dxfId="3">
      <formula>$B$9="USD"</formula>
    </cfRule>
    <cfRule type="expression" priority="637" dxfId="2">
      <formula>$B$9="EURO"</formula>
    </cfRule>
    <cfRule type="cellIs" priority="636" operator="greaterThan" dxfId="1">
      <formula>0</formula>
    </cfRule>
  </conditionalFormatting>
  <conditionalFormatting sqref="N182:O182">
    <cfRule type="expression" priority="647" dxfId="0">
      <formula>$B$9="CZK"</formula>
    </cfRule>
    <cfRule type="expression" priority="646" dxfId="4">
      <formula>$B$9="PLN"</formula>
    </cfRule>
    <cfRule type="expression" priority="649" dxfId="2">
      <formula>$B$9="EURO"</formula>
    </cfRule>
    <cfRule type="expression" priority="648" dxfId="3">
      <formula>$B$9="USD"</formula>
    </cfRule>
  </conditionalFormatting>
  <conditionalFormatting sqref="O14:O27">
    <cfRule type="cellIs" priority="633" operator="greaterThan" dxfId="5">
      <formula>0</formula>
    </cfRule>
  </conditionalFormatting>
  <conditionalFormatting sqref="O31:O44">
    <cfRule type="cellIs" priority="394" operator="greaterThan" dxfId="5">
      <formula>0</formula>
    </cfRule>
  </conditionalFormatting>
  <conditionalFormatting sqref="O48:O61">
    <cfRule type="cellIs" priority="109" operator="greaterThan" dxfId="5">
      <formula>0</formula>
    </cfRule>
  </conditionalFormatting>
  <conditionalFormatting sqref="O65:O78">
    <cfRule type="cellIs" priority="95" operator="greaterThan" dxfId="5">
      <formula>0</formula>
    </cfRule>
  </conditionalFormatting>
  <conditionalFormatting sqref="O82:O95">
    <cfRule type="cellIs" priority="81" operator="greaterThan" dxfId="5">
      <formula>0</formula>
    </cfRule>
  </conditionalFormatting>
  <conditionalFormatting sqref="O99:O112">
    <cfRule type="cellIs" priority="67" operator="greaterThan" dxfId="5">
      <formula>0</formula>
    </cfRule>
  </conditionalFormatting>
  <conditionalFormatting sqref="O116:O129">
    <cfRule type="cellIs" priority="53" operator="greaterThan" dxfId="5">
      <formula>0</formula>
    </cfRule>
  </conditionalFormatting>
  <conditionalFormatting sqref="O133:O146">
    <cfRule type="cellIs" priority="39" operator="greaterThan" dxfId="5">
      <formula>0</formula>
    </cfRule>
  </conditionalFormatting>
  <conditionalFormatting sqref="O150:O163">
    <cfRule type="cellIs" priority="25" operator="greaterThan" dxfId="5">
      <formula>0</formula>
    </cfRule>
  </conditionalFormatting>
  <conditionalFormatting sqref="O167:O180">
    <cfRule type="cellIs" priority="11" operator="greaterThan" dxfId="5">
      <formula>0</formula>
    </cfRule>
  </conditionalFormatting>
  <conditionalFormatting sqref="O183:O197">
    <cfRule type="cellIs" priority="659" operator="greaterThan" dxfId="5">
      <formula>0</formula>
    </cfRule>
  </conditionalFormatting>
  <conditionalFormatting sqref="Q16">
    <cfRule type="expression" priority="414" dxfId="4">
      <formula>$B$9="PLN"</formula>
    </cfRule>
    <cfRule type="expression" priority="413" dxfId="3">
      <formula>$B$9="USD"</formula>
    </cfRule>
    <cfRule type="expression" priority="412" dxfId="2">
      <formula>$B$9="EURO"</formula>
    </cfRule>
    <cfRule type="cellIs" priority="411" operator="greaterThan" dxfId="1">
      <formula>0</formula>
    </cfRule>
    <cfRule type="expression" priority="415" dxfId="0">
      <formula>$B$9="CZK"</formula>
    </cfRule>
  </conditionalFormatting>
  <dataValidations count="16">
    <dataValidation sqref="C27 C44 C61 C78 C95 C112 C129 C146 C163 C180" showDropDown="0" showInputMessage="1" showErrorMessage="1" allowBlank="1" type="list">
      <formula1>"0,0.5,1,1.5,2,2.5,3,3.5,4,4.5,5"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0:C21 C37:C38 C54:C55 C71:C72 C88:C89 C105:C106 C122:C123 C139:C140 C156:C157 C173:C174" showDropDown="0" showInputMessage="1" showErrorMessage="1" allowBlank="1" type="list">
      <formula1>"0,1,2,3,4,5,6,7,8,9,10,11,12,13,14,15,16,17,18,19,20"</formula1>
    </dataValidation>
    <dataValidation sqref="E14 E31 E48 E65 E82 E99 E116 E133 E150 E167" showDropDown="0" showInputMessage="1" showErrorMessage="1" allowBlank="1" operator="greaterThan"/>
    <dataValidation sqref="C14 C31 C48 C65 C82 C99 C116 C133 C150 C167" showDropDown="0" showInputMessage="1" showErrorMessage="1" allowBlank="1" type="list">
      <formula1>"WALL, ISLAND"</formula1>
    </dataValidation>
    <dataValidation sqref="G181" showDropDown="0" showInputMessage="1" showErrorMessage="1" allowBlank="1" type="list">
      <formula1>#REF!</formula1>
    </dataValidation>
    <dataValidation sqref="D26 D43 D60 D77 D94 D111 D128 D145 D162 D179" showDropDown="0" showInputMessage="1" showErrorMessage="1" allowBlank="1" type="list">
      <formula1>"0,1,2,3,4,5,6,7,8,9,10"</formula1>
    </dataValidation>
    <dataValidation sqref="C15 C32 C49 C66 C83 C100 C117 C134 C151 C168 C185 C202 C219 C236 C253 C270 C287 C304" showDropDown="0" showInputMessage="0" showErrorMessage="0" allowBlank="1" type="list">
      <formula1>Lists!$A$1:$A$5</formula1>
    </dataValidation>
    <dataValidation sqref="C16 C33 C50 C67 C84 C101 C118 C135 C152 C169 C186 C203 C220 C237 C254 C271 C288 C305" showDropDown="0" showInputMessage="0" showErrorMessage="0" allowBlank="1" type="list">
      <formula1>Lists!$B$1:$B$17</formula1>
    </dataValidation>
    <dataValidation sqref="C17 C34 C51 C68 C85 C102 C119 C136 C153 C170 C187 C204 C221 C238 C255 C272 C289 C306" showDropDown="0" showInputMessage="0" showErrorMessage="0" allowBlank="1" type="list">
      <formula1>Lists!$B$1:$B$18</formula1>
    </dataValidation>
    <dataValidation sqref="C19 C36 C53 C70 C87 C104 C121 C138 C155 C172 C189 C206 C223 C240 C257 C274 C291 C308" showDropDown="0" showInputMessage="0" showErrorMessage="0" allowBlank="1" type="list">
      <formula1>Lists!$C$1:$C$2</formula1>
    </dataValidation>
    <dataValidation sqref="C25 C42 C59 C76 C93 C110 C127 C144 C161 C178 C195 C212 C229 C246 C263 C280 C297" showDropDown="0" showInputMessage="0" showErrorMessage="0" allowBlank="1" type="list">
      <formula1>Lists!$D$1:$D$4</formula1>
    </dataValidation>
    <dataValidation sqref="C26 C43 C60 C77 C94 C111 C128 C145 C162 C179 C196 C213 C230 C247 C264 C281 C298" showDropDown="0" showInputMessage="0" showErrorMessage="0" allowBlank="1" type="list">
      <formula1>Lists!$E$1:$E$10</formula1>
    </dataValidation>
    <dataValidation sqref="D183" showDropDown="0" showInputMessage="0" showErrorMessage="0" allowBlank="1" type="list">
      <formula1>Lists!$F$1:$F$193</formula1>
    </dataValidation>
    <dataValidation sqref="D184" showDropDown="0" showInputMessage="0" showErrorMessage="0" allowBlank="1" type="list">
      <formula1>Lists!$G$1:$G$12</formula1>
    </dataValidation>
    <dataValidation sqref="D185" showDropDown="0" showInputMessage="0" showErrorMessage="0" allowBlank="1" type="list">
      <formula1>Lists!$G$1:$G$12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1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 codeName="Sheet31">
    <tabColor theme="8" tint="0.7999816888943144"/>
    <outlinePr summaryBelow="1" summaryRight="1"/>
    <pageSetUpPr fitToPage="1"/>
  </sheetPr>
  <dimension ref="A1:Z310"/>
  <sheetViews>
    <sheetView showGridLines="0" topLeftCell="G2" zoomScale="106" zoomScaleNormal="80" zoomScaleSheetLayoutView="50" workbookViewId="0">
      <selection activeCell="P182" sqref="P182"/>
    </sheetView>
  </sheetViews>
  <sheetFormatPr baseColWidth="10" defaultColWidth="8.83203125" defaultRowHeight="15" customHeight="1" outlineLevelRow="1"/>
  <cols>
    <col width="2" customWidth="1" style="666" min="1" max="1"/>
    <col width="29.6640625" customWidth="1" style="1095" min="2" max="2"/>
    <col width="24.6640625" customWidth="1" style="1095" min="3" max="3"/>
    <col width="27.1640625" customWidth="1" style="1095" min="4" max="4"/>
    <col width="26.6640625" customWidth="1" style="1095" min="5" max="5"/>
    <col width="18.83203125" customWidth="1" style="1095" min="6" max="6"/>
    <col width="22.6640625" customWidth="1" style="1095" min="7" max="7"/>
    <col width="10" bestFit="1" customWidth="1" style="1096" min="8" max="8"/>
    <col width="11.6640625" bestFit="1" customWidth="1" style="1096" min="9" max="9"/>
    <col width="12.33203125" customWidth="1" style="1097" min="10" max="10"/>
    <col width="15" customWidth="1" style="1098" min="11" max="11"/>
    <col width="7.6640625" bestFit="1" customWidth="1" style="1098" min="12" max="12"/>
    <col hidden="1" width="12.33203125" customWidth="1" style="1099" min="13" max="13"/>
    <col width="12.8320312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8"/>
    <col width="8.83203125" customWidth="1" style="1095" min="99" max="16384"/>
  </cols>
  <sheetData>
    <row r="1" ht="15" customHeight="1" s="1085">
      <c r="B1" s="1116" t="inlineStr">
        <is>
          <t>F24 - 19  CANOPY COST SHEET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 t="n"/>
      <c r="F3" s="690" t="inlineStr">
        <is>
          <t>Project Name</t>
        </is>
      </c>
      <c r="G3" s="1071" t="n"/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 t="n"/>
      <c r="F5" s="690" t="inlineStr">
        <is>
          <t>Location</t>
        </is>
      </c>
      <c r="G5" s="1071" t="n"/>
      <c r="M5" s="684" t="n"/>
      <c r="N5" s="685" t="n"/>
      <c r="P5" s="1118" t="inlineStr">
        <is>
          <t>RECO CANOPIES MUST HAVE COALESCERS</t>
        </is>
      </c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 t="n"/>
      <c r="F7" s="690" t="inlineStr">
        <is>
          <t>Date</t>
        </is>
      </c>
      <c r="G7" s="1075" t="n"/>
      <c r="N7" s="699" t="inlineStr">
        <is>
          <t>Revision No</t>
        </is>
      </c>
      <c r="O7" s="809" t="inlineStr">
        <is>
          <t>B</t>
        </is>
      </c>
      <c r="P7" s="1091" t="inlineStr">
        <is>
          <t>GP SHOULD BE MINIMUM 44%</t>
        </is>
      </c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47" t="n"/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8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 xml:space="preserve">ITEM 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68">
        <f>N12-N19</f>
        <v/>
      </c>
      <c r="Q12" s="1095" t="n"/>
      <c r="R12" s="1095" t="n"/>
      <c r="S12" s="713" t="n"/>
      <c r="T12" s="1095" t="n"/>
      <c r="X12" s="1095" t="n"/>
      <c r="Y12" s="1095" t="n"/>
      <c r="Z12" s="1095" t="n"/>
    </row>
    <row r="13" hidden="1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hidden="1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CANOPY TYPE</t>
        </is>
      </c>
      <c r="E14" s="734" t="n"/>
      <c r="F14" s="734" t="n"/>
      <c r="G14" s="734" t="n"/>
      <c r="H14" s="735" t="n"/>
      <c r="I14" s="734" t="n"/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hidden="1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LIGHT SELECTION</t>
        </is>
      </c>
      <c r="D15" s="741" t="n"/>
      <c r="E15" s="848" t="n"/>
      <c r="F15" s="743" t="n"/>
      <c r="G15" s="744" t="n"/>
      <c r="H15" s="668" t="n"/>
      <c r="I15" s="668" t="n"/>
      <c r="J15" s="736">
        <f>IF(ISNA(C12),0,IF(D15=0,0,IF(C15="FLO",VLOOKUP(E15,'Base Costs'!$M$4:$N$14,2,FALSE),IF(C15="LED STRIP",VLOOKUP(E15,'Base Costs'!$M$4:$N$14,2,FALSE),(VLOOKUP(C15,'Base Costs'!$M$4:$N$14,2,FALSE))))))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hidden="1" outlineLevel="1" ht="15" customHeight="1" s="1085">
      <c r="A16" s="666" t="n">
        <v>234</v>
      </c>
      <c r="B16" s="269" t="inlineStr">
        <is>
          <t>SPECIAL WORKS</t>
        </is>
      </c>
      <c r="C16" s="33" t="inlineStr">
        <is>
          <t>SELECT WORKS</t>
        </is>
      </c>
      <c r="D16" s="735" t="n"/>
      <c r="E16" s="753">
        <f>IF(C16="","",VLOOKUP(C16,CCBASE!$A$53:$D$73,4,FALSE))</f>
        <v/>
      </c>
      <c r="F16" s="754" t="n"/>
      <c r="G16" s="749" t="n"/>
      <c r="H16" s="750" t="n"/>
      <c r="I16" s="755" t="n"/>
      <c r="J16" s="736">
        <f>IF(C16="",0,VLOOKUP(C16,CCBASE!$A$53:$C$73,2,FALSE))</f>
        <v/>
      </c>
      <c r="K16" s="737">
        <f>J16*D16</f>
        <v/>
      </c>
      <c r="L16" s="738" t="n">
        <v>0.44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hidden="1" outlineLevel="1" ht="15" customHeight="1" s="1085">
      <c r="B17" s="269" t="inlineStr">
        <is>
          <t>SPECIAL WORKS</t>
        </is>
      </c>
      <c r="C17" s="752" t="inlineStr">
        <is>
          <t>SELECT WORKS</t>
        </is>
      </c>
      <c r="D17" s="735" t="n"/>
      <c r="E17" s="753">
        <f>IF(C17="","",VLOOKUP(C17,CCBASE!$A$53:$D$73,4,FALSE))</f>
        <v/>
      </c>
      <c r="F17" s="754" t="n"/>
      <c r="G17" s="749" t="n"/>
      <c r="H17" s="750" t="n"/>
      <c r="I17" s="755" t="n"/>
      <c r="J17" s="736">
        <f>IF(C17="",0,VLOOKUP(C17,CCBASE!$A$53:$C$73,2,FALSE))</f>
        <v/>
      </c>
      <c r="K17" s="737">
        <f>J17*D17</f>
        <v/>
      </c>
      <c r="L17" s="738" t="n">
        <v>0.44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hidden="1" outlineLevel="1" ht="15" customHeight="1" s="1085">
      <c r="B18" s="978" t="inlineStr">
        <is>
          <t>SPECIAL WORKS</t>
        </is>
      </c>
      <c r="C18" s="979" t="inlineStr">
        <is>
          <t>BIM/ REVIT per CANOPY</t>
        </is>
      </c>
      <c r="D18" s="980" t="n">
        <v>1</v>
      </c>
      <c r="E18" s="981">
        <f>IF(C18="","",VLOOKUP(C18,CCBASE!$A$53:$D$73,4,FALSE))</f>
        <v/>
      </c>
      <c r="F18" s="982" t="n"/>
      <c r="G18" s="977" t="n"/>
      <c r="H18" s="983" t="n"/>
      <c r="I18" s="984" t="n"/>
      <c r="J18" s="985">
        <f>IF(C18="",0,VLOOKUP(C18,CCBASE!$A$53:$C$73,2,FALSE))</f>
        <v/>
      </c>
      <c r="K18" s="986">
        <f>J18*D18</f>
        <v/>
      </c>
      <c r="L18" s="987" t="n">
        <v>0.44</v>
      </c>
      <c r="M18" s="988">
        <f>K18/(1-L18)*(1+$C$9)</f>
        <v/>
      </c>
      <c r="N18" s="986">
        <f>M18*VLOOKUP($B$9,'Base Costs'!$A$32:$B$37,2,FALSE)</f>
        <v/>
      </c>
      <c r="O18" s="989">
        <f>M18-K18</f>
        <v/>
      </c>
      <c r="P18" s="990" t="inlineStr">
        <is>
          <t>always include</t>
        </is>
      </c>
      <c r="S18" s="694" t="n"/>
      <c r="Y18" s="1095" t="n"/>
    </row>
    <row r="19" hidden="1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SELECT CLADDING</t>
        </is>
      </c>
      <c r="D19" s="756">
        <f>IF(NOT(ISBLANK(C19)), ROUNDUP($F14/1000,0), 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S19" s="694" t="n"/>
      <c r="Y19" s="1095" t="n"/>
    </row>
    <row r="20" hidden="1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hidden="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hidden="1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S22" s="694" t="n"/>
      <c r="Y22" s="1095" t="n"/>
    </row>
    <row r="23" hidden="1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>
        <f>IF(ISNA(D23),0,(VLOOKUP(D23,'Base Costs'!$Q$4:$R$14,2,FALSE)))</f>
        <v/>
      </c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hidden="1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hidden="1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hidden="1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hidden="1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collapsed="1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 xml:space="preserve">ITEM 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68">
        <f>N29-N36</f>
        <v/>
      </c>
      <c r="Q29" s="1095" t="n"/>
      <c r="R29" s="1095" t="n"/>
      <c r="S29" s="713" t="n"/>
      <c r="T29" s="1095" t="n"/>
      <c r="X29" s="1095" t="n"/>
      <c r="Y29" s="1095" t="n"/>
      <c r="Z29" s="1095" t="n"/>
    </row>
    <row r="30" hidden="1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hidden="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hidden="1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hidden="1" outlineLevel="1" ht="15" customHeight="1" s="1085">
      <c r="A33" s="666" t="n">
        <v>234</v>
      </c>
      <c r="B33" s="731" t="inlineStr">
        <is>
          <t>SPECIAL WORKS</t>
        </is>
      </c>
      <c r="C33" s="752" t="inlineStr">
        <is>
          <t>SELECT WORKS</t>
        </is>
      </c>
      <c r="D33" s="735" t="n"/>
      <c r="E33" s="753">
        <f>IF(C33="","",VLOOKUP(C33,CCBASE!$A$53:$D$73,4,FALSE))</f>
        <v/>
      </c>
      <c r="F33" s="754" t="n"/>
      <c r="G33" s="749" t="n"/>
      <c r="H33" s="750" t="n"/>
      <c r="I33" s="755" t="n"/>
      <c r="J33" s="736">
        <f>IF(C33="",0,VLOOKUP(C33,CCBASE!$A$53:$C$73,2,FALSE))</f>
        <v/>
      </c>
      <c r="K33" s="737">
        <f>J33*D33</f>
        <v/>
      </c>
      <c r="L33" s="738" t="n">
        <v>0.44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hidden="1" outlineLevel="1" ht="15" customHeight="1" s="1085">
      <c r="B34" s="731" t="inlineStr">
        <is>
          <t>SPECIAL WORKS</t>
        </is>
      </c>
      <c r="C34" s="752" t="inlineStr">
        <is>
          <t>SELECT WORKS</t>
        </is>
      </c>
      <c r="D34" s="735" t="n"/>
      <c r="E34" s="753">
        <f>IF(C34="","",VLOOKUP(C34,CCBASE!$A$53:$D$73,4,FALSE))</f>
        <v/>
      </c>
      <c r="F34" s="754" t="n"/>
      <c r="G34" s="749" t="n"/>
      <c r="H34" s="750" t="n"/>
      <c r="I34" s="755" t="n"/>
      <c r="J34" s="736">
        <f>IF(C34="",0,VLOOKUP(C34,CCBASE!$A$53:$C$73,2,FALSE))</f>
        <v/>
      </c>
      <c r="K34" s="737">
        <f>J34*D34</f>
        <v/>
      </c>
      <c r="L34" s="738" t="n">
        <v>0.44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hidden="1" outlineLevel="1" ht="15" customHeight="1" s="1085">
      <c r="B35" s="978" t="inlineStr">
        <is>
          <t>SPECIAL WORKS</t>
        </is>
      </c>
      <c r="C35" s="979" t="inlineStr">
        <is>
          <t>BIM/ REVIT per CANOPY</t>
        </is>
      </c>
      <c r="D35" s="980" t="n"/>
      <c r="E35" s="1111" t="n"/>
      <c r="G35" s="977" t="n"/>
      <c r="H35" s="983" t="n"/>
      <c r="I35" s="984" t="n"/>
      <c r="J35" s="985">
        <f>IF(C35="",0,VLOOKUP(C35,CCBASE!$A$53:$C$73,2,FALSE))</f>
        <v/>
      </c>
      <c r="K35" s="986">
        <f>J35*D35</f>
        <v/>
      </c>
      <c r="L35" s="987" t="n">
        <v>0.44</v>
      </c>
      <c r="M35" s="988">
        <f>K35/(1-L35)*(1+$C$9)</f>
        <v/>
      </c>
      <c r="N35" s="986">
        <f>M35*VLOOKUP($B$9,'Base Costs'!$A$32:$B$37,2,FALSE)</f>
        <v/>
      </c>
      <c r="O35" s="989">
        <f>M35-K35</f>
        <v/>
      </c>
      <c r="P35" s="990" t="inlineStr">
        <is>
          <t>always include</t>
        </is>
      </c>
      <c r="S35" s="694" t="n"/>
      <c r="Y35" s="1095" t="n"/>
    </row>
    <row r="36" hidden="1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SELECT CLADDING</t>
        </is>
      </c>
      <c r="D36" s="756">
        <f>IF(NOT(ISBLANK(C36)), ROUNDUP($F31/1000,0), 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Y36" s="1095" t="n"/>
    </row>
    <row r="37" hidden="1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hidden="1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hidden="1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S39" s="694" t="n"/>
      <c r="Y39" s="1095" t="n"/>
    </row>
    <row r="40" hidden="1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>
        <f>IF(ISNA(D40),0,(VLOOKUP(D40,'Base Costs'!$Q$4:$R$13,2,FALSE)))</f>
        <v/>
      </c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hidden="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hidden="1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hidden="1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hidden="1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collapsed="1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68">
        <f>N46-N53</f>
        <v/>
      </c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731" t="inlineStr">
        <is>
          <t>SPECIAL WORKS</t>
        </is>
      </c>
      <c r="C50" s="752" t="inlineStr">
        <is>
          <t>SELECT WORKS</t>
        </is>
      </c>
      <c r="D50" s="735" t="n"/>
      <c r="E50" s="753">
        <f>IF(C50="","",VLOOKUP(C50,CCBASE!$A$53:$D$73,4,FALSE))</f>
        <v/>
      </c>
      <c r="F50" s="754" t="n"/>
      <c r="G50" s="749" t="n"/>
      <c r="H50" s="750" t="n"/>
      <c r="I50" s="755" t="n"/>
      <c r="J50" s="736">
        <f>IF(C50="",0,VLOOKUP(C50,CCBASE!$A$53:$C$73,2,FALSE))</f>
        <v/>
      </c>
      <c r="K50" s="737">
        <f>J50*D50</f>
        <v/>
      </c>
      <c r="L50" s="738" t="n">
        <v>0.44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731" t="inlineStr">
        <is>
          <t>SPECIAL WORKS</t>
        </is>
      </c>
      <c r="C51" s="752" t="inlineStr">
        <is>
          <t>SELECT WORKS</t>
        </is>
      </c>
      <c r="D51" s="735" t="n"/>
      <c r="E51" s="753">
        <f>IF(C51="","",VLOOKUP(C51,CCBASE!$A$53:$D$73,4,FALSE))</f>
        <v/>
      </c>
      <c r="F51" s="754" t="n"/>
      <c r="G51" s="749" t="n"/>
      <c r="H51" s="750" t="n"/>
      <c r="I51" s="755" t="n"/>
      <c r="J51" s="736">
        <f>IF(C51="",0,VLOOKUP(C51,CCBASE!$A$53:$C$73,2,FALSE))</f>
        <v/>
      </c>
      <c r="K51" s="737">
        <f>J51*D51</f>
        <v/>
      </c>
      <c r="L51" s="738" t="n">
        <v>0.44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978" t="inlineStr">
        <is>
          <t>SPECIAL WORKS</t>
        </is>
      </c>
      <c r="C52" s="979" t="inlineStr">
        <is>
          <t>BIM/ REVIT per CANOPY</t>
        </is>
      </c>
      <c r="D52" s="980" t="n"/>
      <c r="E52" s="981">
        <f>IF(C52="","",VLOOKUP(C52,CCBASE!$A$53:$D$73,4,FALSE))</f>
        <v/>
      </c>
      <c r="F52" s="982" t="n"/>
      <c r="G52" s="977" t="n"/>
      <c r="H52" s="983" t="n"/>
      <c r="I52" s="984" t="n"/>
      <c r="J52" s="985">
        <f>IF(C52="",0,VLOOKUP(C52,CCBASE!$A$53:$C$73,2,FALSE))</f>
        <v/>
      </c>
      <c r="K52" s="986">
        <f>J52*D52</f>
        <v/>
      </c>
      <c r="L52" s="987" t="n">
        <v>0.44</v>
      </c>
      <c r="M52" s="988">
        <f>K52/(1-L52)*(1+$C$9)</f>
        <v/>
      </c>
      <c r="N52" s="986">
        <f>M52*VLOOKUP($B$9,'Base Costs'!$A$32:$B$37,2,FALSE)</f>
        <v/>
      </c>
      <c r="O52" s="989">
        <f>M52-K52</f>
        <v/>
      </c>
      <c r="P52" s="990" t="inlineStr">
        <is>
          <t>always include</t>
        </is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SELECT CLADDING</t>
        </is>
      </c>
      <c r="D53" s="756">
        <f>IF(NOT(ISBLANK(C53)), ROUNDUP($F48/1000,0), 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>
        <f>IF(ISNA(D57),0,(VLOOKUP(D57,'Base Costs'!$Q$4:$R$13,2,FALSE)))</f>
        <v/>
      </c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68">
        <f>N63-N70</f>
        <v/>
      </c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731" t="inlineStr">
        <is>
          <t>SPECIAL WORKS</t>
        </is>
      </c>
      <c r="C67" s="752" t="inlineStr">
        <is>
          <t>SELECT WORKS</t>
        </is>
      </c>
      <c r="D67" s="735" t="n"/>
      <c r="E67" s="753">
        <f>IF(C67="","",VLOOKUP(C67,CCBASE!$A$53:$D$73,4,FALSE))</f>
        <v/>
      </c>
      <c r="F67" s="754" t="n"/>
      <c r="G67" s="749" t="n"/>
      <c r="H67" s="750" t="n"/>
      <c r="I67" s="755" t="n"/>
      <c r="J67" s="736">
        <f>IF(C67="",0,VLOOKUP(C67,CCBASE!$A$53:$C$73,2,FALSE))</f>
        <v/>
      </c>
      <c r="K67" s="737">
        <f>J67*D67</f>
        <v/>
      </c>
      <c r="L67" s="738" t="n">
        <v>0.44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731" t="inlineStr">
        <is>
          <t>SPECIAL WORKS</t>
        </is>
      </c>
      <c r="C68" s="752" t="inlineStr">
        <is>
          <t>SELECT WORKS</t>
        </is>
      </c>
      <c r="D68" s="735" t="n"/>
      <c r="E68" s="753">
        <f>IF(C68="","",VLOOKUP(C68,CCBASE!$A$53:$D$73,4,FALSE))</f>
        <v/>
      </c>
      <c r="F68" s="754" t="n"/>
      <c r="G68" s="749" t="n"/>
      <c r="H68" s="750" t="n"/>
      <c r="I68" s="755" t="n"/>
      <c r="J68" s="736">
        <f>IF(C68="",0,VLOOKUP(C68,CCBASE!$A$53:$C$73,2,FALSE))</f>
        <v/>
      </c>
      <c r="K68" s="737">
        <f>J68*D68</f>
        <v/>
      </c>
      <c r="L68" s="738" t="n">
        <v>0.44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978" t="inlineStr">
        <is>
          <t>SPECIAL WORKS</t>
        </is>
      </c>
      <c r="C69" s="979" t="inlineStr">
        <is>
          <t>BIM/ REVIT per CANOPY</t>
        </is>
      </c>
      <c r="D69" s="980" t="n"/>
      <c r="E69" s="981">
        <f>IF(C69="","",VLOOKUP(C69,CCBASE!$A$53:$D$73,4,FALSE))</f>
        <v/>
      </c>
      <c r="F69" s="982" t="n"/>
      <c r="G69" s="977" t="n"/>
      <c r="H69" s="983" t="n"/>
      <c r="I69" s="984" t="n"/>
      <c r="J69" s="985">
        <f>IF(C69="",0,VLOOKUP(C69,CCBASE!$A$53:$C$73,2,FALSE))</f>
        <v/>
      </c>
      <c r="K69" s="986">
        <f>J69*D69</f>
        <v/>
      </c>
      <c r="L69" s="987" t="n">
        <v>0.44</v>
      </c>
      <c r="M69" s="988">
        <f>K69/(1-L69)*(1+$C$9)</f>
        <v/>
      </c>
      <c r="N69" s="986">
        <f>M69*VLOOKUP($B$9,'Base Costs'!$A$32:$B$37,2,FALSE)</f>
        <v/>
      </c>
      <c r="O69" s="989">
        <f>M69-K69</f>
        <v/>
      </c>
      <c r="P69" s="990" t="inlineStr">
        <is>
          <t>always include</t>
        </is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IF(NOT(ISBLANK(C70)), ROUNDUP(F65/1000,0), 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>
        <f>IF(ISNA(D74),0,(VLOOKUP(D74,'Base Costs'!$Q$4:$R$13,2,FALSE)))</f>
        <v/>
      </c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68">
        <f>N80-N87</f>
        <v/>
      </c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731" t="inlineStr">
        <is>
          <t>SPECIAL WORKS</t>
        </is>
      </c>
      <c r="C84" s="752" t="inlineStr">
        <is>
          <t>SELECT WORKS</t>
        </is>
      </c>
      <c r="D84" s="735" t="n"/>
      <c r="E84" s="753">
        <f>IF(C84="","",VLOOKUP(C84,CCBASE!$A$53:$D$73,4,FALSE))</f>
        <v/>
      </c>
      <c r="F84" s="754" t="n"/>
      <c r="G84" s="749" t="n"/>
      <c r="H84" s="750" t="n"/>
      <c r="I84" s="755" t="n"/>
      <c r="J84" s="736">
        <f>IF(C84="",0,VLOOKUP(C84,CCBASE!$A$53:$C$73,2,FALSE))</f>
        <v/>
      </c>
      <c r="K84" s="737">
        <f>J84*D84</f>
        <v/>
      </c>
      <c r="L84" s="738" t="n">
        <v>0.44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SPECIAL WORKS</t>
        </is>
      </c>
      <c r="C85" s="752" t="inlineStr">
        <is>
          <t>SELECT WORKS</t>
        </is>
      </c>
      <c r="D85" s="735" t="n"/>
      <c r="E85" s="753">
        <f>IF(C85="","",VLOOKUP(C85,CCBASE!$A$53:$D$73,4,FALSE))</f>
        <v/>
      </c>
      <c r="F85" s="754" t="n"/>
      <c r="G85" s="749" t="n"/>
      <c r="H85" s="750" t="n"/>
      <c r="I85" s="755" t="n"/>
      <c r="J85" s="736">
        <f>IF(C85="",0,VLOOKUP(C85,CCBASE!$A$53:$C$73,2,FALSE))</f>
        <v/>
      </c>
      <c r="K85" s="737">
        <f>J85*D85</f>
        <v/>
      </c>
      <c r="L85" s="738" t="n">
        <v>0.44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978" t="inlineStr">
        <is>
          <t>SPECIAL WORKS</t>
        </is>
      </c>
      <c r="C86" s="979" t="inlineStr">
        <is>
          <t>BIM/ REVIT per CANOPY</t>
        </is>
      </c>
      <c r="D86" s="980" t="n"/>
      <c r="E86" s="981">
        <f>IF(C86="","",VLOOKUP(C86,CCBASE!$A$53:$D$73,4,FALSE))</f>
        <v/>
      </c>
      <c r="F86" s="982" t="n"/>
      <c r="G86" s="977" t="n"/>
      <c r="H86" s="983" t="n"/>
      <c r="I86" s="984" t="n"/>
      <c r="J86" s="985">
        <f>IF(C86="",0,VLOOKUP(C86,CCBASE!$A$53:$C$73,2,FALSE))</f>
        <v/>
      </c>
      <c r="K86" s="986">
        <f>J86*D86</f>
        <v/>
      </c>
      <c r="L86" s="987" t="n">
        <v>0.44</v>
      </c>
      <c r="M86" s="988">
        <f>K86/(1-L86)*(1+$C$9)</f>
        <v/>
      </c>
      <c r="N86" s="986">
        <f>M86*VLOOKUP($B$9,'Base Costs'!$A$32:$B$37,2,FALSE)</f>
        <v/>
      </c>
      <c r="O86" s="989">
        <f>M86-K86</f>
        <v/>
      </c>
      <c r="P86" s="990" t="inlineStr">
        <is>
          <t>always include</t>
        </is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IF(NOT(ISBLANK(C87)), ROUNDUP(F82/1000,0), 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>
        <f>IF(ISNA(D91),0,(VLOOKUP(D91,'Base Costs'!$Q$4:$R$13,2,FALSE)))</f>
        <v/>
      </c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IF(ISNUMBER(SEARCH("UV",D99)),49.7,71.75)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68">
        <f>N97-N104</f>
        <v/>
      </c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731" t="inlineStr">
        <is>
          <t>SPECIAL WORKS</t>
        </is>
      </c>
      <c r="C101" s="752" t="inlineStr">
        <is>
          <t>SELECT WORKS</t>
        </is>
      </c>
      <c r="D101" s="735" t="n"/>
      <c r="E101" s="753">
        <f>IF(C101="","",VLOOKUP(C101,CCBASE!$A$53:$D$73,4,FALSE))</f>
        <v/>
      </c>
      <c r="F101" s="754" t="n"/>
      <c r="G101" s="749" t="n"/>
      <c r="H101" s="750" t="n"/>
      <c r="I101" s="755" t="n"/>
      <c r="J101" s="736">
        <f>IF(C101="",0,VLOOKUP(C101,CCBASE!$A$53:$C$73,2,FALSE))</f>
        <v/>
      </c>
      <c r="K101" s="737">
        <f>J101*D101</f>
        <v/>
      </c>
      <c r="L101" s="738" t="n">
        <v>0.44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584" t="inlineStr">
        <is>
          <t>SPECIAL WORKS</t>
        </is>
      </c>
      <c r="C102" s="33" t="inlineStr">
        <is>
          <t>SELECT WORKS</t>
        </is>
      </c>
      <c r="D102" s="735" t="n"/>
      <c r="E102" s="753">
        <f>IF(C102="","",VLOOKUP(C102,CCBASE!$A$53:$D$73,4,FALSE))</f>
        <v/>
      </c>
      <c r="F102" s="754" t="n"/>
      <c r="G102" s="749" t="n"/>
      <c r="H102" s="750" t="n"/>
      <c r="I102" s="755" t="n"/>
      <c r="J102" s="736">
        <f>IF(C102="",0,VLOOKUP(C102,CCBASE!$A$53:$C$73,2,FALSE))</f>
        <v/>
      </c>
      <c r="K102" s="737">
        <f>J102*D102</f>
        <v/>
      </c>
      <c r="L102" s="738" t="n">
        <v>0.44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991" t="inlineStr">
        <is>
          <t>SPECIAL WORKS</t>
        </is>
      </c>
      <c r="C103" s="992" t="inlineStr">
        <is>
          <t>BIM/ REVIT per CANOPY</t>
        </is>
      </c>
      <c r="D103" s="980" t="n"/>
      <c r="E103" s="981">
        <f>IF(C103="","",VLOOKUP(C103,CCBASE!$A$53:$D$73,4,FALSE))</f>
        <v/>
      </c>
      <c r="F103" s="982" t="n"/>
      <c r="G103" s="977" t="n"/>
      <c r="H103" s="983" t="n"/>
      <c r="I103" s="984" t="n"/>
      <c r="J103" s="985">
        <f>IF(C103="",0,VLOOKUP(C103,CCBASE!$A$53:$C$73,2,FALSE))</f>
        <v/>
      </c>
      <c r="K103" s="986">
        <f>J103*D103</f>
        <v/>
      </c>
      <c r="L103" s="987" t="n">
        <v>0.44</v>
      </c>
      <c r="M103" s="988">
        <f>K103/(1-L103)*(1+$C$9)</f>
        <v/>
      </c>
      <c r="N103" s="986">
        <f>M103*VLOOKUP($B$9,'Base Costs'!$A$32:$B$37,2,FALSE)</f>
        <v/>
      </c>
      <c r="O103" s="989">
        <f>M103-K103</f>
        <v/>
      </c>
      <c r="P103" s="990" t="inlineStr">
        <is>
          <t>always include</t>
        </is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IF(NOT(ISBLANK(C104)), ROUNDUP(F99/1000,0), 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>
        <f>IF(ISNA(D108),0,(VLOOKUP(D108,'Base Costs'!$Q$4:$R$13,2,FALSE)))</f>
        <v/>
      </c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IF(ISNUMBER(SEARCH("UV",D116)),49.7,71.75)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68">
        <f>N114-N121</f>
        <v/>
      </c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731" t="inlineStr">
        <is>
          <t>SPECIAL WORKS</t>
        </is>
      </c>
      <c r="C118" s="752" t="inlineStr">
        <is>
          <t>SELECT WORKS</t>
        </is>
      </c>
      <c r="D118" s="735" t="n"/>
      <c r="E118" s="753">
        <f>IF(C118="","",VLOOKUP(C118,CCBASE!$A$53:$D$73,4,FALSE))</f>
        <v/>
      </c>
      <c r="F118" s="754" t="n"/>
      <c r="G118" s="749" t="n"/>
      <c r="H118" s="750" t="n"/>
      <c r="I118" s="755" t="n"/>
      <c r="J118" s="736">
        <f>IF(C118="",0,VLOOKUP(C118,CCBASE!$A$53:$C$73,2,FALSE))</f>
        <v/>
      </c>
      <c r="K118" s="737">
        <f>J118*D118</f>
        <v/>
      </c>
      <c r="L118" s="738" t="n">
        <v>0.44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584" t="inlineStr">
        <is>
          <t>SPECIAL WORKS</t>
        </is>
      </c>
      <c r="C119" s="33" t="inlineStr">
        <is>
          <t>SELECT WORKS</t>
        </is>
      </c>
      <c r="D119" s="735" t="n"/>
      <c r="E119" s="753">
        <f>IF(C119="","",VLOOKUP(C119,CCBASE!$A$53:$D$73,4,FALSE))</f>
        <v/>
      </c>
      <c r="F119" s="754" t="n"/>
      <c r="G119" s="749" t="n"/>
      <c r="H119" s="750" t="n"/>
      <c r="I119" s="755" t="n"/>
      <c r="J119" s="736">
        <f>IF(C119="",0,VLOOKUP(C119,CCBASE!$A$53:$C$73,2,FALSE))</f>
        <v/>
      </c>
      <c r="K119" s="737">
        <f>J119*D119</f>
        <v/>
      </c>
      <c r="L119" s="738" t="n">
        <v>0.44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991" t="inlineStr">
        <is>
          <t>SPECIAL WORKS</t>
        </is>
      </c>
      <c r="C120" s="992" t="inlineStr">
        <is>
          <t>BIM/ REVIT per CANOPY</t>
        </is>
      </c>
      <c r="D120" s="980" t="n"/>
      <c r="E120" s="981">
        <f>IF(C120="","",VLOOKUP(C120,CCBASE!$A$53:$D$73,4,FALSE))</f>
        <v/>
      </c>
      <c r="F120" s="982" t="n"/>
      <c r="G120" s="977" t="n"/>
      <c r="H120" s="983" t="n"/>
      <c r="I120" s="984" t="n"/>
      <c r="J120" s="985">
        <f>IF(C120="",0,VLOOKUP(C120,CCBASE!$A$53:$C$73,2,FALSE))</f>
        <v/>
      </c>
      <c r="K120" s="986">
        <f>J120*D120</f>
        <v/>
      </c>
      <c r="L120" s="987" t="n">
        <v>0.44</v>
      </c>
      <c r="M120" s="988">
        <f>K120/(1-L120)*(1+$C$9)</f>
        <v/>
      </c>
      <c r="N120" s="986">
        <f>M120*VLOOKUP($B$9,'Base Costs'!$A$32:$B$37,2,FALSE)</f>
        <v/>
      </c>
      <c r="O120" s="989">
        <f>M120-K120</f>
        <v/>
      </c>
      <c r="P120" s="990" t="inlineStr">
        <is>
          <t>always include</t>
        </is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IF(NOT(ISBLANK(C121)), ROUNDUP(F116/1000,0), 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>
        <f>IF(ISNA(D125),0,(VLOOKUP(D125,'Base Costs'!$Q$4:$R$13,2,FALSE)))</f>
        <v/>
      </c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68">
        <f>N131-N138</f>
        <v/>
      </c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733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731" t="inlineStr">
        <is>
          <t>SPECIAL WORKS</t>
        </is>
      </c>
      <c r="C135" s="752" t="inlineStr">
        <is>
          <t>SELECT WORKS</t>
        </is>
      </c>
      <c r="D135" s="735" t="n"/>
      <c r="E135" s="753">
        <f>IF(C135="","",VLOOKUP(C135,CCBASE!$A$53:$D$73,4,FALSE))</f>
        <v/>
      </c>
      <c r="F135" s="754" t="n"/>
      <c r="G135" s="749" t="n"/>
      <c r="H135" s="750" t="n"/>
      <c r="I135" s="755" t="n"/>
      <c r="J135" s="736">
        <f>IF(C135="",0,VLOOKUP(C135,CCBASE!$A$53:$C$73,2,FALSE))</f>
        <v/>
      </c>
      <c r="K135" s="737">
        <f>J135*D135</f>
        <v/>
      </c>
      <c r="L135" s="738" t="n">
        <v>0.44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584" t="inlineStr">
        <is>
          <t>SPECIAL WORKS</t>
        </is>
      </c>
      <c r="C136" s="33" t="inlineStr">
        <is>
          <t>SELECT WORKS</t>
        </is>
      </c>
      <c r="D136" s="735" t="n"/>
      <c r="E136" s="753">
        <f>IF(C136="","",VLOOKUP(C136,CCBASE!$A$53:$D$73,4,FALSE))</f>
        <v/>
      </c>
      <c r="F136" s="754" t="n"/>
      <c r="G136" s="749" t="n"/>
      <c r="H136" s="750" t="n"/>
      <c r="I136" s="755" t="n"/>
      <c r="J136" s="736">
        <f>IF(C136="",0,VLOOKUP(C136,CCBASE!$A$53:$C$73,2,FALSE))</f>
        <v/>
      </c>
      <c r="K136" s="737">
        <f>J136*D136</f>
        <v/>
      </c>
      <c r="L136" s="738" t="n">
        <v>0.44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991" t="inlineStr">
        <is>
          <t>SPECIAL WORKS</t>
        </is>
      </c>
      <c r="C137" s="992" t="inlineStr">
        <is>
          <t>BIM/ REVIT per CANOPY</t>
        </is>
      </c>
      <c r="D137" s="980" t="n"/>
      <c r="E137" s="981">
        <f>IF(C137="","",VLOOKUP(C137,CCBASE!$A$53:$D$73,4,FALSE))</f>
        <v/>
      </c>
      <c r="F137" s="982" t="n"/>
      <c r="G137" s="977" t="n"/>
      <c r="H137" s="983" t="n"/>
      <c r="I137" s="984" t="n"/>
      <c r="J137" s="985">
        <f>IF(C137="",0,VLOOKUP(C137,CCBASE!$A$53:$C$73,2,FALSE))</f>
        <v/>
      </c>
      <c r="K137" s="986">
        <f>J137*D137</f>
        <v/>
      </c>
      <c r="L137" s="987" t="n">
        <v>0.44</v>
      </c>
      <c r="M137" s="988">
        <f>K137/(1-L137)*(1+$C$9)</f>
        <v/>
      </c>
      <c r="N137" s="986">
        <f>M137*VLOOKUP($B$9,'Base Costs'!$A$32:$B$37,2,FALSE)</f>
        <v/>
      </c>
      <c r="O137" s="989">
        <f>M137-K137</f>
        <v/>
      </c>
      <c r="P137" s="990" t="inlineStr">
        <is>
          <t>always include</t>
        </is>
      </c>
      <c r="S137" s="694" t="n"/>
      <c r="Y137" s="1095" t="n"/>
    </row>
    <row r="138" hidden="1" outlineLevel="1" ht="15" customHeight="1" s="1085">
      <c r="A138" s="666" t="n">
        <v>289</v>
      </c>
      <c r="B138" s="584" t="inlineStr">
        <is>
          <t>WALL CLADDING</t>
        </is>
      </c>
      <c r="C138" s="33" t="inlineStr">
        <is>
          <t>SELECT CLADDING</t>
        </is>
      </c>
      <c r="D138" s="756">
        <f>IF(NOT(ISBLANK(C138)), ROUNDUP(F133/1000,0), 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584" t="inlineStr">
        <is>
          <t>INFILL PANEL</t>
        </is>
      </c>
      <c r="C139" s="752" t="n"/>
      <c r="D139" s="742" t="inlineStr">
        <is>
          <t>m²</t>
        </is>
      </c>
      <c r="E139" s="749" t="n"/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>
        <f>IF(ISNA(D142),0,(VLOOKUP(D142,'Base Costs'!$Q$4:$R$13,2,FALSE)))</f>
        <v/>
      </c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IF(ISNUMBER(SEARCH("UV",D150)),49.7,71.75)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68">
        <f>N148-N155</f>
        <v/>
      </c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731" t="inlineStr">
        <is>
          <t>SPECIAL WORKS</t>
        </is>
      </c>
      <c r="C152" s="752" t="inlineStr">
        <is>
          <t>SELECT WORKS</t>
        </is>
      </c>
      <c r="D152" s="735" t="n"/>
      <c r="E152" s="753">
        <f>IF(C152="","",VLOOKUP(C152,CCBASE!$A$53:$D$73,4,FALSE))</f>
        <v/>
      </c>
      <c r="F152" s="754" t="n"/>
      <c r="G152" s="749" t="n"/>
      <c r="H152" s="750" t="n"/>
      <c r="I152" s="755" t="n"/>
      <c r="J152" s="736">
        <f>IF(C152="",0,VLOOKUP(C152,CCBASE!$A$53:$C$73,2,FALSE))</f>
        <v/>
      </c>
      <c r="K152" s="737">
        <f>J152*D152</f>
        <v/>
      </c>
      <c r="L152" s="738" t="n">
        <v>0.44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584" t="inlineStr">
        <is>
          <t>SPECIAL WORKS</t>
        </is>
      </c>
      <c r="C153" s="33" t="inlineStr">
        <is>
          <t>SELECT WORKS</t>
        </is>
      </c>
      <c r="D153" s="735" t="n"/>
      <c r="E153" s="753">
        <f>IF(C153="","",VLOOKUP(C153,CCBASE!$A$53:$D$73,4,FALSE))</f>
        <v/>
      </c>
      <c r="F153" s="754" t="n"/>
      <c r="G153" s="749" t="n"/>
      <c r="H153" s="750" t="n"/>
      <c r="I153" s="755" t="n"/>
      <c r="J153" s="736">
        <f>IF(C153="",0,VLOOKUP(C153,CCBASE!$A$53:$C$73,2,FALSE))</f>
        <v/>
      </c>
      <c r="K153" s="737">
        <f>J153*D153</f>
        <v/>
      </c>
      <c r="L153" s="738" t="n">
        <v>0.44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991" t="inlineStr">
        <is>
          <t>SPECIAL WORKS</t>
        </is>
      </c>
      <c r="C154" s="992" t="inlineStr">
        <is>
          <t>BIM/ REVIT per CANOPY</t>
        </is>
      </c>
      <c r="D154" s="980" t="n"/>
      <c r="E154" s="981">
        <f>IF(C154="","",VLOOKUP(C154,CCBASE!$A$53:$D$73,4,FALSE))</f>
        <v/>
      </c>
      <c r="F154" s="982" t="n"/>
      <c r="G154" s="977" t="n"/>
      <c r="H154" s="983" t="n"/>
      <c r="I154" s="984" t="n"/>
      <c r="J154" s="985">
        <f>IF(C154="",0,VLOOKUP(C154,CCBASE!$A$53:$C$73,2,FALSE))</f>
        <v/>
      </c>
      <c r="K154" s="986">
        <f>J154*D154</f>
        <v/>
      </c>
      <c r="L154" s="987" t="n">
        <v>0.44</v>
      </c>
      <c r="M154" s="988">
        <f>K154/(1-L154)*(1+$C$9)</f>
        <v/>
      </c>
      <c r="N154" s="986">
        <f>M154*VLOOKUP($B$9,'Base Costs'!$A$32:$B$37,2,FALSE)</f>
        <v/>
      </c>
      <c r="O154" s="989">
        <f>M154-K154</f>
        <v/>
      </c>
      <c r="P154" s="990" t="inlineStr">
        <is>
          <t>always include</t>
        </is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IF(NOT(ISBLANK(C155)), ROUNDUP(F150/1000,0), 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>
        <f>IF(ISNA(D159),0,(VLOOKUP(D159,'Base Costs'!$Q$4:$R$13,2,FALSE)))</f>
        <v/>
      </c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IF(ISNUMBER(SEARCH("UV",D167)),49.7,71.75)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68">
        <f>N165-N172</f>
        <v/>
      </c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731" t="inlineStr">
        <is>
          <t>SPECIAL WORKS</t>
        </is>
      </c>
      <c r="C169" s="752" t="inlineStr">
        <is>
          <t>SELECT WORKS</t>
        </is>
      </c>
      <c r="D169" s="735" t="n"/>
      <c r="E169" s="753">
        <f>IF(C169="","",VLOOKUP(C169,CCBASE!$A$53:$D$73,4,FALSE))</f>
        <v/>
      </c>
      <c r="F169" s="754" t="n"/>
      <c r="G169" s="749" t="n"/>
      <c r="H169" s="750" t="n"/>
      <c r="I169" s="755" t="n"/>
      <c r="J169" s="736">
        <f>IF(C169="",0,VLOOKUP(C169,CCBASE!$A$53:$C$73,2,FALSE))</f>
        <v/>
      </c>
      <c r="K169" s="737">
        <f>J169*D169</f>
        <v/>
      </c>
      <c r="L169" s="738" t="n">
        <v>0.44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584" t="inlineStr">
        <is>
          <t>SPECIAL WORKS</t>
        </is>
      </c>
      <c r="C170" s="33" t="inlineStr">
        <is>
          <t>SELECT WORKS</t>
        </is>
      </c>
      <c r="D170" s="735" t="n"/>
      <c r="E170" s="753">
        <f>IF(C170="","",VLOOKUP(C170,CCBASE!$A$53:$D$73,4,FALSE))</f>
        <v/>
      </c>
      <c r="F170" s="754" t="n"/>
      <c r="G170" s="749" t="n"/>
      <c r="H170" s="750" t="n"/>
      <c r="I170" s="755" t="n"/>
      <c r="J170" s="736">
        <f>IF(C170="",0,VLOOKUP(C170,CCBASE!$A$53:$C$73,2,FALSE))</f>
        <v/>
      </c>
      <c r="K170" s="737">
        <f>J170*D170</f>
        <v/>
      </c>
      <c r="L170" s="738" t="n">
        <v>0.44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991" t="inlineStr">
        <is>
          <t>SPECIAL WORKS</t>
        </is>
      </c>
      <c r="C171" s="992" t="inlineStr">
        <is>
          <t>BIM/ REVIT per CANOPY</t>
        </is>
      </c>
      <c r="D171" s="980" t="n"/>
      <c r="E171" s="981">
        <f>IF(C171="","",VLOOKUP(C171,CCBASE!$A$53:$D$73,4,FALSE))</f>
        <v/>
      </c>
      <c r="F171" s="982" t="n"/>
      <c r="G171" s="977" t="n"/>
      <c r="H171" s="983" t="n"/>
      <c r="I171" s="984" t="n"/>
      <c r="J171" s="985">
        <f>IF(C171="",0,VLOOKUP(C171,CCBASE!$A$53:$C$73,2,FALSE))</f>
        <v/>
      </c>
      <c r="K171" s="986">
        <f>J171*D171</f>
        <v/>
      </c>
      <c r="L171" s="987" t="n">
        <v>0.44</v>
      </c>
      <c r="M171" s="988">
        <f>K171/(1-L171)*(1+$C$9)</f>
        <v/>
      </c>
      <c r="N171" s="986">
        <f>M171*VLOOKUP($B$9,'Base Costs'!$A$32:$B$37,2,FALSE)</f>
        <v/>
      </c>
      <c r="O171" s="989">
        <f>M171-K171</f>
        <v/>
      </c>
      <c r="P171" s="990" t="inlineStr">
        <is>
          <t>always include</t>
        </is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IF(NOT(ISBLANK(C172)), ROUNDUP(F167/1000,0), 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>
        <f>IF(ISNA(D176),0,(VLOOKUP(D176,'Base Costs'!$Q$4:$R$13,2,FALSE)))</f>
        <v/>
      </c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10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P182" s="1068">
        <f>N182-N193</f>
        <v/>
      </c>
      <c r="S182" s="694" t="n"/>
    </row>
    <row r="183" ht="15" customHeight="1" s="1085">
      <c r="A183" s="666" t="n">
        <v>222</v>
      </c>
      <c r="B183" s="589" t="inlineStr">
        <is>
          <t>DELIVERY 1 x 7.5T TAIL LIFT 3200KGS</t>
        </is>
      </c>
      <c r="C183" s="774" t="n"/>
      <c r="D183" s="775" t="inlineStr">
        <is>
          <t>SELECT LOCATION…</t>
        </is>
      </c>
      <c r="E183" s="1111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Q183" s="745" t="n"/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/>
      <c r="D184" s="775" t="inlineStr">
        <is>
          <t>PLANT SELECTION (weekly)</t>
        </is>
      </c>
      <c r="E184" s="1108" t="inlineStr">
        <is>
          <t>Install of 6no Pieces of Canopy Max</t>
        </is>
      </c>
      <c r="G184" s="748" t="n"/>
      <c r="H184" s="748" t="n"/>
      <c r="I184" s="748" t="n"/>
      <c r="J184" s="776">
        <f>VLOOKUP(D184,'Base Costs'!$A$3:$B$15,2,FALSE)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269" t="inlineStr">
        <is>
          <t xml:space="preserve">PLANT HIRE </t>
        </is>
      </c>
      <c r="C185" s="777" t="n"/>
      <c r="D185" s="775" t="inlineStr">
        <is>
          <t>PLANT SELECTION (weekly)</t>
        </is>
      </c>
      <c r="E185" s="1108" t="inlineStr">
        <is>
          <t>Install of 6no Pieces of Canopy Max</t>
        </is>
      </c>
      <c r="G185" s="748" t="n"/>
      <c r="H185" s="748" t="n"/>
      <c r="I185" s="748" t="n"/>
      <c r="J185" s="776">
        <f>VLOOKUP(D185,'Base Costs'!$A$3:$B$15,2,FALSE)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S185" s="694" t="n"/>
    </row>
    <row r="186" ht="15" customHeight="1" s="1085">
      <c r="A186" s="666" t="n">
        <v>222</v>
      </c>
      <c r="B186" s="270" t="n"/>
      <c r="C186" s="946" t="n"/>
      <c r="D186" s="775" t="inlineStr">
        <is>
          <t>SELECT LOCATION…</t>
        </is>
      </c>
      <c r="E186" s="1109" t="n"/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610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>
        <f>ROUNDUP((IF(C14="WALL",(F14/1000),(F14/1000)*2)+IF(C31="WALL",(F31/1000),(F31/1000)*2)+IF(C48="WALL",(F48/1000),(F48/1000)*2)+IF(C65="WALL",(F65/1000),(F65/1000)*2)+IF(C82="WALL",(F82/1000),(F82/1000)*2)+IF(C99="WALL",(F99/1000),(F99/1000)*2)+IF(C116="WALL",(F116/1000),(F116/1000)*2)+IF(C133="WALL",(F133/1000),(F133/1000)*2)+IF(C150="WALL",(F150/1000),(F150/1000)*2)+IF(C167="WALL",(F167/1000),(F167/1000)*2)),0)</f>
        <v/>
      </c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731" t="inlineStr">
        <is>
          <t>INSTALLATION NORMAL HOURS</t>
        </is>
      </c>
      <c r="C189" s="777" t="n"/>
      <c r="D189" s="1102" t="inlineStr">
        <is>
          <t>2 Pieces = 1 Day, 4 Pieces = 1.5 Days, 6 Pieces = 2 Days, 8 Pieces = 2.5 Days (1 Section up to 3m long equals 2 Pieces) + logistics</t>
        </is>
      </c>
      <c r="J189" s="776" t="n">
        <v>610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S189" s="694" t="n"/>
    </row>
    <row r="190" ht="15" customHeight="1" s="1085">
      <c r="A190" s="666" t="n">
        <v>400</v>
      </c>
      <c r="B190" s="731" t="inlineStr">
        <is>
          <t>INSTALLATION AFTER HOURS</t>
        </is>
      </c>
      <c r="C190" s="777" t="n"/>
      <c r="D190" s="1102" t="inlineStr">
        <is>
          <t>2 Pieces = 1 Day, 4 Pieces = 1.5 Days, 6 Pieces = 2 Days, 8 Pieces = 2.5 Days (1 Section up to 3m long equals 2 Pieces) + logistics</t>
        </is>
      </c>
      <c r="J190" s="776" t="n">
        <v>1220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610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220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15" t="inlineStr">
        <is>
          <t>ONE Engineer,  1 day per 4no UV or W/W Sections of Canopy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9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09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20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2">
    <mergeCell ref="B203:O203"/>
    <mergeCell ref="H91:I91"/>
    <mergeCell ref="D189:I189"/>
    <mergeCell ref="E121:F121"/>
    <mergeCell ref="H38:I38"/>
    <mergeCell ref="H125:I125"/>
    <mergeCell ref="B200:O200"/>
    <mergeCell ref="G186:I186"/>
    <mergeCell ref="D194:F194"/>
    <mergeCell ref="C5:D5"/>
    <mergeCell ref="H141:I141"/>
    <mergeCell ref="E185:F185"/>
    <mergeCell ref="D197:F197"/>
    <mergeCell ref="B182:G182"/>
    <mergeCell ref="B202:O202"/>
    <mergeCell ref="H55:I55"/>
    <mergeCell ref="H40:I40"/>
    <mergeCell ref="H74:I74"/>
    <mergeCell ref="H176:I176"/>
    <mergeCell ref="H56:I56"/>
    <mergeCell ref="P7:R7"/>
    <mergeCell ref="E35:F35"/>
    <mergeCell ref="H39:I39"/>
    <mergeCell ref="E87:F87"/>
    <mergeCell ref="G9:J9"/>
    <mergeCell ref="H21:I21"/>
    <mergeCell ref="H73:I73"/>
    <mergeCell ref="H157:I157"/>
    <mergeCell ref="D195:E195"/>
    <mergeCell ref="D193:F193"/>
    <mergeCell ref="E138:F138"/>
    <mergeCell ref="E19:F19"/>
    <mergeCell ref="H142:I142"/>
    <mergeCell ref="E155:F155"/>
    <mergeCell ref="H89:I89"/>
    <mergeCell ref="H123:I123"/>
    <mergeCell ref="G5:J5"/>
    <mergeCell ref="B1:C1"/>
    <mergeCell ref="E9:F9"/>
    <mergeCell ref="H108:I108"/>
    <mergeCell ref="H106:I106"/>
    <mergeCell ref="E186:F186"/>
    <mergeCell ref="G183:I183"/>
    <mergeCell ref="E104:F104"/>
    <mergeCell ref="H72:I72"/>
    <mergeCell ref="H174:I174"/>
    <mergeCell ref="H90:I90"/>
    <mergeCell ref="B205:O205"/>
    <mergeCell ref="H57:I57"/>
    <mergeCell ref="G7:J7"/>
    <mergeCell ref="H159:I159"/>
    <mergeCell ref="E36:F36"/>
    <mergeCell ref="H22:I22"/>
    <mergeCell ref="E70:F70"/>
    <mergeCell ref="H140:I140"/>
    <mergeCell ref="H158:I158"/>
    <mergeCell ref="D196:E196"/>
    <mergeCell ref="E172:F172"/>
    <mergeCell ref="C7:D7"/>
    <mergeCell ref="D190:I190"/>
    <mergeCell ref="G3:J3"/>
    <mergeCell ref="E183:F183"/>
    <mergeCell ref="H124:I124"/>
    <mergeCell ref="B201:O201"/>
    <mergeCell ref="E184:F184"/>
    <mergeCell ref="H107:I107"/>
    <mergeCell ref="E53:F53"/>
    <mergeCell ref="B204:O204"/>
    <mergeCell ref="H23:I23"/>
    <mergeCell ref="C3:D3"/>
    <mergeCell ref="P5:T5"/>
    <mergeCell ref="H175:I175"/>
  </mergeCells>
  <conditionalFormatting sqref="B9">
    <cfRule type="containsText" priority="663" operator="containsText" dxfId="680" text="SELECT">
      <formula>NOT(ISERROR(SEARCH("SELECT",B9)))</formula>
    </cfRule>
    <cfRule type="expression" priority="664" dxfId="680">
      <formula>B9="CURRENCY"</formula>
    </cfRule>
  </conditionalFormatting>
  <conditionalFormatting sqref="B11">
    <cfRule type="expression" priority="626" dxfId="637">
      <formula>$B11&lt;&gt;""</formula>
    </cfRule>
  </conditionalFormatting>
  <conditionalFormatting sqref="B14:B23">
    <cfRule type="expression" priority="618" dxfId="633">
      <formula>$J14&gt;0</formula>
    </cfRule>
  </conditionalFormatting>
  <conditionalFormatting sqref="B24">
    <cfRule type="expression" priority="615" dxfId="633">
      <formula>ISNUMBER(SEARCH("UV",$D14))</formula>
    </cfRule>
    <cfRule type="expression" priority="616" dxfId="358">
      <formula>($D14="CANOPY TYPE")</formula>
    </cfRule>
  </conditionalFormatting>
  <conditionalFormatting sqref="B25:B27">
    <cfRule type="expression" priority="443" dxfId="633">
      <formula>$J25&gt;0</formula>
    </cfRule>
  </conditionalFormatting>
  <conditionalFormatting sqref="B28">
    <cfRule type="expression" priority="624" dxfId="637">
      <formula>$B28&lt;&gt;""</formula>
    </cfRule>
  </conditionalFormatting>
  <conditionalFormatting sqref="B31:B40">
    <cfRule type="expression" priority="388" dxfId="633">
      <formula>$J31&gt;0</formula>
    </cfRule>
  </conditionalFormatting>
  <conditionalFormatting sqref="B41">
    <cfRule type="expression" priority="583" dxfId="633">
      <formula>ISNUMBER(SEARCH("UV",$D31))</formula>
    </cfRule>
    <cfRule type="expression" priority="584" dxfId="358">
      <formula>($D31="CANOPY TYPE")</formula>
    </cfRule>
  </conditionalFormatting>
  <conditionalFormatting sqref="B42:B44">
    <cfRule type="expression" priority="585" dxfId="633">
      <formula>$J42&gt;0</formula>
    </cfRule>
  </conditionalFormatting>
  <conditionalFormatting sqref="B45">
    <cfRule type="expression" priority="623" dxfId="637">
      <formula>$B45&lt;&gt;""</formula>
    </cfRule>
  </conditionalFormatting>
  <conditionalFormatting sqref="B48:B57">
    <cfRule type="expression" priority="103" dxfId="633">
      <formula>$J48&gt;0</formula>
    </cfRule>
  </conditionalFormatting>
  <conditionalFormatting sqref="B58">
    <cfRule type="expression" priority="557" dxfId="358">
      <formula>($D48="CANOPY TYPE")</formula>
    </cfRule>
    <cfRule type="expression" priority="556" dxfId="633">
      <formula>ISNUMBER(SEARCH("UV",$D48))</formula>
    </cfRule>
  </conditionalFormatting>
  <conditionalFormatting sqref="B59:B61">
    <cfRule type="expression" priority="442" dxfId="633">
      <formula>$J59&gt;0</formula>
    </cfRule>
  </conditionalFormatting>
  <conditionalFormatting sqref="B62">
    <cfRule type="expression" priority="622" dxfId="637">
      <formula>$B62&lt;&gt;""</formula>
    </cfRule>
  </conditionalFormatting>
  <conditionalFormatting sqref="B65:B74">
    <cfRule type="expression" priority="89" dxfId="633">
      <formula>$J65&gt;0</formula>
    </cfRule>
  </conditionalFormatting>
  <conditionalFormatting sqref="B75">
    <cfRule type="expression" priority="528" dxfId="633">
      <formula>ISNUMBER(SEARCH("UV",$D65))</formula>
    </cfRule>
    <cfRule type="expression" priority="529" dxfId="358">
      <formula>($D65="CANOPY TYPE")</formula>
    </cfRule>
  </conditionalFormatting>
  <conditionalFormatting sqref="B76:B78">
    <cfRule type="expression" priority="441" dxfId="633">
      <formula>$J76&gt;0</formula>
    </cfRule>
  </conditionalFormatting>
  <conditionalFormatting sqref="B79">
    <cfRule type="expression" priority="621" dxfId="637">
      <formula>$B79&lt;&gt;""</formula>
    </cfRule>
  </conditionalFormatting>
  <conditionalFormatting sqref="B82:B91">
    <cfRule type="expression" priority="75" dxfId="633">
      <formula>$J82&gt;0</formula>
    </cfRule>
  </conditionalFormatting>
  <conditionalFormatting sqref="B92">
    <cfRule type="expression" priority="499" dxfId="633">
      <formula>ISNUMBER(SEARCH("UV",$D82))</formula>
    </cfRule>
    <cfRule type="expression" priority="500" dxfId="358">
      <formula>($D82="CANOPY TYPE")</formula>
    </cfRule>
  </conditionalFormatting>
  <conditionalFormatting sqref="B93:B95">
    <cfRule type="expression" priority="440" dxfId="633">
      <formula>$J93&gt;0</formula>
    </cfRule>
  </conditionalFormatting>
  <conditionalFormatting sqref="B96">
    <cfRule type="expression" priority="620" dxfId="637">
      <formula>$B96&lt;&gt;""</formula>
    </cfRule>
  </conditionalFormatting>
  <conditionalFormatting sqref="B99:B108">
    <cfRule type="expression" priority="61" dxfId="633">
      <formula>$J99&gt;0</formula>
    </cfRule>
  </conditionalFormatting>
  <conditionalFormatting sqref="B109">
    <cfRule type="expression" priority="472" dxfId="358">
      <formula>($D99="CANOPY TYPE")</formula>
    </cfRule>
    <cfRule type="expression" priority="471" dxfId="633">
      <formula>ISNUMBER(SEARCH("UV",$D99))</formula>
    </cfRule>
  </conditionalFormatting>
  <conditionalFormatting sqref="B110:B112 B127:B129 B144:B146 B161:B163 B178:B180">
    <cfRule type="expression" priority="439" dxfId="633">
      <formula>$J110&gt;0</formula>
    </cfRule>
  </conditionalFormatting>
  <conditionalFormatting sqref="B113">
    <cfRule type="expression" priority="320" dxfId="637">
      <formula>$B113&lt;&gt;""</formula>
    </cfRule>
  </conditionalFormatting>
  <conditionalFormatting sqref="B116:B125">
    <cfRule type="expression" priority="47" dxfId="633">
      <formula>$J116&gt;0</formula>
    </cfRule>
  </conditionalFormatting>
  <conditionalFormatting sqref="B126">
    <cfRule type="expression" priority="295" dxfId="633">
      <formula>ISNUMBER(SEARCH("UV",$D116))</formula>
    </cfRule>
    <cfRule type="expression" priority="296" dxfId="358">
      <formula>($D116="CANOPY TYPE")</formula>
    </cfRule>
  </conditionalFormatting>
  <conditionalFormatting sqref="B130">
    <cfRule type="expression" priority="265" dxfId="637">
      <formula>$B130&lt;&gt;""</formula>
    </cfRule>
  </conditionalFormatting>
  <conditionalFormatting sqref="B133:B142">
    <cfRule type="expression" priority="33" dxfId="633">
      <formula>$J133&gt;0</formula>
    </cfRule>
  </conditionalFormatting>
  <conditionalFormatting sqref="B143">
    <cfRule type="expression" priority="241" dxfId="358">
      <formula>($D133="CANOPY TYPE")</formula>
    </cfRule>
    <cfRule type="expression" priority="240" dxfId="633">
      <formula>ISNUMBER(SEARCH("UV",$D133))</formula>
    </cfRule>
  </conditionalFormatting>
  <conditionalFormatting sqref="B147">
    <cfRule type="expression" priority="214" dxfId="637">
      <formula>$B147&lt;&gt;""</formula>
    </cfRule>
  </conditionalFormatting>
  <conditionalFormatting sqref="B150:B159">
    <cfRule type="expression" priority="19" dxfId="633">
      <formula>$J150&gt;0</formula>
    </cfRule>
  </conditionalFormatting>
  <conditionalFormatting sqref="B160">
    <cfRule type="expression" priority="190" dxfId="358">
      <formula>($D150="CANOPY TYPE")</formula>
    </cfRule>
    <cfRule type="expression" priority="189" dxfId="633">
      <formula>ISNUMBER(SEARCH("UV",$D150))</formula>
    </cfRule>
  </conditionalFormatting>
  <conditionalFormatting sqref="B164">
    <cfRule type="expression" priority="163" dxfId="637">
      <formula>$B164&lt;&gt;""</formula>
    </cfRule>
  </conditionalFormatting>
  <conditionalFormatting sqref="B167:B176">
    <cfRule type="expression" priority="5" dxfId="633">
      <formula>$J167&gt;0</formula>
    </cfRule>
  </conditionalFormatting>
  <conditionalFormatting sqref="B177">
    <cfRule type="expression" priority="138" dxfId="633">
      <formula>ISNUMBER(SEARCH("UV",$D167))</formula>
    </cfRule>
    <cfRule type="expression" priority="139" dxfId="358">
      <formula>($D167="CANOPY TYPE")</formula>
    </cfRule>
  </conditionalFormatting>
  <conditionalFormatting sqref="B183:B197">
    <cfRule type="expression" priority="617" dxfId="633">
      <formula>$C183&gt;0</formula>
    </cfRule>
  </conditionalFormatting>
  <conditionalFormatting sqref="C14">
    <cfRule type="containsText" priority="429" operator="containsText" dxfId="204" text="CONFIG">
      <formula>NOT(ISERROR(SEARCH("CONFIG",C14)))</formula>
    </cfRule>
  </conditionalFormatting>
  <conditionalFormatting sqref="C15">
    <cfRule type="containsText" priority="434" operator="containsText" dxfId="561" text="LIGHT SELECTION">
      <formula>NOT(ISERROR(SEARCH("LIGHT SELECTION",C15)))</formula>
    </cfRule>
  </conditionalFormatting>
  <conditionalFormatting sqref="C20:C21">
    <cfRule type="cellIs" priority="669" operator="lessThan" dxfId="561">
      <formula>1</formula>
    </cfRule>
  </conditionalFormatting>
  <conditionalFormatting sqref="C22:C23">
    <cfRule type="expression" priority="409" dxfId="383">
      <formula>D22="WW PODS"</formula>
    </cfRule>
  </conditionalFormatting>
  <conditionalFormatting sqref="C24">
    <cfRule type="expression" priority="686" dxfId="559">
      <formula>ISNUMBER(SEARCH("UV",D14))</formula>
    </cfRule>
  </conditionalFormatting>
  <conditionalFormatting sqref="C25">
    <cfRule type="expression" priority="651" dxfId="472">
      <formula>(ISNUMBER(SEARCH("CMW",D14)))=TRUE</formula>
    </cfRule>
  </conditionalFormatting>
  <conditionalFormatting sqref="C26">
    <cfRule type="expression" priority="650" dxfId="472">
      <formula>(ISNUMBER(SEARCH("CMW",D14)))=TRUE</formula>
    </cfRule>
  </conditionalFormatting>
  <conditionalFormatting sqref="C27">
    <cfRule type="expression" priority="619" dxfId="472">
      <formula>(ISNUMBER(SEARCH("CMW",$D14)))=TRUE</formula>
    </cfRule>
  </conditionalFormatting>
  <conditionalFormatting sqref="C31">
    <cfRule type="containsText" priority="594" operator="containsText" dxfId="204" text="CONFIG">
      <formula>NOT(ISERROR(SEARCH("CONFIG",C31)))</formula>
    </cfRule>
  </conditionalFormatting>
  <conditionalFormatting sqref="C32">
    <cfRule type="containsText" priority="436" operator="containsText" dxfId="561" text="LIGHT SELECTION">
      <formula>NOT(ISERROR(SEARCH("LIGHT SELECTION",C32)))</formula>
    </cfRule>
  </conditionalFormatting>
  <conditionalFormatting sqref="C37:C38">
    <cfRule type="cellIs" priority="593" operator="lessThan" dxfId="561">
      <formula>1</formula>
    </cfRule>
  </conditionalFormatting>
  <conditionalFormatting sqref="C39:C40">
    <cfRule type="expression" priority="387" dxfId="383">
      <formula>D39="WW PODS"</formula>
    </cfRule>
  </conditionalFormatting>
  <conditionalFormatting sqref="C41">
    <cfRule type="expression" priority="608" dxfId="559">
      <formula>ISNUMBER(SEARCH("UV",D31))</formula>
    </cfRule>
  </conditionalFormatting>
  <conditionalFormatting sqref="C42">
    <cfRule type="expression" priority="591" dxfId="472">
      <formula>(ISNUMBER(SEARCH("CMW",D31)))=TRUE</formula>
    </cfRule>
  </conditionalFormatting>
  <conditionalFormatting sqref="C43">
    <cfRule type="expression" priority="468" dxfId="472">
      <formula>(ISNUMBER(SEARCH("CMW",D31)))=TRUE</formula>
    </cfRule>
  </conditionalFormatting>
  <conditionalFormatting sqref="C44">
    <cfRule type="expression" priority="586" dxfId="472">
      <formula>(ISNUMBER(SEARCH("CMW",$D31)))=TRUE</formula>
    </cfRule>
  </conditionalFormatting>
  <conditionalFormatting sqref="C48">
    <cfRule type="containsText" priority="563" operator="containsText" dxfId="204" text="CONFIG">
      <formula>NOT(ISERROR(SEARCH("CONFIG",C48)))</formula>
    </cfRule>
  </conditionalFormatting>
  <conditionalFormatting sqref="C49">
    <cfRule type="containsText" priority="433" operator="containsText" dxfId="561" text="LIGHT SELECTION">
      <formula>NOT(ISERROR(SEARCH("LIGHT SELECTION",C49)))</formula>
    </cfRule>
  </conditionalFormatting>
  <conditionalFormatting sqref="C54:C55">
    <cfRule type="cellIs" priority="562" operator="lessThan" dxfId="561">
      <formula>1</formula>
    </cfRule>
  </conditionalFormatting>
  <conditionalFormatting sqref="C56:C57">
    <cfRule type="expression" priority="368" dxfId="383">
      <formula>D56="WW PODS"</formula>
    </cfRule>
  </conditionalFormatting>
  <conditionalFormatting sqref="C58">
    <cfRule type="expression" priority="576" dxfId="559">
      <formula>ISNUMBER(SEARCH("UV",D48))</formula>
    </cfRule>
  </conditionalFormatting>
  <conditionalFormatting sqref="C59">
    <cfRule type="expression" priority="560" dxfId="472">
      <formula>(ISNUMBER(SEARCH("CMW",D48)))=TRUE</formula>
    </cfRule>
  </conditionalFormatting>
  <conditionalFormatting sqref="C60">
    <cfRule type="expression" priority="467" dxfId="472">
      <formula>(ISNUMBER(SEARCH("CMW",D48)))=TRUE</formula>
    </cfRule>
  </conditionalFormatting>
  <conditionalFormatting sqref="C61">
    <cfRule type="expression" priority="558" dxfId="472">
      <formula>(ISNUMBER(SEARCH("CMW",$D48)))=TRUE</formula>
    </cfRule>
  </conditionalFormatting>
  <conditionalFormatting sqref="C65">
    <cfRule type="containsText" priority="536" operator="containsText" dxfId="204" text="CONFIG">
      <formula>NOT(ISERROR(SEARCH("CONFIG",C65)))</formula>
    </cfRule>
  </conditionalFormatting>
  <conditionalFormatting sqref="C66">
    <cfRule type="containsText" priority="432" operator="containsText" dxfId="561" text="LIGHT SELECTION">
      <formula>NOT(ISERROR(SEARCH("LIGHT SELECTION",C66)))</formula>
    </cfRule>
  </conditionalFormatting>
  <conditionalFormatting sqref="C71:C72">
    <cfRule type="cellIs" priority="535" operator="lessThan" dxfId="561">
      <formula>1</formula>
    </cfRule>
  </conditionalFormatting>
  <conditionalFormatting sqref="C73:C74">
    <cfRule type="expression" priority="353" dxfId="383">
      <formula>D73="WW PODS"</formula>
    </cfRule>
  </conditionalFormatting>
  <conditionalFormatting sqref="C75">
    <cfRule type="expression" priority="549" dxfId="559">
      <formula>ISNUMBER(SEARCH("UV",D65))</formula>
    </cfRule>
  </conditionalFormatting>
  <conditionalFormatting sqref="C76">
    <cfRule type="expression" priority="532" dxfId="472">
      <formula>(ISNUMBER(SEARCH("CMW",D65)))=TRUE</formula>
    </cfRule>
  </conditionalFormatting>
  <conditionalFormatting sqref="C77">
    <cfRule type="expression" priority="466" dxfId="472">
      <formula>(ISNUMBER(SEARCH("CMW",D65)))=TRUE</formula>
    </cfRule>
  </conditionalFormatting>
  <conditionalFormatting sqref="C78">
    <cfRule type="expression" priority="530" dxfId="472">
      <formula>(ISNUMBER(SEARCH("CMW",$D65)))=TRUE</formula>
    </cfRule>
  </conditionalFormatting>
  <conditionalFormatting sqref="C82">
    <cfRule type="containsText" priority="507" operator="containsText" dxfId="204" text="CONFIG">
      <formula>NOT(ISERROR(SEARCH("CONFIG",C82)))</formula>
    </cfRule>
  </conditionalFormatting>
  <conditionalFormatting sqref="C83">
    <cfRule type="containsText" priority="431" operator="containsText" dxfId="561" text="LIGHT SELECTION">
      <formula>NOT(ISERROR(SEARCH("LIGHT SELECTION",C83)))</formula>
    </cfRule>
  </conditionalFormatting>
  <conditionalFormatting sqref="C88:C89">
    <cfRule type="cellIs" priority="506" operator="lessThan" dxfId="561">
      <formula>1</formula>
    </cfRule>
  </conditionalFormatting>
  <conditionalFormatting sqref="C90:C91">
    <cfRule type="expression" priority="338" dxfId="383">
      <formula>D90="WW PODS"</formula>
    </cfRule>
  </conditionalFormatting>
  <conditionalFormatting sqref="C92">
    <cfRule type="expression" priority="521" dxfId="559">
      <formula>ISNUMBER(SEARCH("UV",D82))</formula>
    </cfRule>
  </conditionalFormatting>
  <conditionalFormatting sqref="C93">
    <cfRule type="expression" priority="503" dxfId="472">
      <formula>(ISNUMBER(SEARCH("CMW",D82)))=TRUE</formula>
    </cfRule>
  </conditionalFormatting>
  <conditionalFormatting sqref="C94">
    <cfRule type="expression" priority="465" dxfId="472">
      <formula>(ISNUMBER(SEARCH("CMW",D82)))=TRUE</formula>
    </cfRule>
  </conditionalFormatting>
  <conditionalFormatting sqref="C95">
    <cfRule type="expression" priority="501" dxfId="472">
      <formula>(ISNUMBER(SEARCH("CMW",$D82)))=TRUE</formula>
    </cfRule>
  </conditionalFormatting>
  <conditionalFormatting sqref="C99">
    <cfRule type="containsText" priority="478" operator="containsText" dxfId="204" text="CONFIG">
      <formula>NOT(ISERROR(SEARCH("CONFIG",C99)))</formula>
    </cfRule>
  </conditionalFormatting>
  <conditionalFormatting sqref="C100">
    <cfRule type="containsText" priority="430" operator="containsText" dxfId="561" text="LIGHT SELECTION">
      <formula>NOT(ISERROR(SEARCH("LIGHT SELECTION",C100)))</formula>
    </cfRule>
  </conditionalFormatting>
  <conditionalFormatting sqref="C105:C106">
    <cfRule type="cellIs" priority="477" operator="lessThan" dxfId="561">
      <formula>1</formula>
    </cfRule>
  </conditionalFormatting>
  <conditionalFormatting sqref="C107:C108">
    <cfRule type="expression" priority="323" dxfId="383">
      <formula>D107="WW PODS"</formula>
    </cfRule>
  </conditionalFormatting>
  <conditionalFormatting sqref="C109">
    <cfRule type="expression" priority="492" dxfId="559">
      <formula>ISNUMBER(SEARCH("UV",D99))</formula>
    </cfRule>
  </conditionalFormatting>
  <conditionalFormatting sqref="C110">
    <cfRule type="expression" priority="475" dxfId="472">
      <formula>(ISNUMBER(SEARCH("CMW",D99)))=TRUE</formula>
    </cfRule>
  </conditionalFormatting>
  <conditionalFormatting sqref="C111">
    <cfRule type="expression" priority="464" dxfId="472">
      <formula>(ISNUMBER(SEARCH("CMW",D99)))=TRUE</formula>
    </cfRule>
  </conditionalFormatting>
  <conditionalFormatting sqref="C112 C129 C146 C163 C180">
    <cfRule type="expression" priority="473" dxfId="472">
      <formula>(ISNUMBER(SEARCH("CMW",$D99)))=TRUE</formula>
    </cfRule>
  </conditionalFormatting>
  <conditionalFormatting sqref="C116">
    <cfRule type="containsText" priority="301" operator="containsText" dxfId="204" text="CONFIG">
      <formula>NOT(ISERROR(SEARCH("CONFIG",C116)))</formula>
    </cfRule>
  </conditionalFormatting>
  <conditionalFormatting sqref="C117">
    <cfRule type="containsText" priority="288" operator="containsText" dxfId="561" text="LIGHT SELECTION">
      <formula>NOT(ISERROR(SEARCH("LIGHT SELECTION",C117)))</formula>
    </cfRule>
  </conditionalFormatting>
  <conditionalFormatting sqref="C122:C123">
    <cfRule type="cellIs" priority="300" operator="lessThan" dxfId="561">
      <formula>1</formula>
    </cfRule>
  </conditionalFormatting>
  <conditionalFormatting sqref="C124:C125">
    <cfRule type="expression" priority="272" dxfId="383">
      <formula>D124="WW PODS"</formula>
    </cfRule>
  </conditionalFormatting>
  <conditionalFormatting sqref="C126">
    <cfRule type="expression" priority="315" dxfId="559">
      <formula>ISNUMBER(SEARCH("UV",D116))</formula>
    </cfRule>
  </conditionalFormatting>
  <conditionalFormatting sqref="C127">
    <cfRule type="expression" priority="298" dxfId="472">
      <formula>(ISNUMBER(SEARCH("CMW",D116)))=TRUE</formula>
    </cfRule>
  </conditionalFormatting>
  <conditionalFormatting sqref="C128">
    <cfRule type="expression" priority="293" dxfId="472">
      <formula>(ISNUMBER(SEARCH("CMW",D116)))=TRUE</formula>
    </cfRule>
  </conditionalFormatting>
  <conditionalFormatting sqref="C133">
    <cfRule type="containsText" priority="246" operator="containsText" dxfId="204" text="CONFIG">
      <formula>NOT(ISERROR(SEARCH("CONFIG",C133)))</formula>
    </cfRule>
  </conditionalFormatting>
  <conditionalFormatting sqref="C134">
    <cfRule type="containsText" priority="233" operator="containsText" dxfId="561" text="LIGHT SELECTION">
      <formula>NOT(ISERROR(SEARCH("LIGHT SELECTION",C134)))</formula>
    </cfRule>
  </conditionalFormatting>
  <conditionalFormatting sqref="C139:C140">
    <cfRule type="cellIs" priority="245" operator="lessThan" dxfId="561">
      <formula>1</formula>
    </cfRule>
  </conditionalFormatting>
  <conditionalFormatting sqref="C141:C142">
    <cfRule type="expression" priority="217" dxfId="383">
      <formula>D141="WW PODS"</formula>
    </cfRule>
  </conditionalFormatting>
  <conditionalFormatting sqref="C143">
    <cfRule type="expression" priority="260" dxfId="559">
      <formula>ISNUMBER(SEARCH("UV",D133))</formula>
    </cfRule>
  </conditionalFormatting>
  <conditionalFormatting sqref="C144">
    <cfRule type="expression" priority="243" dxfId="472">
      <formula>(ISNUMBER(SEARCH("CMW",D133)))=TRUE</formula>
    </cfRule>
  </conditionalFormatting>
  <conditionalFormatting sqref="C145">
    <cfRule type="expression" priority="238" dxfId="472">
      <formula>(ISNUMBER(SEARCH("CMW",D133)))=TRUE</formula>
    </cfRule>
  </conditionalFormatting>
  <conditionalFormatting sqref="C150">
    <cfRule type="containsText" priority="195" operator="containsText" dxfId="204" text="CONFIG">
      <formula>NOT(ISERROR(SEARCH("CONFIG",C150)))</formula>
    </cfRule>
  </conditionalFormatting>
  <conditionalFormatting sqref="C151">
    <cfRule type="containsText" priority="182" operator="containsText" dxfId="561" text="LIGHT SELECTION">
      <formula>NOT(ISERROR(SEARCH("LIGHT SELECTION",C151)))</formula>
    </cfRule>
  </conditionalFormatting>
  <conditionalFormatting sqref="C156:C157">
    <cfRule type="cellIs" priority="194" operator="lessThan" dxfId="561">
      <formula>1</formula>
    </cfRule>
  </conditionalFormatting>
  <conditionalFormatting sqref="C158:C159">
    <cfRule type="expression" priority="166" dxfId="383">
      <formula>D158="WW PODS"</formula>
    </cfRule>
  </conditionalFormatting>
  <conditionalFormatting sqref="C160">
    <cfRule type="expression" priority="209" dxfId="559">
      <formula>ISNUMBER(SEARCH("UV",D150))</formula>
    </cfRule>
  </conditionalFormatting>
  <conditionalFormatting sqref="C161">
    <cfRule type="expression" priority="192" dxfId="472">
      <formula>(ISNUMBER(SEARCH("CMW",D150)))=TRUE</formula>
    </cfRule>
  </conditionalFormatting>
  <conditionalFormatting sqref="C162">
    <cfRule type="expression" priority="187" dxfId="472">
      <formula>(ISNUMBER(SEARCH("CMW",D150)))=TRUE</formula>
    </cfRule>
  </conditionalFormatting>
  <conditionalFormatting sqref="C167">
    <cfRule type="containsText" priority="144" operator="containsText" dxfId="204" text="CONFIG">
      <formula>NOT(ISERROR(SEARCH("CONFIG",C167)))</formula>
    </cfRule>
  </conditionalFormatting>
  <conditionalFormatting sqref="C168">
    <cfRule type="containsText" priority="131" operator="containsText" dxfId="561" text="LIGHT SELECTION">
      <formula>NOT(ISERROR(SEARCH("LIGHT SELECTION",C168)))</formula>
    </cfRule>
  </conditionalFormatting>
  <conditionalFormatting sqref="C173:C174">
    <cfRule type="cellIs" priority="143" operator="lessThan" dxfId="561">
      <formula>1</formula>
    </cfRule>
  </conditionalFormatting>
  <conditionalFormatting sqref="C175:C176">
    <cfRule type="expression" priority="115" dxfId="383">
      <formula>D175="WW PODS"</formula>
    </cfRule>
  </conditionalFormatting>
  <conditionalFormatting sqref="C177">
    <cfRule type="expression" priority="158" dxfId="559">
      <formula>ISNUMBER(SEARCH("UV",D167))</formula>
    </cfRule>
  </conditionalFormatting>
  <conditionalFormatting sqref="C178">
    <cfRule type="expression" priority="141" dxfId="472">
      <formula>(ISNUMBER(SEARCH("CMW",D167)))=TRUE</formula>
    </cfRule>
  </conditionalFormatting>
  <conditionalFormatting sqref="C179">
    <cfRule type="expression" priority="136" dxfId="472">
      <formula>(ISNUMBER(SEARCH("CMW",D167)))=TRUE</formula>
    </cfRule>
  </conditionalFormatting>
  <conditionalFormatting sqref="C183:C184">
    <cfRule type="cellIs" priority="671" operator="lessThan" dxfId="554">
      <formula>1</formula>
    </cfRule>
  </conditionalFormatting>
  <conditionalFormatting sqref="C185">
    <cfRule type="cellIs" priority="660" operator="lessThan" dxfId="164">
      <formula>1</formula>
    </cfRule>
  </conditionalFormatting>
  <conditionalFormatting sqref="C186:C197">
    <cfRule type="cellIs" priority="270" operator="lessThan" dxfId="554">
      <formula>1</formula>
    </cfRule>
  </conditionalFormatting>
  <conditionalFormatting sqref="C9:D9">
    <cfRule type="cellIs" priority="661" operator="lessThan" dxfId="207">
      <formula>0</formula>
    </cfRule>
    <cfRule type="cellIs" priority="662" operator="greaterThan" dxfId="552">
      <formula>0</formula>
    </cfRule>
  </conditionalFormatting>
  <conditionalFormatting sqref="D14">
    <cfRule type="containsText" priority="672" operator="containsText" dxfId="164" text="CANOPY TYPE">
      <formula>NOT(ISERROR(SEARCH("CANOPY TYPE",D14)))</formula>
    </cfRule>
  </conditionalFormatting>
  <conditionalFormatting sqref="D15">
    <cfRule type="expression" priority="425" dxfId="206">
      <formula>(C15="LIGHT SELECTION")</formula>
    </cfRule>
  </conditionalFormatting>
  <conditionalFormatting sqref="D16:D18">
    <cfRule type="expression" priority="627" dxfId="206">
      <formula>($C16="SELECT WORKS")</formula>
    </cfRule>
  </conditionalFormatting>
  <conditionalFormatting sqref="D19">
    <cfRule type="expression" priority="269" dxfId="206">
      <formula>$C19="SELECT CLADDING"</formula>
    </cfRule>
  </conditionalFormatting>
  <conditionalFormatting sqref="D22:D23">
    <cfRule type="expression" priority="408" dxfId="358">
      <formula>($D$14="CANOPY TYPE")</formula>
    </cfRule>
  </conditionalFormatting>
  <conditionalFormatting sqref="D24">
    <cfRule type="expression" priority="685" dxfId="474">
      <formula>ISNUMBER(SEARCH("UV",D14))</formula>
    </cfRule>
  </conditionalFormatting>
  <conditionalFormatting sqref="D25">
    <cfRule type="expression" priority="613" dxfId="358">
      <formula>($D$14="CANOPY TYPE")</formula>
    </cfRule>
  </conditionalFormatting>
  <conditionalFormatting sqref="D26">
    <cfRule type="expression" priority="635" dxfId="472">
      <formula>(ISNUMBER(SEARCH("CMW",D14)))=TRUE</formula>
    </cfRule>
  </conditionalFormatting>
  <conditionalFormatting sqref="D31">
    <cfRule type="containsText" priority="595" operator="containsText" dxfId="164" text="CANOPY TYPE">
      <formula>NOT(ISERROR(SEARCH("CANOPY TYPE",D31)))</formula>
    </cfRule>
  </conditionalFormatting>
  <conditionalFormatting sqref="D32">
    <cfRule type="expression" priority="438" dxfId="206">
      <formula>(C32="LIGHT SELECTION")</formula>
    </cfRule>
  </conditionalFormatting>
  <conditionalFormatting sqref="D33:D35">
    <cfRule type="expression" priority="588" dxfId="206">
      <formula>($C33="SELECT WORKS")</formula>
    </cfRule>
  </conditionalFormatting>
  <conditionalFormatting sqref="D36">
    <cfRule type="expression" priority="417" dxfId="206">
      <formula>$C36="SELECT CLADDING"</formula>
    </cfRule>
  </conditionalFormatting>
  <conditionalFormatting sqref="D39:D40">
    <cfRule type="expression" priority="382" dxfId="358">
      <formula>($D$14="CANOPY TYPE")</formula>
    </cfRule>
  </conditionalFormatting>
  <conditionalFormatting sqref="D41">
    <cfRule type="expression" priority="607" dxfId="474">
      <formula>ISNUMBER(SEARCH("UV",D31))</formula>
    </cfRule>
  </conditionalFormatting>
  <conditionalFormatting sqref="D42">
    <cfRule type="expression" priority="581" dxfId="358">
      <formula>($D$14="CANOPY TYPE")</formula>
    </cfRule>
  </conditionalFormatting>
  <conditionalFormatting sqref="D43">
    <cfRule type="expression" priority="590" dxfId="472">
      <formula>(ISNUMBER(SEARCH("CMW",D31)))=TRUE</formula>
    </cfRule>
  </conditionalFormatting>
  <conditionalFormatting sqref="D48">
    <cfRule type="containsText" priority="420" operator="containsText" dxfId="164" text="CANOPY TYPE">
      <formula>NOT(ISERROR(SEARCH("CANOPY TYPE",D48)))</formula>
    </cfRule>
  </conditionalFormatting>
  <conditionalFormatting sqref="D49">
    <cfRule type="expression" priority="435" dxfId="206">
      <formula>(C15="LIGHT SELECTION")</formula>
    </cfRule>
  </conditionalFormatting>
  <conditionalFormatting sqref="D50:D52">
    <cfRule type="expression" priority="111" dxfId="206">
      <formula>($C50="SELECT WORKS")</formula>
    </cfRule>
  </conditionalFormatting>
  <conditionalFormatting sqref="D53">
    <cfRule type="expression" priority="418" dxfId="206">
      <formula>$C53="SELECT CLADDING"</formula>
    </cfRule>
  </conditionalFormatting>
  <conditionalFormatting sqref="D56:D57">
    <cfRule type="expression" priority="367" dxfId="358">
      <formula>($D$14="CANOPY TYPE")</formula>
    </cfRule>
  </conditionalFormatting>
  <conditionalFormatting sqref="D58">
    <cfRule type="expression" priority="575" dxfId="474">
      <formula>ISNUMBER(SEARCH("UV",D48))</formula>
    </cfRule>
  </conditionalFormatting>
  <conditionalFormatting sqref="D59">
    <cfRule type="expression" priority="554" dxfId="358">
      <formula>($D$14="CANOPY TYPE")</formula>
    </cfRule>
  </conditionalFormatting>
  <conditionalFormatting sqref="D60">
    <cfRule type="expression" priority="559" dxfId="472">
      <formula>(ISNUMBER(SEARCH("CMW",D48)))=TRUE</formula>
    </cfRule>
  </conditionalFormatting>
  <conditionalFormatting sqref="D65">
    <cfRule type="containsText" priority="419" operator="containsText" dxfId="164" text="CANOPY TYPE">
      <formula>NOT(ISERROR(SEARCH("CANOPY TYPE",D65)))</formula>
    </cfRule>
  </conditionalFormatting>
  <conditionalFormatting sqref="D66">
    <cfRule type="expression" priority="428" dxfId="206">
      <formula>(C66="LIGHT SELECTION")</formula>
    </cfRule>
  </conditionalFormatting>
  <conditionalFormatting sqref="D67:D69">
    <cfRule type="expression" priority="97" dxfId="206">
      <formula>($C67="SELECT WORKS")</formula>
    </cfRule>
  </conditionalFormatting>
  <conditionalFormatting sqref="D70">
    <cfRule type="expression" priority="533" dxfId="206">
      <formula>$C70="SELECT CLADDING"</formula>
    </cfRule>
  </conditionalFormatting>
  <conditionalFormatting sqref="D73:D74">
    <cfRule type="expression" priority="352" dxfId="358">
      <formula>($D$14="CANOPY TYPE")</formula>
    </cfRule>
  </conditionalFormatting>
  <conditionalFormatting sqref="D75">
    <cfRule type="expression" priority="548" dxfId="474">
      <formula>ISNUMBER(SEARCH("UV",D65))</formula>
    </cfRule>
  </conditionalFormatting>
  <conditionalFormatting sqref="D76">
    <cfRule type="expression" priority="526" dxfId="358">
      <formula>($D$14="CANOPY TYPE")</formula>
    </cfRule>
  </conditionalFormatting>
  <conditionalFormatting sqref="D77">
    <cfRule type="expression" priority="531" dxfId="472">
      <formula>(ISNUMBER(SEARCH("CMW",D65)))=TRUE</formula>
    </cfRule>
  </conditionalFormatting>
  <conditionalFormatting sqref="D82">
    <cfRule type="containsText" priority="508" operator="containsText" dxfId="164" text="CANOPY TYPE">
      <formula>NOT(ISERROR(SEARCH("CANOPY TYPE",D82)))</formula>
    </cfRule>
  </conditionalFormatting>
  <conditionalFormatting sqref="D83">
    <cfRule type="expression" priority="427" dxfId="206">
      <formula>(C83="LIGHT SELECTION")</formula>
    </cfRule>
  </conditionalFormatting>
  <conditionalFormatting sqref="D84:D86">
    <cfRule type="expression" priority="83" dxfId="206">
      <formula>($C84="SELECT WORKS")</formula>
    </cfRule>
  </conditionalFormatting>
  <conditionalFormatting sqref="D87">
    <cfRule type="expression" priority="504" dxfId="206">
      <formula>$C87="SELECT CLADDING"</formula>
    </cfRule>
  </conditionalFormatting>
  <conditionalFormatting sqref="D90:D91">
    <cfRule type="expression" priority="337" dxfId="358">
      <formula>($D$14="CANOPY TYPE")</formula>
    </cfRule>
  </conditionalFormatting>
  <conditionalFormatting sqref="D92">
    <cfRule type="expression" priority="520" dxfId="474">
      <formula>ISNUMBER(SEARCH("UV",D82))</formula>
    </cfRule>
  </conditionalFormatting>
  <conditionalFormatting sqref="D93">
    <cfRule type="expression" priority="497" dxfId="358">
      <formula>($D$14="CANOPY TYPE")</formula>
    </cfRule>
  </conditionalFormatting>
  <conditionalFormatting sqref="D94">
    <cfRule type="expression" priority="502" dxfId="472">
      <formula>(ISNUMBER(SEARCH("CMW",D82)))=TRUE</formula>
    </cfRule>
  </conditionalFormatting>
  <conditionalFormatting sqref="D99">
    <cfRule type="containsText" priority="479" operator="containsText" dxfId="164" text="CANOPY TYPE">
      <formula>NOT(ISERROR(SEARCH("CANOPY TYPE",D99)))</formula>
    </cfRule>
  </conditionalFormatting>
  <conditionalFormatting sqref="D100">
    <cfRule type="expression" priority="426" dxfId="206">
      <formula>(C100="LIGHT SELECTION")</formula>
    </cfRule>
  </conditionalFormatting>
  <conditionalFormatting sqref="D101:D103">
    <cfRule type="expression" priority="69" dxfId="206">
      <formula>($C101="SELECT WORKS")</formula>
    </cfRule>
  </conditionalFormatting>
  <conditionalFormatting sqref="D104">
    <cfRule type="expression" priority="416" dxfId="206">
      <formula>$C104="SELECT CLADDING"</formula>
    </cfRule>
  </conditionalFormatting>
  <conditionalFormatting sqref="D107:D108">
    <cfRule type="expression" priority="322" dxfId="358">
      <formula>($D$14="CANOPY TYPE")</formula>
    </cfRule>
  </conditionalFormatting>
  <conditionalFormatting sqref="D109">
    <cfRule type="expression" priority="491" dxfId="474">
      <formula>ISNUMBER(SEARCH("UV",D99))</formula>
    </cfRule>
  </conditionalFormatting>
  <conditionalFormatting sqref="D110">
    <cfRule type="expression" priority="469" dxfId="358">
      <formula>($D$14="CANOPY TYPE")</formula>
    </cfRule>
  </conditionalFormatting>
  <conditionalFormatting sqref="D111">
    <cfRule type="expression" priority="474" dxfId="472">
      <formula>(ISNUMBER(SEARCH("CMW",D99)))=TRUE</formula>
    </cfRule>
  </conditionalFormatting>
  <conditionalFormatting sqref="D116">
    <cfRule type="containsText" priority="302" operator="containsText" dxfId="164" text="CANOPY TYPE">
      <formula>NOT(ISERROR(SEARCH("CANOPY TYPE",D116)))</formula>
    </cfRule>
  </conditionalFormatting>
  <conditionalFormatting sqref="D117">
    <cfRule type="expression" priority="287" dxfId="206">
      <formula>(C117="LIGHT SELECTION")</formula>
    </cfRule>
  </conditionalFormatting>
  <conditionalFormatting sqref="D118:D120">
    <cfRule type="expression" priority="55" dxfId="206">
      <formula>($C118="SELECT WORKS")</formula>
    </cfRule>
  </conditionalFormatting>
  <conditionalFormatting sqref="D121">
    <cfRule type="expression" priority="286" dxfId="206">
      <formula>$C121="SELECT CLADDING"</formula>
    </cfRule>
  </conditionalFormatting>
  <conditionalFormatting sqref="D124:D125">
    <cfRule type="expression" priority="271" dxfId="358">
      <formula>($D$14="CANOPY TYPE")</formula>
    </cfRule>
  </conditionalFormatting>
  <conditionalFormatting sqref="D126">
    <cfRule type="expression" priority="314" dxfId="474">
      <formula>ISNUMBER(SEARCH("UV",D116))</formula>
    </cfRule>
  </conditionalFormatting>
  <conditionalFormatting sqref="D127">
    <cfRule type="expression" priority="294" dxfId="358">
      <formula>($D$14="CANOPY TYPE")</formula>
    </cfRule>
  </conditionalFormatting>
  <conditionalFormatting sqref="D128">
    <cfRule type="expression" priority="297" dxfId="472">
      <formula>(ISNUMBER(SEARCH("CMW",D116)))=TRUE</formula>
    </cfRule>
  </conditionalFormatting>
  <conditionalFormatting sqref="D133">
    <cfRule type="containsText" priority="247" operator="containsText" dxfId="164" text="CANOPY TYPE">
      <formula>NOT(ISERROR(SEARCH("CANOPY TYPE",D133)))</formula>
    </cfRule>
  </conditionalFormatting>
  <conditionalFormatting sqref="D134">
    <cfRule type="expression" priority="232" dxfId="206">
      <formula>(C134="LIGHT SELECTION")</formula>
    </cfRule>
  </conditionalFormatting>
  <conditionalFormatting sqref="D135:D137">
    <cfRule type="expression" priority="41" dxfId="206">
      <formula>($C135="SELECT WORKS")</formula>
    </cfRule>
  </conditionalFormatting>
  <conditionalFormatting sqref="D138">
    <cfRule type="expression" priority="231" dxfId="206">
      <formula>$C138="SELECT CLADDING"</formula>
    </cfRule>
  </conditionalFormatting>
  <conditionalFormatting sqref="D141:D142">
    <cfRule type="expression" priority="216" dxfId="358">
      <formula>($D$14="CANOPY TYPE")</formula>
    </cfRule>
  </conditionalFormatting>
  <conditionalFormatting sqref="D143">
    <cfRule type="expression" priority="259" dxfId="474">
      <formula>ISNUMBER(SEARCH("UV",D133))</formula>
    </cfRule>
  </conditionalFormatting>
  <conditionalFormatting sqref="D144">
    <cfRule type="expression" priority="239" dxfId="358">
      <formula>($D$14="CANOPY TYPE")</formula>
    </cfRule>
  </conditionalFormatting>
  <conditionalFormatting sqref="D145">
    <cfRule type="expression" priority="242" dxfId="472">
      <formula>(ISNUMBER(SEARCH("CMW",D133)))=TRUE</formula>
    </cfRule>
  </conditionalFormatting>
  <conditionalFormatting sqref="D150">
    <cfRule type="containsText" priority="196" operator="containsText" dxfId="164" text="CANOPY TYPE">
      <formula>NOT(ISERROR(SEARCH("CANOPY TYPE",D150)))</formula>
    </cfRule>
  </conditionalFormatting>
  <conditionalFormatting sqref="D151">
    <cfRule type="expression" priority="181" dxfId="206">
      <formula>(C151="LIGHT SELECTION")</formula>
    </cfRule>
  </conditionalFormatting>
  <conditionalFormatting sqref="D152:D154">
    <cfRule type="expression" priority="27" dxfId="206">
      <formula>($C152="SELECT WORKS")</formula>
    </cfRule>
  </conditionalFormatting>
  <conditionalFormatting sqref="D155">
    <cfRule type="expression" priority="180" dxfId="206">
      <formula>$C155="SELECT CLADDING"</formula>
    </cfRule>
  </conditionalFormatting>
  <conditionalFormatting sqref="D158:D159">
    <cfRule type="expression" priority="165" dxfId="358">
      <formula>($D$14="CANOPY TYPE")</formula>
    </cfRule>
  </conditionalFormatting>
  <conditionalFormatting sqref="D160">
    <cfRule type="expression" priority="208" dxfId="474">
      <formula>ISNUMBER(SEARCH("UV",D150))</formula>
    </cfRule>
  </conditionalFormatting>
  <conditionalFormatting sqref="D161">
    <cfRule type="expression" priority="188" dxfId="358">
      <formula>($D$14="CANOPY TYPE")</formula>
    </cfRule>
  </conditionalFormatting>
  <conditionalFormatting sqref="D162">
    <cfRule type="expression" priority="191" dxfId="472">
      <formula>(ISNUMBER(SEARCH("CMW",D150)))=TRUE</formula>
    </cfRule>
  </conditionalFormatting>
  <conditionalFormatting sqref="D167">
    <cfRule type="containsText" priority="145" operator="containsText" dxfId="164" text="CANOPY TYPE">
      <formula>NOT(ISERROR(SEARCH("CANOPY TYPE",D167)))</formula>
    </cfRule>
  </conditionalFormatting>
  <conditionalFormatting sqref="D168">
    <cfRule type="expression" priority="130" dxfId="206">
      <formula>(C168="LIGHT SELECTION")</formula>
    </cfRule>
  </conditionalFormatting>
  <conditionalFormatting sqref="D169:D171">
    <cfRule type="expression" priority="13" dxfId="206">
      <formula>($C169="SELECT WORKS")</formula>
    </cfRule>
  </conditionalFormatting>
  <conditionalFormatting sqref="D172">
    <cfRule type="expression" priority="129" dxfId="206">
      <formula>$C172="SELECT CLADDING"</formula>
    </cfRule>
  </conditionalFormatting>
  <conditionalFormatting sqref="D175:D176">
    <cfRule type="expression" priority="114" dxfId="358">
      <formula>($D$14="CANOPY TYPE")</formula>
    </cfRule>
  </conditionalFormatting>
  <conditionalFormatting sqref="D177">
    <cfRule type="expression" priority="157" dxfId="474">
      <formula>ISNUMBER(SEARCH("UV",D167))</formula>
    </cfRule>
  </conditionalFormatting>
  <conditionalFormatting sqref="D178">
    <cfRule type="expression" priority="137" dxfId="358">
      <formula>($D$14="CANOPY TYPE")</formula>
    </cfRule>
  </conditionalFormatting>
  <conditionalFormatting sqref="D179">
    <cfRule type="expression" priority="140" dxfId="472">
      <formula>(ISNUMBER(SEARCH("CMW",D167)))=TRUE</formula>
    </cfRule>
  </conditionalFormatting>
  <conditionalFormatting sqref="E12">
    <cfRule type="cellIs" priority="684" operator="greaterThan" dxfId="204">
      <formula>2000</formula>
    </cfRule>
    <cfRule type="expression" priority="683" dxfId="387">
      <formula>ISNUMBER(SEARCH("I-MUAP",$D$14))</formula>
    </cfRule>
    <cfRule type="expression" priority="682" dxfId="386">
      <formula>AND((ISNUMBER(SEARCH("I-MUAP",$D$14))),E12&lt;2500)</formula>
    </cfRule>
  </conditionalFormatting>
  <conditionalFormatting sqref="E15">
    <cfRule type="expression" priority="423" dxfId="315">
      <formula>(C15="LIGHT SELECTION")</formula>
    </cfRule>
  </conditionalFormatting>
  <conditionalFormatting sqref="E16:E18">
    <cfRule type="expression" priority="113" dxfId="381">
      <formula>$C16="SELECT WORKS"</formula>
    </cfRule>
  </conditionalFormatting>
  <conditionalFormatting sqref="E22:E23">
    <cfRule type="expression" priority="665" dxfId="384">
      <formula>D22="WW PODS"</formula>
    </cfRule>
    <cfRule type="expression" priority="666" dxfId="383">
      <formula>D22="FILTER TYPE"</formula>
    </cfRule>
    <cfRule type="expression" priority="667" dxfId="382">
      <formula>D22="KSA"</formula>
    </cfRule>
    <cfRule type="expression" priority="687" dxfId="381">
      <formula>(D14="CANOPY TYPE")</formula>
    </cfRule>
  </conditionalFormatting>
  <conditionalFormatting sqref="E24">
    <cfRule type="containsText" priority="674" operator="containsText" dxfId="380" text="LONG ">
      <formula>NOT(ISERROR(SEARCH("LONG ",E24)))</formula>
    </cfRule>
  </conditionalFormatting>
  <conditionalFormatting sqref="E29">
    <cfRule type="expression" priority="604" dxfId="386">
      <formula>AND((ISNUMBER(SEARCH("I-MUAP",$D$14))),E29&lt;2500)</formula>
    </cfRule>
    <cfRule type="expression" priority="605" dxfId="387">
      <formula>ISNUMBER(SEARCH("I-MUAP",$D$14))</formula>
    </cfRule>
    <cfRule type="cellIs" priority="606" operator="greaterThan" dxfId="204">
      <formula>2000</formula>
    </cfRule>
  </conditionalFormatting>
  <conditionalFormatting sqref="E33:E34">
    <cfRule type="expression" priority="587" dxfId="381">
      <formula>$C33="SELECT WORKS"</formula>
    </cfRule>
  </conditionalFormatting>
  <conditionalFormatting sqref="E39:E40">
    <cfRule type="expression" priority="397" dxfId="382">
      <formula>D39="KSA"</formula>
    </cfRule>
    <cfRule type="expression" priority="398" dxfId="381">
      <formula>(D31="CANOPY TYPE")</formula>
    </cfRule>
    <cfRule type="expression" priority="396" dxfId="383">
      <formula>D39="FILTER TYPE"</formula>
    </cfRule>
    <cfRule type="expression" priority="395" dxfId="384">
      <formula>D39="WW PODS"</formula>
    </cfRule>
  </conditionalFormatting>
  <conditionalFormatting sqref="E41">
    <cfRule type="containsText" priority="597" operator="containsText" dxfId="380" text="LONG ">
      <formula>NOT(ISERROR(SEARCH("LONG ",E41)))</formula>
    </cfRule>
  </conditionalFormatting>
  <conditionalFormatting sqref="E46">
    <cfRule type="cellIs" priority="574" operator="greaterThan" dxfId="204">
      <formula>2000</formula>
    </cfRule>
    <cfRule type="expression" priority="573" dxfId="387">
      <formula>ISNUMBER(SEARCH("I-MUAP",$D$14))</formula>
    </cfRule>
    <cfRule type="expression" priority="572" dxfId="386">
      <formula>AND((ISNUMBER(SEARCH("I-MUAP",$D$14))),E46&lt;2500)</formula>
    </cfRule>
  </conditionalFormatting>
  <conditionalFormatting sqref="E49">
    <cfRule type="expression" priority="437" dxfId="315">
      <formula>(C49="LIGHT SELECTION")</formula>
    </cfRule>
  </conditionalFormatting>
  <conditionalFormatting sqref="E50:E52">
    <cfRule type="expression" priority="110" dxfId="381">
      <formula>$C50="SELECT WORKS"</formula>
    </cfRule>
  </conditionalFormatting>
  <conditionalFormatting sqref="E56:E57">
    <cfRule type="expression" priority="369" dxfId="384">
      <formula>D56="WW PODS"</formula>
    </cfRule>
    <cfRule type="expression" priority="370" dxfId="383">
      <formula>D56="FILTER TYPE"</formula>
    </cfRule>
    <cfRule type="expression" priority="372" dxfId="381">
      <formula>(D48="CANOPY TYPE")</formula>
    </cfRule>
    <cfRule type="expression" priority="371" dxfId="382">
      <formula>D56="KSA"</formula>
    </cfRule>
  </conditionalFormatting>
  <conditionalFormatting sqref="E58">
    <cfRule type="containsText" priority="565" operator="containsText" dxfId="380" text="LONG ">
      <formula>NOT(ISERROR(SEARCH("LONG ",E58)))</formula>
    </cfRule>
  </conditionalFormatting>
  <conditionalFormatting sqref="E63">
    <cfRule type="cellIs" priority="547" operator="greaterThan" dxfId="204">
      <formula>2000</formula>
    </cfRule>
    <cfRule type="expression" priority="546" dxfId="387">
      <formula>ISNUMBER(SEARCH("I-MUAP",$D$14))</formula>
    </cfRule>
    <cfRule type="expression" priority="545" dxfId="386">
      <formula>AND((ISNUMBER(SEARCH("I-MUAP",$D$14))),E63&lt;2500)</formula>
    </cfRule>
  </conditionalFormatting>
  <conditionalFormatting sqref="E67:E69">
    <cfRule type="expression" priority="96" dxfId="381">
      <formula>$C67="SELECT WORKS"</formula>
    </cfRule>
  </conditionalFormatting>
  <conditionalFormatting sqref="E73:E74">
    <cfRule type="expression" priority="354" dxfId="384">
      <formula>D73="WW PODS"</formula>
    </cfRule>
    <cfRule type="expression" priority="356" dxfId="382">
      <formula>D73="KSA"</formula>
    </cfRule>
    <cfRule type="expression" priority="357" dxfId="381">
      <formula>(D65="CANOPY TYPE")</formula>
    </cfRule>
    <cfRule type="expression" priority="355" dxfId="383">
      <formula>D73="FILTER TYPE"</formula>
    </cfRule>
  </conditionalFormatting>
  <conditionalFormatting sqref="E75">
    <cfRule type="containsText" priority="538" operator="containsText" dxfId="380" text="LONG ">
      <formula>NOT(ISERROR(SEARCH("LONG ",E75)))</formula>
    </cfRule>
  </conditionalFormatting>
  <conditionalFormatting sqref="E80">
    <cfRule type="cellIs" priority="519" operator="greaterThan" dxfId="204">
      <formula>2000</formula>
    </cfRule>
    <cfRule type="expression" priority="517" dxfId="386">
      <formula>AND((ISNUMBER(SEARCH("I-MUAP",$D$14))),E80&lt;2500)</formula>
    </cfRule>
    <cfRule type="expression" priority="518" dxfId="387">
      <formula>ISNUMBER(SEARCH("I-MUAP",$D$14))</formula>
    </cfRule>
  </conditionalFormatting>
  <conditionalFormatting sqref="E84:E86">
    <cfRule type="expression" priority="82" dxfId="381">
      <formula>$C84="SELECT WORKS"</formula>
    </cfRule>
  </conditionalFormatting>
  <conditionalFormatting sqref="E90:E91">
    <cfRule type="expression" priority="342" dxfId="381">
      <formula>(D82="CANOPY TYPE")</formula>
    </cfRule>
    <cfRule type="expression" priority="339" dxfId="384">
      <formula>D90="WW PODS"</formula>
    </cfRule>
    <cfRule type="expression" priority="340" dxfId="383">
      <formula>D90="FILTER TYPE"</formula>
    </cfRule>
    <cfRule type="expression" priority="341" dxfId="382">
      <formula>D90="KSA"</formula>
    </cfRule>
  </conditionalFormatting>
  <conditionalFormatting sqref="E92">
    <cfRule type="containsText" priority="510" operator="containsText" dxfId="380" text="LONG ">
      <formula>NOT(ISERROR(SEARCH("LONG ",E92)))</formula>
    </cfRule>
  </conditionalFormatting>
  <conditionalFormatting sqref="E97">
    <cfRule type="expression" priority="489" dxfId="387">
      <formula>ISNUMBER(SEARCH("I-MUAP",$D$14))</formula>
    </cfRule>
    <cfRule type="cellIs" priority="490" operator="greaterThan" dxfId="204">
      <formula>2000</formula>
    </cfRule>
    <cfRule type="expression" priority="488" dxfId="386">
      <formula>AND((ISNUMBER(SEARCH("I-MUAP",$D$14))),E97&lt;2500)</formula>
    </cfRule>
  </conditionalFormatting>
  <conditionalFormatting sqref="E101:E103">
    <cfRule type="expression" priority="68" dxfId="381">
      <formula>$C101="SELECT WORKS"</formula>
    </cfRule>
  </conditionalFormatting>
  <conditionalFormatting sqref="E107:E108">
    <cfRule type="expression" priority="324" dxfId="384">
      <formula>D107="WW PODS"</formula>
    </cfRule>
    <cfRule type="expression" priority="325" dxfId="383">
      <formula>D107="FILTER TYPE"</formula>
    </cfRule>
    <cfRule type="expression" priority="326" dxfId="382">
      <formula>D107="KSA"</formula>
    </cfRule>
    <cfRule type="expression" priority="327" dxfId="381">
      <formula>(D99="CANOPY TYPE")</formula>
    </cfRule>
  </conditionalFormatting>
  <conditionalFormatting sqref="E109">
    <cfRule type="containsText" priority="481" operator="containsText" dxfId="380" text="LONG ">
      <formula>NOT(ISERROR(SEARCH("LONG ",E109)))</formula>
    </cfRule>
  </conditionalFormatting>
  <conditionalFormatting sqref="E114">
    <cfRule type="cellIs" priority="313" operator="greaterThan" dxfId="204">
      <formula>2000</formula>
    </cfRule>
    <cfRule type="expression" priority="312" dxfId="387">
      <formula>ISNUMBER(SEARCH("I-MUAP",$D$14))</formula>
    </cfRule>
    <cfRule type="expression" priority="311" dxfId="386">
      <formula>AND((ISNUMBER(SEARCH("I-MUAP",$D$14))),E114&lt;2500)</formula>
    </cfRule>
  </conditionalFormatting>
  <conditionalFormatting sqref="E118:E120">
    <cfRule type="expression" priority="54" dxfId="381">
      <formula>$C118="SELECT WORKS"</formula>
    </cfRule>
  </conditionalFormatting>
  <conditionalFormatting sqref="E124:E125">
    <cfRule type="expression" priority="273" dxfId="384">
      <formula>D124="WW PODS"</formula>
    </cfRule>
    <cfRule type="expression" priority="276" dxfId="381">
      <formula>(D116="CANOPY TYPE")</formula>
    </cfRule>
    <cfRule type="expression" priority="275" dxfId="382">
      <formula>D124="KSA"</formula>
    </cfRule>
    <cfRule type="expression" priority="274" dxfId="383">
      <formula>D124="FILTER TYPE"</formula>
    </cfRule>
  </conditionalFormatting>
  <conditionalFormatting sqref="E126">
    <cfRule type="containsText" priority="304" operator="containsText" dxfId="380" text="LONG ">
      <formula>NOT(ISERROR(SEARCH("LONG ",E126)))</formula>
    </cfRule>
  </conditionalFormatting>
  <conditionalFormatting sqref="E131">
    <cfRule type="expression" priority="257" dxfId="387">
      <formula>ISNUMBER(SEARCH("I-MUAP",$D$14))</formula>
    </cfRule>
    <cfRule type="cellIs" priority="258" operator="greaterThan" dxfId="204">
      <formula>2000</formula>
    </cfRule>
    <cfRule type="expression" priority="256" dxfId="386">
      <formula>AND((ISNUMBER(SEARCH("I-MUAP",$D$14))),E131&lt;2500)</formula>
    </cfRule>
  </conditionalFormatting>
  <conditionalFormatting sqref="E135:E137">
    <cfRule type="expression" priority="40" dxfId="381">
      <formula>$C135="SELECT WORKS"</formula>
    </cfRule>
  </conditionalFormatting>
  <conditionalFormatting sqref="E141:E142">
    <cfRule type="expression" priority="221" dxfId="381">
      <formula>(D133="CANOPY TYPE")</formula>
    </cfRule>
    <cfRule type="expression" priority="220" dxfId="382">
      <formula>D141="KSA"</formula>
    </cfRule>
    <cfRule type="expression" priority="218" dxfId="384">
      <formula>D141="WW PODS"</formula>
    </cfRule>
    <cfRule type="expression" priority="219" dxfId="383">
      <formula>D141="FILTER TYPE"</formula>
    </cfRule>
  </conditionalFormatting>
  <conditionalFormatting sqref="E143">
    <cfRule type="containsText" priority="249" operator="containsText" dxfId="380" text="LONG ">
      <formula>NOT(ISERROR(SEARCH("LONG ",E143)))</formula>
    </cfRule>
  </conditionalFormatting>
  <conditionalFormatting sqref="E148">
    <cfRule type="cellIs" priority="207" operator="greaterThan" dxfId="204">
      <formula>2000</formula>
    </cfRule>
    <cfRule type="expression" priority="206" dxfId="387">
      <formula>ISNUMBER(SEARCH("I-MUAP",$D$14))</formula>
    </cfRule>
    <cfRule type="expression" priority="205" dxfId="386">
      <formula>AND((ISNUMBER(SEARCH("I-MUAP",$D$14))),E148&lt;2500)</formula>
    </cfRule>
  </conditionalFormatting>
  <conditionalFormatting sqref="E152:E154">
    <cfRule type="expression" priority="26" dxfId="381">
      <formula>$C152="SELECT WORKS"</formula>
    </cfRule>
  </conditionalFormatting>
  <conditionalFormatting sqref="E158:E159">
    <cfRule type="expression" priority="169" dxfId="382">
      <formula>D158="KSA"</formula>
    </cfRule>
    <cfRule type="expression" priority="167" dxfId="384">
      <formula>D158="WW PODS"</formula>
    </cfRule>
    <cfRule type="expression" priority="168" dxfId="383">
      <formula>D158="FILTER TYPE"</formula>
    </cfRule>
    <cfRule type="expression" priority="170" dxfId="381">
      <formula>(D150="CANOPY TYPE")</formula>
    </cfRule>
  </conditionalFormatting>
  <conditionalFormatting sqref="E160">
    <cfRule type="containsText" priority="198" operator="containsText" dxfId="380" text="LONG ">
      <formula>NOT(ISERROR(SEARCH("LONG ",E160)))</formula>
    </cfRule>
  </conditionalFormatting>
  <conditionalFormatting sqref="E165">
    <cfRule type="cellIs" priority="156" operator="greaterThan" dxfId="204">
      <formula>2000</formula>
    </cfRule>
    <cfRule type="expression" priority="155" dxfId="387">
      <formula>ISNUMBER(SEARCH("I-MUAP",$D$14))</formula>
    </cfRule>
    <cfRule type="expression" priority="154" dxfId="386">
      <formula>AND((ISNUMBER(SEARCH("I-MUAP",$D$14))),E165&lt;2500)</formula>
    </cfRule>
  </conditionalFormatting>
  <conditionalFormatting sqref="E169:E171">
    <cfRule type="expression" priority="12" dxfId="381">
      <formula>$C169="SELECT WORKS"</formula>
    </cfRule>
  </conditionalFormatting>
  <conditionalFormatting sqref="E175:E176">
    <cfRule type="expression" priority="116" dxfId="384">
      <formula>D175="WW PODS"</formula>
    </cfRule>
    <cfRule type="expression" priority="117" dxfId="383">
      <formula>D175="FILTER TYPE"</formula>
    </cfRule>
    <cfRule type="expression" priority="118" dxfId="382">
      <formula>D175="KSA"</formula>
    </cfRule>
    <cfRule type="expression" priority="119" dxfId="381">
      <formula>(D167="CANOPY TYPE")</formula>
    </cfRule>
  </conditionalFormatting>
  <conditionalFormatting sqref="E177">
    <cfRule type="containsText" priority="147" operator="containsText" dxfId="380" text="LONG ">
      <formula>NOT(ISERROR(SEARCH("LONG ",E177)))</formula>
    </cfRule>
  </conditionalFormatting>
  <conditionalFormatting sqref="E12:F12">
    <cfRule type="cellIs" priority="678" operator="lessThan" dxfId="204">
      <formula>1000</formula>
    </cfRule>
  </conditionalFormatting>
  <conditionalFormatting sqref="E14:F14">
    <cfRule type="cellIs" priority="675" operator="lessThan" dxfId="164">
      <formula>1000</formula>
    </cfRule>
  </conditionalFormatting>
  <conditionalFormatting sqref="E25:F27">
    <cfRule type="expression" priority="614" dxfId="358">
      <formula>($D$14="CANOPY TYPE")</formula>
    </cfRule>
  </conditionalFormatting>
  <conditionalFormatting sqref="E29:F29">
    <cfRule type="cellIs" priority="601" operator="lessThan" dxfId="204">
      <formula>1000</formula>
    </cfRule>
  </conditionalFormatting>
  <conditionalFormatting sqref="E31:F31">
    <cfRule type="cellIs" priority="598" operator="lessThan" dxfId="164">
      <formula>1000</formula>
    </cfRule>
  </conditionalFormatting>
  <conditionalFormatting sqref="E32:F32">
    <cfRule type="expression" priority="461" dxfId="315">
      <formula>(C32="LIGHT SELECTION")</formula>
    </cfRule>
  </conditionalFormatting>
  <conditionalFormatting sqref="E42:F44">
    <cfRule type="expression" priority="582" dxfId="358">
      <formula>($D$14="CANOPY TYPE")</formula>
    </cfRule>
  </conditionalFormatting>
  <conditionalFormatting sqref="E46:F46">
    <cfRule type="cellIs" priority="569" operator="lessThan" dxfId="204">
      <formula>1000</formula>
    </cfRule>
  </conditionalFormatting>
  <conditionalFormatting sqref="E48:F48">
    <cfRule type="cellIs" priority="566" operator="lessThan" dxfId="164">
      <formula>1000</formula>
    </cfRule>
  </conditionalFormatting>
  <conditionalFormatting sqref="E59:F61">
    <cfRule type="expression" priority="555" dxfId="358">
      <formula>($D$14="CANOPY TYPE")</formula>
    </cfRule>
  </conditionalFormatting>
  <conditionalFormatting sqref="E63:F63">
    <cfRule type="cellIs" priority="542" operator="lessThan" dxfId="204">
      <formula>1000</formula>
    </cfRule>
  </conditionalFormatting>
  <conditionalFormatting sqref="E65:F65">
    <cfRule type="cellIs" priority="539" operator="lessThan" dxfId="164">
      <formula>1000</formula>
    </cfRule>
  </conditionalFormatting>
  <conditionalFormatting sqref="E66:F66">
    <cfRule type="expression" priority="454" dxfId="315">
      <formula>(C66="LIGHT SELECTION")</formula>
    </cfRule>
  </conditionalFormatting>
  <conditionalFormatting sqref="E76:F78">
    <cfRule type="expression" priority="527" dxfId="358">
      <formula>($D$14="CANOPY TYPE")</formula>
    </cfRule>
  </conditionalFormatting>
  <conditionalFormatting sqref="E80:F80">
    <cfRule type="cellIs" priority="514" operator="lessThan" dxfId="204">
      <formula>1000</formula>
    </cfRule>
  </conditionalFormatting>
  <conditionalFormatting sqref="E82:F82">
    <cfRule type="cellIs" priority="511" operator="lessThan" dxfId="164">
      <formula>1000</formula>
    </cfRule>
  </conditionalFormatting>
  <conditionalFormatting sqref="E83:F83">
    <cfRule type="expression" priority="450" dxfId="315">
      <formula>(C83="LIGHT SELECTION")</formula>
    </cfRule>
  </conditionalFormatting>
  <conditionalFormatting sqref="E93:F95">
    <cfRule type="expression" priority="498" dxfId="358">
      <formula>($D$14="CANOPY TYPE")</formula>
    </cfRule>
  </conditionalFormatting>
  <conditionalFormatting sqref="E97:F97">
    <cfRule type="cellIs" priority="485" operator="lessThan" dxfId="204">
      <formula>1000</formula>
    </cfRule>
  </conditionalFormatting>
  <conditionalFormatting sqref="E99:F99">
    <cfRule type="cellIs" priority="482" operator="lessThan" dxfId="164">
      <formula>1000</formula>
    </cfRule>
  </conditionalFormatting>
  <conditionalFormatting sqref="E100:F100">
    <cfRule type="expression" priority="446" dxfId="315">
      <formula>(C100="LIGHT SELECTION")</formula>
    </cfRule>
  </conditionalFormatting>
  <conditionalFormatting sqref="E110:F112 E127:F129 E144:F146 E161:F163 E178:F180">
    <cfRule type="expression" priority="470" dxfId="358">
      <formula>($D$14="CANOPY TYPE")</formula>
    </cfRule>
  </conditionalFormatting>
  <conditionalFormatting sqref="E114:F114">
    <cfRule type="cellIs" priority="308" operator="lessThan" dxfId="204">
      <formula>1000</formula>
    </cfRule>
  </conditionalFormatting>
  <conditionalFormatting sqref="E116:F116">
    <cfRule type="cellIs" priority="305" operator="lessThan" dxfId="164">
      <formula>1000</formula>
    </cfRule>
  </conditionalFormatting>
  <conditionalFormatting sqref="E117:F117">
    <cfRule type="expression" priority="291" dxfId="315">
      <formula>(C117="LIGHT SELECTION")</formula>
    </cfRule>
  </conditionalFormatting>
  <conditionalFormatting sqref="E131:F131">
    <cfRule type="cellIs" priority="253" operator="lessThan" dxfId="204">
      <formula>1000</formula>
    </cfRule>
  </conditionalFormatting>
  <conditionalFormatting sqref="E133:F133">
    <cfRule type="cellIs" priority="250" operator="lessThan" dxfId="164">
      <formula>1000</formula>
    </cfRule>
  </conditionalFormatting>
  <conditionalFormatting sqref="E134:F134">
    <cfRule type="expression" priority="236" dxfId="315">
      <formula>(C134="LIGHT SELECTION")</formula>
    </cfRule>
  </conditionalFormatting>
  <conditionalFormatting sqref="E148:F148">
    <cfRule type="cellIs" priority="202" operator="lessThan" dxfId="204">
      <formula>1000</formula>
    </cfRule>
  </conditionalFormatting>
  <conditionalFormatting sqref="E150:F150">
    <cfRule type="cellIs" priority="199" operator="lessThan" dxfId="164">
      <formula>1000</formula>
    </cfRule>
  </conditionalFormatting>
  <conditionalFormatting sqref="E151:F151">
    <cfRule type="expression" priority="185" dxfId="315">
      <formula>(C151="LIGHT SELECTION")</formula>
    </cfRule>
  </conditionalFormatting>
  <conditionalFormatting sqref="E165:F165">
    <cfRule type="cellIs" priority="151" operator="lessThan" dxfId="204">
      <formula>1000</formula>
    </cfRule>
  </conditionalFormatting>
  <conditionalFormatting sqref="E167:F167">
    <cfRule type="cellIs" priority="148" operator="lessThan" dxfId="164">
      <formula>1000</formula>
    </cfRule>
  </conditionalFormatting>
  <conditionalFormatting sqref="E168:F168">
    <cfRule type="expression" priority="134" dxfId="315">
      <formula>(C168="LIGHT SELECTION")</formula>
    </cfRule>
  </conditionalFormatting>
  <conditionalFormatting sqref="F12">
    <cfRule type="cellIs" priority="679" operator="greaterThan" dxfId="204">
      <formula>3001</formula>
    </cfRule>
  </conditionalFormatting>
  <conditionalFormatting sqref="F15">
    <cfRule type="expression" priority="668" dxfId="215">
      <formula>(C15="LIGHT SELECTION")</formula>
    </cfRule>
    <cfRule type="expression" priority="670" dxfId="216">
      <formula>(C15="FLO")</formula>
    </cfRule>
    <cfRule type="expression" priority="463" dxfId="214">
      <formula>(C15="LED STRIP")</formula>
    </cfRule>
    <cfRule type="expression" priority="701" dxfId="315">
      <formula>(D49="LIGHT SELECTION")</formula>
    </cfRule>
  </conditionalFormatting>
  <conditionalFormatting sqref="F22:F23">
    <cfRule type="expression" priority="700" dxfId="205">
      <formula>D22="KSA"</formula>
    </cfRule>
    <cfRule type="expression" priority="692" dxfId="206">
      <formula>D22="NF"</formula>
    </cfRule>
    <cfRule type="expression" priority="693" dxfId="208">
      <formula>D22="WW PODS"</formula>
    </cfRule>
    <cfRule type="expression" priority="694" dxfId="206">
      <formula>D22="GRILLE"</formula>
    </cfRule>
    <cfRule type="expression" priority="695" dxfId="206">
      <formula>D22="CENTREX"</formula>
    </cfRule>
    <cfRule type="expression" priority="696" dxfId="206" stopIfTrue="1">
      <formula>D14="canopy type"</formula>
    </cfRule>
    <cfRule type="expression" priority="697" dxfId="207">
      <formula>(((I14*3600)/(C22*I11))^2+20)&gt;300</formula>
    </cfRule>
    <cfRule type="expression" priority="698" dxfId="205" stopIfTrue="1">
      <formula>(ISNUMBER(SEARCH("UV",D14)))</formula>
    </cfRule>
    <cfRule type="expression" priority="699" dxfId="207">
      <formula>(((I14*3600)/(C22*I11))^2+20)&gt;180</formula>
    </cfRule>
  </conditionalFormatting>
  <conditionalFormatting sqref="F24">
    <cfRule type="cellIs" priority="673" operator="lessThan" dxfId="204">
      <formula>2100</formula>
    </cfRule>
  </conditionalFormatting>
  <conditionalFormatting sqref="F29">
    <cfRule type="cellIs" priority="602" operator="greaterThan" dxfId="204">
      <formula>3001</formula>
    </cfRule>
  </conditionalFormatting>
  <conditionalFormatting sqref="F32">
    <cfRule type="expression" priority="462" dxfId="216">
      <formula>(C32="FLO")</formula>
    </cfRule>
    <cfRule type="expression" priority="460" dxfId="215">
      <formula>(C32="LIGHT SELECTION")</formula>
    </cfRule>
    <cfRule type="expression" priority="459" dxfId="214">
      <formula>(C32="LED STRIP")</formula>
    </cfRule>
  </conditionalFormatting>
  <conditionalFormatting sqref="F39:F40">
    <cfRule type="expression" priority="406" dxfId="207">
      <formula>(((I31*3600)/(C39*I28))^2+20)&gt;180</formula>
    </cfRule>
    <cfRule type="expression" priority="407" dxfId="205">
      <formula>D39="KSA"</formula>
    </cfRule>
    <cfRule type="expression" priority="399" dxfId="206">
      <formula>D39="NF"</formula>
    </cfRule>
    <cfRule type="expression" priority="400" dxfId="208">
      <formula>D39="WW PODS"</formula>
    </cfRule>
    <cfRule type="expression" priority="401" dxfId="206">
      <formula>D39="GRILLE"</formula>
    </cfRule>
    <cfRule type="expression" priority="402" dxfId="206">
      <formula>D39="CENTREX"</formula>
    </cfRule>
    <cfRule type="expression" priority="403" dxfId="206" stopIfTrue="1">
      <formula>D31="canopy type"</formula>
    </cfRule>
    <cfRule type="expression" priority="404" dxfId="207">
      <formula>(((I31*3600)/(C39*I28))^2+20)&gt;300</formula>
    </cfRule>
    <cfRule type="expression" priority="405" dxfId="205" stopIfTrue="1">
      <formula>(ISNUMBER(SEARCH("UV",D31)))</formula>
    </cfRule>
  </conditionalFormatting>
  <conditionalFormatting sqref="F41">
    <cfRule type="cellIs" priority="596" operator="lessThan" dxfId="204">
      <formula>2100</formula>
    </cfRule>
  </conditionalFormatting>
  <conditionalFormatting sqref="F46">
    <cfRule type="cellIs" priority="570" operator="greaterThan" dxfId="204">
      <formula>3001</formula>
    </cfRule>
  </conditionalFormatting>
  <conditionalFormatting sqref="F49">
    <cfRule type="expression" priority="702" dxfId="315">
      <formula>(#REF!="LIGHT SELECTION")</formula>
    </cfRule>
    <cfRule type="expression" priority="458" dxfId="216">
      <formula>(C49="FLO")</formula>
    </cfRule>
    <cfRule type="expression" priority="457" dxfId="215">
      <formula>(C49="LIGHT SELECTION")</formula>
    </cfRule>
    <cfRule type="expression" priority="456" dxfId="214">
      <formula>(C49="LED STRIP")</formula>
    </cfRule>
  </conditionalFormatting>
  <conditionalFormatting sqref="F56:F57">
    <cfRule type="expression" priority="379" dxfId="205" stopIfTrue="1">
      <formula>(ISNUMBER(SEARCH("UV",D48)))</formula>
    </cfRule>
    <cfRule type="expression" priority="380" dxfId="207">
      <formula>(((I48*3600)/(C56*I45))^2+20)&gt;180</formula>
    </cfRule>
    <cfRule type="expression" priority="378" dxfId="207">
      <formula>(((I48*3600)/(C56*I45))^2+20)&gt;300</formula>
    </cfRule>
    <cfRule type="expression" priority="377" dxfId="206" stopIfTrue="1">
      <formula>D48="canopy type"</formula>
    </cfRule>
    <cfRule type="expression" priority="376" dxfId="206">
      <formula>D56="CENTREX"</formula>
    </cfRule>
    <cfRule type="expression" priority="375" dxfId="206">
      <formula>D56="GRILLE"</formula>
    </cfRule>
    <cfRule type="expression" priority="374" dxfId="208">
      <formula>D56="WW PODS"</formula>
    </cfRule>
    <cfRule type="expression" priority="373" dxfId="206">
      <formula>D56="NF"</formula>
    </cfRule>
    <cfRule type="expression" priority="381" dxfId="205">
      <formula>D56="KSA"</formula>
    </cfRule>
  </conditionalFormatting>
  <conditionalFormatting sqref="F58">
    <cfRule type="cellIs" priority="564" operator="lessThan" dxfId="204">
      <formula>2100</formula>
    </cfRule>
  </conditionalFormatting>
  <conditionalFormatting sqref="F63">
    <cfRule type="cellIs" priority="543" operator="greaterThan" dxfId="204">
      <formula>3001</formula>
    </cfRule>
  </conditionalFormatting>
  <conditionalFormatting sqref="F66">
    <cfRule type="expression" priority="452" dxfId="214">
      <formula>(C66="LED STRIP")</formula>
    </cfRule>
    <cfRule type="expression" priority="453" dxfId="215">
      <formula>(C66="LIGHT SELECTION")</formula>
    </cfRule>
    <cfRule type="expression" priority="455" dxfId="216">
      <formula>(C66="FLO")</formula>
    </cfRule>
  </conditionalFormatting>
  <conditionalFormatting sqref="F73:F74">
    <cfRule type="expression" priority="358" dxfId="206">
      <formula>D73="NF"</formula>
    </cfRule>
    <cfRule type="expression" priority="359" dxfId="208">
      <formula>D73="WW PODS"</formula>
    </cfRule>
    <cfRule type="expression" priority="360" dxfId="206">
      <formula>D73="GRILLE"</formula>
    </cfRule>
    <cfRule type="expression" priority="361" dxfId="206">
      <formula>D73="CENTREX"</formula>
    </cfRule>
    <cfRule type="expression" priority="362" dxfId="206" stopIfTrue="1">
      <formula>D65="canopy type"</formula>
    </cfRule>
    <cfRule type="expression" priority="363" dxfId="207">
      <formula>(((I65*3600)/(C73*I62))^2+20)&gt;300</formula>
    </cfRule>
    <cfRule type="expression" priority="364" dxfId="205" stopIfTrue="1">
      <formula>(ISNUMBER(SEARCH("UV",D65)))</formula>
    </cfRule>
    <cfRule type="expression" priority="365" dxfId="207">
      <formula>(((I65*3600)/(C73*I62))^2+20)&gt;180</formula>
    </cfRule>
    <cfRule type="expression" priority="366" dxfId="205">
      <formula>D73="KSA"</formula>
    </cfRule>
  </conditionalFormatting>
  <conditionalFormatting sqref="F75">
    <cfRule type="cellIs" priority="537" operator="lessThan" dxfId="204">
      <formula>2100</formula>
    </cfRule>
  </conditionalFormatting>
  <conditionalFormatting sqref="F80">
    <cfRule type="cellIs" priority="515" operator="greaterThan" dxfId="204">
      <formula>3001</formula>
    </cfRule>
  </conditionalFormatting>
  <conditionalFormatting sqref="F83">
    <cfRule type="expression" priority="448" dxfId="214">
      <formula>(C83="LED STRIP")</formula>
    </cfRule>
    <cfRule type="expression" priority="451" dxfId="216">
      <formula>(C83="FLO")</formula>
    </cfRule>
    <cfRule type="expression" priority="449" dxfId="215">
      <formula>(C83="LIGHT SELECTION")</formula>
    </cfRule>
  </conditionalFormatting>
  <conditionalFormatting sqref="F90:F91">
    <cfRule type="expression" priority="343" dxfId="206">
      <formula>D90="NF"</formula>
    </cfRule>
    <cfRule type="expression" priority="344" dxfId="208">
      <formula>D90="WW PODS"</formula>
    </cfRule>
    <cfRule type="expression" priority="345" dxfId="206">
      <formula>D90="GRILLE"</formula>
    </cfRule>
    <cfRule type="expression" priority="346" dxfId="206">
      <formula>D90="CENTREX"</formula>
    </cfRule>
    <cfRule type="expression" priority="347" dxfId="206" stopIfTrue="1">
      <formula>D82="canopy type"</formula>
    </cfRule>
    <cfRule type="expression" priority="348" dxfId="207">
      <formula>(((I82*3600)/(C90*I79))^2+20)&gt;300</formula>
    </cfRule>
    <cfRule type="expression" priority="349" dxfId="205" stopIfTrue="1">
      <formula>(ISNUMBER(SEARCH("UV",D82)))</formula>
    </cfRule>
    <cfRule type="expression" priority="351" dxfId="205">
      <formula>D90="KSA"</formula>
    </cfRule>
    <cfRule type="expression" priority="350" dxfId="207">
      <formula>(((I82*3600)/(C90*I79))^2+20)&gt;180</formula>
    </cfRule>
  </conditionalFormatting>
  <conditionalFormatting sqref="F92">
    <cfRule type="cellIs" priority="509" operator="lessThan" dxfId="204">
      <formula>2100</formula>
    </cfRule>
  </conditionalFormatting>
  <conditionalFormatting sqref="F97">
    <cfRule type="cellIs" priority="486" operator="greaterThan" dxfId="204">
      <formula>3001</formula>
    </cfRule>
  </conditionalFormatting>
  <conditionalFormatting sqref="F100">
    <cfRule type="expression" priority="447" dxfId="216">
      <formula>(C100="FLO")</formula>
    </cfRule>
    <cfRule type="expression" priority="444" dxfId="214">
      <formula>(C100="LED STRIP")</formula>
    </cfRule>
    <cfRule type="expression" priority="445" dxfId="215">
      <formula>(C100="LIGHT SELECTION")</formula>
    </cfRule>
  </conditionalFormatting>
  <conditionalFormatting sqref="F107:F108">
    <cfRule type="expression" priority="329" dxfId="208">
      <formula>D107="WW PODS"</formula>
    </cfRule>
    <cfRule type="expression" priority="330" dxfId="206">
      <formula>D107="GRILLE"</formula>
    </cfRule>
    <cfRule type="expression" priority="334" dxfId="205" stopIfTrue="1">
      <formula>(ISNUMBER(SEARCH("UV",D99)))</formula>
    </cfRule>
    <cfRule type="expression" priority="333" dxfId="207">
      <formula>(((I99*3600)/(C107*I96))^2+20)&gt;300</formula>
    </cfRule>
    <cfRule type="expression" priority="335" dxfId="207">
      <formula>(((I99*3600)/(C107*I96))^2+20)&gt;180</formula>
    </cfRule>
    <cfRule type="expression" priority="332" dxfId="206" stopIfTrue="1">
      <formula>D99="canopy type"</formula>
    </cfRule>
    <cfRule type="expression" priority="331" dxfId="206">
      <formula>D107="CENTREX"</formula>
    </cfRule>
    <cfRule type="expression" priority="336" dxfId="205">
      <formula>D107="KSA"</formula>
    </cfRule>
    <cfRule type="expression" priority="328" dxfId="206">
      <formula>D107="NF"</formula>
    </cfRule>
  </conditionalFormatting>
  <conditionalFormatting sqref="F109">
    <cfRule type="cellIs" priority="480" operator="lessThan" dxfId="204">
      <formula>2100</formula>
    </cfRule>
  </conditionalFormatting>
  <conditionalFormatting sqref="F114">
    <cfRule type="cellIs" priority="309" operator="greaterThan" dxfId="204">
      <formula>3001</formula>
    </cfRule>
  </conditionalFormatting>
  <conditionalFormatting sqref="F117">
    <cfRule type="expression" priority="292" dxfId="216">
      <formula>(C117="FLO")</formula>
    </cfRule>
    <cfRule type="expression" priority="290" dxfId="215">
      <formula>(C117="LIGHT SELECTION")</formula>
    </cfRule>
    <cfRule type="expression" priority="289" dxfId="214">
      <formula>(C117="LED STRIP")</formula>
    </cfRule>
  </conditionalFormatting>
  <conditionalFormatting sqref="F124:F125">
    <cfRule type="expression" priority="279" dxfId="206">
      <formula>D124="GRILLE"</formula>
    </cfRule>
    <cfRule type="expression" priority="278" dxfId="208">
      <formula>D124="WW PODS"</formula>
    </cfRule>
    <cfRule type="expression" priority="277" dxfId="206">
      <formula>D124="NF"</formula>
    </cfRule>
    <cfRule type="expression" priority="281" dxfId="206" stopIfTrue="1">
      <formula>D116="canopy type"</formula>
    </cfRule>
    <cfRule type="expression" priority="282" dxfId="207">
      <formula>(((I116*3600)/(C124*I113))^2+20)&gt;300</formula>
    </cfRule>
    <cfRule type="expression" priority="283" dxfId="205" stopIfTrue="1">
      <formula>(ISNUMBER(SEARCH("UV",D116)))</formula>
    </cfRule>
    <cfRule type="expression" priority="284" dxfId="207">
      <formula>(((I116*3600)/(C124*I113))^2+20)&gt;180</formula>
    </cfRule>
    <cfRule type="expression" priority="285" dxfId="205">
      <formula>D124="KSA"</formula>
    </cfRule>
    <cfRule type="expression" priority="280" dxfId="206">
      <formula>D124="CENTREX"</formula>
    </cfRule>
  </conditionalFormatting>
  <conditionalFormatting sqref="F126">
    <cfRule type="cellIs" priority="303" operator="lessThan" dxfId="204">
      <formula>2100</formula>
    </cfRule>
  </conditionalFormatting>
  <conditionalFormatting sqref="F131">
    <cfRule type="cellIs" priority="254" operator="greaterThan" dxfId="204">
      <formula>3001</formula>
    </cfRule>
  </conditionalFormatting>
  <conditionalFormatting sqref="F134">
    <cfRule type="expression" priority="234" dxfId="214">
      <formula>(C134="LED STRIP")</formula>
    </cfRule>
    <cfRule type="expression" priority="237" dxfId="216">
      <formula>(C134="FLO")</formula>
    </cfRule>
    <cfRule type="expression" priority="235" dxfId="215">
      <formula>(C134="LIGHT SELECTION")</formula>
    </cfRule>
  </conditionalFormatting>
  <conditionalFormatting sqref="F141:F142">
    <cfRule type="expression" priority="223" dxfId="208">
      <formula>D141="WW PODS"</formula>
    </cfRule>
    <cfRule type="expression" priority="224" dxfId="206">
      <formula>D141="GRILLE"</formula>
    </cfRule>
    <cfRule type="expression" priority="225" dxfId="206">
      <formula>D141="CENTREX"</formula>
    </cfRule>
    <cfRule type="expression" priority="222" dxfId="206">
      <formula>D141="NF"</formula>
    </cfRule>
    <cfRule type="expression" priority="226" dxfId="206" stopIfTrue="1">
      <formula>D133="canopy type"</formula>
    </cfRule>
    <cfRule type="expression" priority="227" dxfId="207">
      <formula>(((I133*3600)/(C141*I130))^2+20)&gt;300</formula>
    </cfRule>
    <cfRule type="expression" priority="228" dxfId="205" stopIfTrue="1">
      <formula>(ISNUMBER(SEARCH("UV",D133)))</formula>
    </cfRule>
    <cfRule type="expression" priority="229" dxfId="207">
      <formula>(((I133*3600)/(C141*I130))^2+20)&gt;180</formula>
    </cfRule>
    <cfRule type="expression" priority="230" dxfId="205">
      <formula>D141="KSA"</formula>
    </cfRule>
  </conditionalFormatting>
  <conditionalFormatting sqref="F143">
    <cfRule type="cellIs" priority="248" operator="lessThan" dxfId="204">
      <formula>2100</formula>
    </cfRule>
  </conditionalFormatting>
  <conditionalFormatting sqref="F148">
    <cfRule type="cellIs" priority="203" operator="greaterThan" dxfId="204">
      <formula>3001</formula>
    </cfRule>
  </conditionalFormatting>
  <conditionalFormatting sqref="F151">
    <cfRule type="expression" priority="183" dxfId="214">
      <formula>(C151="LED STRIP")</formula>
    </cfRule>
    <cfRule type="expression" priority="184" dxfId="215">
      <formula>(C151="LIGHT SELECTION")</formula>
    </cfRule>
    <cfRule type="expression" priority="186" dxfId="216">
      <formula>(C151="FLO")</formula>
    </cfRule>
  </conditionalFormatting>
  <conditionalFormatting sqref="F158:F159">
    <cfRule type="expression" priority="178" dxfId="207">
      <formula>(((I150*3600)/(C158*I147))^2+20)&gt;180</formula>
    </cfRule>
    <cfRule type="expression" priority="171" dxfId="206">
      <formula>D158="NF"</formula>
    </cfRule>
    <cfRule type="expression" priority="172" dxfId="208">
      <formula>D158="WW PODS"</formula>
    </cfRule>
    <cfRule type="expression" priority="173" dxfId="206">
      <formula>D158="GRILLE"</formula>
    </cfRule>
    <cfRule type="expression" priority="174" dxfId="206">
      <formula>D158="CENTREX"</formula>
    </cfRule>
    <cfRule type="expression" priority="175" dxfId="206" stopIfTrue="1">
      <formula>D150="canopy type"</formula>
    </cfRule>
    <cfRule type="expression" priority="176" dxfId="207">
      <formula>(((I150*3600)/(C158*I147))^2+20)&gt;300</formula>
    </cfRule>
    <cfRule type="expression" priority="179" dxfId="205">
      <formula>D158="KSA"</formula>
    </cfRule>
    <cfRule type="expression" priority="177" dxfId="205" stopIfTrue="1">
      <formula>(ISNUMBER(SEARCH("UV",D150)))</formula>
    </cfRule>
  </conditionalFormatting>
  <conditionalFormatting sqref="F160">
    <cfRule type="cellIs" priority="197" operator="lessThan" dxfId="204">
      <formula>2100</formula>
    </cfRule>
  </conditionalFormatting>
  <conditionalFormatting sqref="F165">
    <cfRule type="cellIs" priority="152" operator="greaterThan" dxfId="204">
      <formula>3001</formula>
    </cfRule>
  </conditionalFormatting>
  <conditionalFormatting sqref="F168">
    <cfRule type="expression" priority="135" dxfId="216">
      <formula>(C168="FLO")</formula>
    </cfRule>
    <cfRule type="expression" priority="133" dxfId="215">
      <formula>(C168="LIGHT SELECTION")</formula>
    </cfRule>
    <cfRule type="expression" priority="132" dxfId="214">
      <formula>(C168="LED STRIP")</formula>
    </cfRule>
  </conditionalFormatting>
  <conditionalFormatting sqref="F175:F176">
    <cfRule type="expression" priority="126" dxfId="205" stopIfTrue="1">
      <formula>(ISNUMBER(SEARCH("UV",D167)))</formula>
    </cfRule>
    <cfRule type="expression" priority="125" dxfId="207">
      <formula>(((I167*3600)/(C175*I164))^2+20)&gt;300</formula>
    </cfRule>
    <cfRule type="expression" priority="124" dxfId="206" stopIfTrue="1">
      <formula>D167="canopy type"</formula>
    </cfRule>
    <cfRule type="expression" priority="123" dxfId="206">
      <formula>D175="CENTREX"</formula>
    </cfRule>
    <cfRule type="expression" priority="122" dxfId="206">
      <formula>D175="GRILLE"</formula>
    </cfRule>
    <cfRule type="expression" priority="121" dxfId="208">
      <formula>D175="WW PODS"</formula>
    </cfRule>
    <cfRule type="expression" priority="127" dxfId="207">
      <formula>(((I167*3600)/(C175*I164))^2+20)&gt;180</formula>
    </cfRule>
    <cfRule type="expression" priority="120" dxfId="206">
      <formula>D175="NF"</formula>
    </cfRule>
    <cfRule type="expression" priority="128" dxfId="205">
      <formula>D175="KSA"</formula>
    </cfRule>
  </conditionalFormatting>
  <conditionalFormatting sqref="F177">
    <cfRule type="cellIs" priority="146" operator="lessThan" dxfId="204">
      <formula>2100</formula>
    </cfRule>
  </conditionalFormatting>
  <conditionalFormatting sqref="G11">
    <cfRule type="expression" priority="681" dxfId="176">
      <formula>((F14-50)/H14)&lt;950</formula>
    </cfRule>
  </conditionalFormatting>
  <conditionalFormatting sqref="G12">
    <cfRule type="expression" priority="680" dxfId="175">
      <formula>((F14-50)/H14)&lt;950</formula>
    </cfRule>
  </conditionalFormatting>
  <conditionalFormatting sqref="G14">
    <cfRule type="cellIs" priority="676" operator="lessThan" dxfId="164">
      <formula>400</formula>
    </cfRule>
  </conditionalFormatting>
  <conditionalFormatting sqref="G28">
    <cfRule type="expression" priority="625" dxfId="176">
      <formula>((F31-50)/H31)&lt;950</formula>
    </cfRule>
  </conditionalFormatting>
  <conditionalFormatting sqref="G29">
    <cfRule type="expression" priority="603" dxfId="175">
      <formula>((F31-50)/H31)&lt;950</formula>
    </cfRule>
  </conditionalFormatting>
  <conditionalFormatting sqref="G31">
    <cfRule type="cellIs" priority="599" operator="lessThan" dxfId="164">
      <formula>400</formula>
    </cfRule>
  </conditionalFormatting>
  <conditionalFormatting sqref="G45">
    <cfRule type="expression" priority="641" dxfId="176">
      <formula>((F48-50)/H48)&lt;950</formula>
    </cfRule>
  </conditionalFormatting>
  <conditionalFormatting sqref="G46">
    <cfRule type="expression" priority="571" dxfId="175">
      <formula>((F48-50)/H48)&lt;950</formula>
    </cfRule>
  </conditionalFormatting>
  <conditionalFormatting sqref="G48">
    <cfRule type="cellIs" priority="567" operator="lessThan" dxfId="164">
      <formula>400</formula>
    </cfRule>
  </conditionalFormatting>
  <conditionalFormatting sqref="G62">
    <cfRule type="expression" priority="642" dxfId="176">
      <formula>((F65-50)/H65)&lt;950</formula>
    </cfRule>
  </conditionalFormatting>
  <conditionalFormatting sqref="G63">
    <cfRule type="expression" priority="544" dxfId="175">
      <formula>((F65-50)/H65)&lt;950</formula>
    </cfRule>
  </conditionalFormatting>
  <conditionalFormatting sqref="G65">
    <cfRule type="cellIs" priority="540" operator="lessThan" dxfId="164">
      <formula>400</formula>
    </cfRule>
  </conditionalFormatting>
  <conditionalFormatting sqref="G79">
    <cfRule type="expression" priority="643" dxfId="176">
      <formula>((F82-50)/H82)&lt;950</formula>
    </cfRule>
  </conditionalFormatting>
  <conditionalFormatting sqref="G80">
    <cfRule type="expression" priority="516" dxfId="175">
      <formula>((F82-50)/H82)&lt;950</formula>
    </cfRule>
  </conditionalFormatting>
  <conditionalFormatting sqref="G82">
    <cfRule type="cellIs" priority="512" operator="lessThan" dxfId="164">
      <formula>400</formula>
    </cfRule>
  </conditionalFormatting>
  <conditionalFormatting sqref="G96">
    <cfRule type="expression" priority="653" dxfId="176">
      <formula>((F99-50)/H99)&lt;950</formula>
    </cfRule>
  </conditionalFormatting>
  <conditionalFormatting sqref="G97">
    <cfRule type="expression" priority="487" dxfId="175">
      <formula>((F99-50)/H99)&lt;950</formula>
    </cfRule>
  </conditionalFormatting>
  <conditionalFormatting sqref="G99">
    <cfRule type="cellIs" priority="483" operator="lessThan" dxfId="164">
      <formula>400</formula>
    </cfRule>
  </conditionalFormatting>
  <conditionalFormatting sqref="G113">
    <cfRule type="expression" priority="321" dxfId="176">
      <formula>((F116-50)/H116)&lt;950</formula>
    </cfRule>
  </conditionalFormatting>
  <conditionalFormatting sqref="G114">
    <cfRule type="expression" priority="310" dxfId="175">
      <formula>((F116-50)/H116)&lt;950</formula>
    </cfRule>
  </conditionalFormatting>
  <conditionalFormatting sqref="G116">
    <cfRule type="cellIs" priority="306" operator="lessThan" dxfId="164">
      <formula>400</formula>
    </cfRule>
  </conditionalFormatting>
  <conditionalFormatting sqref="G130">
    <cfRule type="expression" priority="266" dxfId="176">
      <formula>((F133-50)/H133)&lt;950</formula>
    </cfRule>
  </conditionalFormatting>
  <conditionalFormatting sqref="G131">
    <cfRule type="expression" priority="255" dxfId="175">
      <formula>((F133-50)/H133)&lt;950</formula>
    </cfRule>
  </conditionalFormatting>
  <conditionalFormatting sqref="G133">
    <cfRule type="cellIs" priority="251" operator="lessThan" dxfId="164">
      <formula>400</formula>
    </cfRule>
  </conditionalFormatting>
  <conditionalFormatting sqref="G147">
    <cfRule type="expression" priority="215" dxfId="176">
      <formula>((F150-50)/H150)&lt;950</formula>
    </cfRule>
  </conditionalFormatting>
  <conditionalFormatting sqref="G148">
    <cfRule type="expression" priority="204" dxfId="175">
      <formula>((F150-50)/H150)&lt;950</formula>
    </cfRule>
  </conditionalFormatting>
  <conditionalFormatting sqref="G150">
    <cfRule type="cellIs" priority="200" operator="lessThan" dxfId="164">
      <formula>400</formula>
    </cfRule>
  </conditionalFormatting>
  <conditionalFormatting sqref="G164">
    <cfRule type="expression" priority="164" dxfId="176">
      <formula>((F167-50)/H167)&lt;950</formula>
    </cfRule>
  </conditionalFormatting>
  <conditionalFormatting sqref="G165">
    <cfRule type="expression" priority="153" dxfId="175">
      <formula>((F167-50)/H167)&lt;950</formula>
    </cfRule>
  </conditionalFormatting>
  <conditionalFormatting sqref="G167">
    <cfRule type="cellIs" priority="149" operator="lessThan" dxfId="164">
      <formula>400</formula>
    </cfRule>
  </conditionalFormatting>
  <conditionalFormatting sqref="I14">
    <cfRule type="cellIs" priority="677" operator="lessThan" dxfId="164">
      <formula>0.1</formula>
    </cfRule>
  </conditionalFormatting>
  <conditionalFormatting sqref="I31">
    <cfRule type="cellIs" priority="600" operator="lessThan" dxfId="164">
      <formula>0.1</formula>
    </cfRule>
  </conditionalFormatting>
  <conditionalFormatting sqref="I48">
    <cfRule type="cellIs" priority="568" operator="lessThan" dxfId="164">
      <formula>0.1</formula>
    </cfRule>
  </conditionalFormatting>
  <conditionalFormatting sqref="I65">
    <cfRule type="cellIs" priority="541" operator="lessThan" dxfId="164">
      <formula>0.1</formula>
    </cfRule>
  </conditionalFormatting>
  <conditionalFormatting sqref="I82">
    <cfRule type="cellIs" priority="513" operator="lessThan" dxfId="164">
      <formula>0.1</formula>
    </cfRule>
  </conditionalFormatting>
  <conditionalFormatting sqref="I99">
    <cfRule type="cellIs" priority="484" operator="lessThan" dxfId="164">
      <formula>0.1</formula>
    </cfRule>
  </conditionalFormatting>
  <conditionalFormatting sqref="I116">
    <cfRule type="cellIs" priority="307" operator="lessThan" dxfId="164">
      <formula>0.1</formula>
    </cfRule>
  </conditionalFormatting>
  <conditionalFormatting sqref="I133">
    <cfRule type="cellIs" priority="252" operator="lessThan" dxfId="164">
      <formula>0.1</formula>
    </cfRule>
  </conditionalFormatting>
  <conditionalFormatting sqref="I150">
    <cfRule type="cellIs" priority="201" operator="lessThan" dxfId="164">
      <formula>0.1</formula>
    </cfRule>
  </conditionalFormatting>
  <conditionalFormatting sqref="I167">
    <cfRule type="cellIs" priority="150" operator="lessThan" dxfId="164">
      <formula>0.1</formula>
    </cfRule>
  </conditionalFormatting>
  <conditionalFormatting sqref="J14:J27">
    <cfRule type="cellIs" priority="410" operator="greaterThan" dxfId="153">
      <formula>0</formula>
    </cfRule>
  </conditionalFormatting>
  <conditionalFormatting sqref="J31:J44">
    <cfRule type="cellIs" priority="383" operator="greaterThan" dxfId="153">
      <formula>0</formula>
    </cfRule>
  </conditionalFormatting>
  <conditionalFormatting sqref="J48:J61">
    <cfRule type="cellIs" priority="99" operator="greaterThan" dxfId="153">
      <formula>0</formula>
    </cfRule>
  </conditionalFormatting>
  <conditionalFormatting sqref="J65:J78">
    <cfRule type="cellIs" priority="85" operator="greaterThan" dxfId="153">
      <formula>0</formula>
    </cfRule>
  </conditionalFormatting>
  <conditionalFormatting sqref="J82:J95">
    <cfRule type="cellIs" priority="71" operator="greaterThan" dxfId="153">
      <formula>0</formula>
    </cfRule>
  </conditionalFormatting>
  <conditionalFormatting sqref="J99:J112">
    <cfRule type="cellIs" priority="57" operator="greaterThan" dxfId="153">
      <formula>0</formula>
    </cfRule>
  </conditionalFormatting>
  <conditionalFormatting sqref="J116:J129">
    <cfRule type="cellIs" priority="43" operator="greaterThan" dxfId="153">
      <formula>0</formula>
    </cfRule>
  </conditionalFormatting>
  <conditionalFormatting sqref="J133:J146">
    <cfRule type="cellIs" priority="29" operator="greaterThan" dxfId="153">
      <formula>0</formula>
    </cfRule>
  </conditionalFormatting>
  <conditionalFormatting sqref="J150:J163">
    <cfRule type="cellIs" priority="15" operator="greaterThan" dxfId="153">
      <formula>0</formula>
    </cfRule>
  </conditionalFormatting>
  <conditionalFormatting sqref="J167:J180">
    <cfRule type="cellIs" priority="1" operator="greaterThan" dxfId="153">
      <formula>0</formula>
    </cfRule>
  </conditionalFormatting>
  <conditionalFormatting sqref="J183:J197">
    <cfRule type="expression" priority="267" dxfId="153">
      <formula>C183&gt;0</formula>
    </cfRule>
  </conditionalFormatting>
  <conditionalFormatting sqref="J199">
    <cfRule type="expression" priority="658" dxfId="2">
      <formula>#REF!="EURO"</formula>
    </cfRule>
  </conditionalFormatting>
  <conditionalFormatting sqref="K14:K27">
    <cfRule type="cellIs" priority="424" operator="greaterThan" dxfId="141">
      <formula>0</formula>
    </cfRule>
  </conditionalFormatting>
  <conditionalFormatting sqref="K31:K44">
    <cfRule type="cellIs" priority="386" operator="greaterThan" dxfId="141">
      <formula>0</formula>
    </cfRule>
  </conditionalFormatting>
  <conditionalFormatting sqref="K48:K61">
    <cfRule type="cellIs" priority="102" operator="greaterThan" dxfId="141">
      <formula>0</formula>
    </cfRule>
  </conditionalFormatting>
  <conditionalFormatting sqref="K65:K78">
    <cfRule type="cellIs" priority="88" operator="greaterThan" dxfId="141">
      <formula>0</formula>
    </cfRule>
  </conditionalFormatting>
  <conditionalFormatting sqref="K82:K95">
    <cfRule type="cellIs" priority="74" operator="greaterThan" dxfId="141">
      <formula>0</formula>
    </cfRule>
  </conditionalFormatting>
  <conditionalFormatting sqref="K99:K112">
    <cfRule type="cellIs" priority="60" operator="greaterThan" dxfId="141">
      <formula>0</formula>
    </cfRule>
  </conditionalFormatting>
  <conditionalFormatting sqref="K116:K129">
    <cfRule type="cellIs" priority="46" operator="greaterThan" dxfId="141">
      <formula>0</formula>
    </cfRule>
  </conditionalFormatting>
  <conditionalFormatting sqref="K133:K146">
    <cfRule type="cellIs" priority="32" operator="greaterThan" dxfId="141">
      <formula>0</formula>
    </cfRule>
  </conditionalFormatting>
  <conditionalFormatting sqref="K150:K163">
    <cfRule type="cellIs" priority="18" operator="greaterThan" dxfId="141">
      <formula>0</formula>
    </cfRule>
  </conditionalFormatting>
  <conditionalFormatting sqref="K167:K180">
    <cfRule type="cellIs" priority="4" operator="greaterThan" dxfId="141">
      <formula>0</formula>
    </cfRule>
  </conditionalFormatting>
  <conditionalFormatting sqref="K183:K197">
    <cfRule type="cellIs" priority="268" operator="greaterThan" dxfId="141">
      <formula>0</formula>
    </cfRule>
  </conditionalFormatting>
  <conditionalFormatting sqref="K199">
    <cfRule type="expression" priority="657" dxfId="2">
      <formula>$B$9="EURO"</formula>
    </cfRule>
    <cfRule type="expression" priority="656" dxfId="3">
      <formula>$B$9="USD"</formula>
    </cfRule>
    <cfRule type="expression" priority="655" dxfId="0">
      <formula>$B$9="CZK"</formula>
    </cfRule>
    <cfRule type="expression" priority="654" dxfId="4">
      <formula>$B$9="PLN"</formula>
    </cfRule>
  </conditionalFormatting>
  <conditionalFormatting sqref="L14:L27">
    <cfRule type="expression" priority="421" dxfId="116">
      <formula>$C$9&lt;0</formula>
    </cfRule>
    <cfRule type="expression" priority="422" dxfId="115">
      <formula>$C$9&gt;0</formula>
    </cfRule>
  </conditionalFormatting>
  <conditionalFormatting sqref="L31:L44">
    <cfRule type="expression" priority="385" dxfId="115">
      <formula>$C$9&gt;0</formula>
    </cfRule>
    <cfRule type="expression" priority="384" dxfId="116">
      <formula>$C$9&lt;0</formula>
    </cfRule>
  </conditionalFormatting>
  <conditionalFormatting sqref="L48:L61">
    <cfRule type="expression" priority="100" dxfId="116">
      <formula>$C$9&lt;0</formula>
    </cfRule>
    <cfRule type="expression" priority="101" dxfId="115">
      <formula>$C$9&gt;0</formula>
    </cfRule>
  </conditionalFormatting>
  <conditionalFormatting sqref="L65:L78">
    <cfRule type="expression" priority="86" dxfId="116">
      <formula>$C$9&lt;0</formula>
    </cfRule>
    <cfRule type="expression" priority="87" dxfId="115">
      <formula>$C$9&gt;0</formula>
    </cfRule>
  </conditionalFormatting>
  <conditionalFormatting sqref="L82:L95">
    <cfRule type="expression" priority="72" dxfId="116">
      <formula>$C$9&lt;0</formula>
    </cfRule>
    <cfRule type="expression" priority="73" dxfId="115">
      <formula>$C$9&gt;0</formula>
    </cfRule>
  </conditionalFormatting>
  <conditionalFormatting sqref="L99:L112">
    <cfRule type="expression" priority="58" dxfId="116">
      <formula>$C$9&lt;0</formula>
    </cfRule>
    <cfRule type="expression" priority="59" dxfId="115">
      <formula>$C$9&gt;0</formula>
    </cfRule>
  </conditionalFormatting>
  <conditionalFormatting sqref="L116:L129">
    <cfRule type="expression" priority="44" dxfId="116">
      <formula>$C$9&lt;0</formula>
    </cfRule>
    <cfRule type="expression" priority="45" dxfId="115">
      <formula>$C$9&gt;0</formula>
    </cfRule>
  </conditionalFormatting>
  <conditionalFormatting sqref="L133:L146">
    <cfRule type="expression" priority="31" dxfId="115">
      <formula>$C$9&gt;0</formula>
    </cfRule>
    <cfRule type="expression" priority="30" dxfId="116">
      <formula>$C$9&lt;0</formula>
    </cfRule>
  </conditionalFormatting>
  <conditionalFormatting sqref="L150:L163">
    <cfRule type="expression" priority="17" dxfId="115">
      <formula>$C$9&gt;0</formula>
    </cfRule>
    <cfRule type="expression" priority="16" dxfId="116">
      <formula>$C$9&lt;0</formula>
    </cfRule>
  </conditionalFormatting>
  <conditionalFormatting sqref="L167:L180">
    <cfRule type="expression" priority="3" dxfId="115">
      <formula>$C$9&gt;0</formula>
    </cfRule>
    <cfRule type="expression" priority="2" dxfId="116">
      <formula>$C$9&lt;0</formula>
    </cfRule>
  </conditionalFormatting>
  <conditionalFormatting sqref="L183:L197">
    <cfRule type="expression" priority="644" dxfId="116">
      <formula>$C$9&lt;0</formula>
    </cfRule>
    <cfRule type="expression" priority="645" dxfId="115">
      <formula>$C$9&gt;0</formula>
    </cfRule>
  </conditionalFormatting>
  <conditionalFormatting sqref="N9 N12">
    <cfRule type="expression" priority="688" dxfId="4">
      <formula>$B$9="PLN"</formula>
    </cfRule>
    <cfRule type="expression" priority="689" dxfId="0">
      <formula>$B$9="CZK"</formula>
    </cfRule>
    <cfRule type="expression" priority="690" dxfId="3">
      <formula>$B$9="USD"</formula>
    </cfRule>
    <cfRule type="expression" priority="691" dxfId="2">
      <formula>$B$9="EURO"</formula>
    </cfRule>
  </conditionalFormatting>
  <conditionalFormatting sqref="N14:N27">
    <cfRule type="expression" priority="630" dxfId="3">
      <formula>$B$9="USD"</formula>
    </cfRule>
    <cfRule type="expression" priority="629" dxfId="2">
      <formula>$B$9="EURO"</formula>
    </cfRule>
    <cfRule type="cellIs" priority="628" operator="greaterThan" dxfId="1">
      <formula>0</formula>
    </cfRule>
    <cfRule type="expression" priority="632" dxfId="0">
      <formula>$B$9="CZK"</formula>
    </cfRule>
    <cfRule type="expression" priority="631" dxfId="4">
      <formula>$B$9="PLN"</formula>
    </cfRule>
  </conditionalFormatting>
  <conditionalFormatting sqref="N29">
    <cfRule type="expression" priority="609" dxfId="4">
      <formula>$B$9="PLN"</formula>
    </cfRule>
    <cfRule type="expression" priority="612" dxfId="2">
      <formula>$B$9="EURO"</formula>
    </cfRule>
    <cfRule type="expression" priority="611" dxfId="3">
      <formula>$B$9="USD"</formula>
    </cfRule>
    <cfRule type="expression" priority="610" dxfId="0">
      <formula>$B$9="CZK"</formula>
    </cfRule>
  </conditionalFormatting>
  <conditionalFormatting sqref="N31:N44">
    <cfRule type="cellIs" priority="389" operator="greaterThan" dxfId="1">
      <formula>0</formula>
    </cfRule>
    <cfRule type="expression" priority="390" dxfId="2">
      <formula>$B$9="EURO"</formula>
    </cfRule>
    <cfRule type="expression" priority="391" dxfId="3">
      <formula>$B$9="USD"</formula>
    </cfRule>
    <cfRule type="expression" priority="392" dxfId="4">
      <formula>$B$9="PLN"</formula>
    </cfRule>
    <cfRule type="expression" priority="393" dxfId="0">
      <formula>$B$9="CZK"</formula>
    </cfRule>
  </conditionalFormatting>
  <conditionalFormatting sqref="N46">
    <cfRule type="expression" priority="577" dxfId="4">
      <formula>$B$9="PLN"</formula>
    </cfRule>
    <cfRule type="expression" priority="579" dxfId="3">
      <formula>$B$9="USD"</formula>
    </cfRule>
    <cfRule type="expression" priority="580" dxfId="2">
      <formula>$B$9="EURO"</formula>
    </cfRule>
    <cfRule type="expression" priority="578" dxfId="0">
      <formula>$B$9="CZK"</formula>
    </cfRule>
  </conditionalFormatting>
  <conditionalFormatting sqref="N48:N61">
    <cfRule type="expression" priority="105" dxfId="2">
      <formula>$B$9="EURO"</formula>
    </cfRule>
    <cfRule type="cellIs" priority="104" operator="greaterThan" dxfId="1">
      <formula>0</formula>
    </cfRule>
    <cfRule type="expression" priority="108" dxfId="0">
      <formula>$B$9="CZK"</formula>
    </cfRule>
    <cfRule type="expression" priority="107" dxfId="4">
      <formula>$B$9="PLN"</formula>
    </cfRule>
    <cfRule type="expression" priority="106" dxfId="3">
      <formula>$B$9="USD"</formula>
    </cfRule>
  </conditionalFormatting>
  <conditionalFormatting sqref="N63">
    <cfRule type="expression" priority="550" dxfId="4">
      <formula>$B$9="PLN"</formula>
    </cfRule>
    <cfRule type="expression" priority="551" dxfId="0">
      <formula>$B$9="CZK"</formula>
    </cfRule>
    <cfRule type="expression" priority="552" dxfId="3">
      <formula>$B$9="USD"</formula>
    </cfRule>
    <cfRule type="expression" priority="553" dxfId="2">
      <formula>$B$9="EURO"</formula>
    </cfRule>
  </conditionalFormatting>
  <conditionalFormatting sqref="N65:N78">
    <cfRule type="expression" priority="93" dxfId="4">
      <formula>$B$9="PLN"</formula>
    </cfRule>
    <cfRule type="expression" priority="94" dxfId="0">
      <formula>$B$9="CZK"</formula>
    </cfRule>
    <cfRule type="expression" priority="92" dxfId="3">
      <formula>$B$9="USD"</formula>
    </cfRule>
    <cfRule type="expression" priority="91" dxfId="2">
      <formula>$B$9="EURO"</formula>
    </cfRule>
    <cfRule type="cellIs" priority="90" operator="greaterThan" dxfId="1">
      <formula>0</formula>
    </cfRule>
  </conditionalFormatting>
  <conditionalFormatting sqref="N80">
    <cfRule type="expression" priority="523" dxfId="0">
      <formula>$B$9="CZK"</formula>
    </cfRule>
    <cfRule type="expression" priority="524" dxfId="3">
      <formula>$B$9="USD"</formula>
    </cfRule>
    <cfRule type="expression" priority="522" dxfId="4">
      <formula>$B$9="PLN"</formula>
    </cfRule>
    <cfRule type="expression" priority="525" dxfId="2">
      <formula>$B$9="EURO"</formula>
    </cfRule>
  </conditionalFormatting>
  <conditionalFormatting sqref="N82:N95">
    <cfRule type="expression" priority="79" dxfId="4">
      <formula>$B$9="PLN"</formula>
    </cfRule>
    <cfRule type="expression" priority="78" dxfId="3">
      <formula>$B$9="USD"</formula>
    </cfRule>
    <cfRule type="expression" priority="80" dxfId="0">
      <formula>$B$9="CZK"</formula>
    </cfRule>
    <cfRule type="cellIs" priority="76" operator="greaterThan" dxfId="1">
      <formula>0</formula>
    </cfRule>
    <cfRule type="expression" priority="77" dxfId="2">
      <formula>$B$9="EURO"</formula>
    </cfRule>
  </conditionalFormatting>
  <conditionalFormatting sqref="N97">
    <cfRule type="expression" priority="494" dxfId="0">
      <formula>$B$9="CZK"</formula>
    </cfRule>
    <cfRule type="expression" priority="493" dxfId="4">
      <formula>$B$9="PLN"</formula>
    </cfRule>
    <cfRule type="expression" priority="496" dxfId="2">
      <formula>$B$9="EURO"</formula>
    </cfRule>
    <cfRule type="expression" priority="495" dxfId="3">
      <formula>$B$9="USD"</formula>
    </cfRule>
  </conditionalFormatting>
  <conditionalFormatting sqref="N99:N112">
    <cfRule type="cellIs" priority="62" operator="greaterThan" dxfId="1">
      <formula>0</formula>
    </cfRule>
    <cfRule type="expression" priority="63" dxfId="2">
      <formula>$B$9="EURO"</formula>
    </cfRule>
    <cfRule type="expression" priority="64" dxfId="3">
      <formula>$B$9="USD"</formula>
    </cfRule>
    <cfRule type="expression" priority="65" dxfId="4">
      <formula>$B$9="PLN"</formula>
    </cfRule>
    <cfRule type="expression" priority="66" dxfId="0">
      <formula>$B$9="CZK"</formula>
    </cfRule>
  </conditionalFormatting>
  <conditionalFormatting sqref="N114">
    <cfRule type="expression" priority="317" dxfId="0">
      <formula>$B$9="CZK"</formula>
    </cfRule>
    <cfRule type="expression" priority="318" dxfId="3">
      <formula>$B$9="USD"</formula>
    </cfRule>
    <cfRule type="expression" priority="319" dxfId="2">
      <formula>$B$9="EURO"</formula>
    </cfRule>
    <cfRule type="expression" priority="316" dxfId="4">
      <formula>$B$9="PLN"</formula>
    </cfRule>
  </conditionalFormatting>
  <conditionalFormatting sqref="N116:N129">
    <cfRule type="cellIs" priority="48" operator="greaterThan" dxfId="1">
      <formula>0</formula>
    </cfRule>
    <cfRule type="expression" priority="52" dxfId="0">
      <formula>$B$9="CZK"</formula>
    </cfRule>
    <cfRule type="expression" priority="51" dxfId="4">
      <formula>$B$9="PLN"</formula>
    </cfRule>
    <cfRule type="expression" priority="50" dxfId="3">
      <formula>$B$9="USD"</formula>
    </cfRule>
    <cfRule type="expression" priority="49" dxfId="2">
      <formula>$B$9="EURO"</formula>
    </cfRule>
  </conditionalFormatting>
  <conditionalFormatting sqref="N131">
    <cfRule type="expression" priority="261" dxfId="4">
      <formula>$B$9="PLN"</formula>
    </cfRule>
    <cfRule type="expression" priority="262" dxfId="0">
      <formula>$B$9="CZK"</formula>
    </cfRule>
    <cfRule type="expression" priority="263" dxfId="3">
      <formula>$B$9="USD"</formula>
    </cfRule>
    <cfRule type="expression" priority="264" dxfId="2">
      <formula>$B$9="EURO"</formula>
    </cfRule>
  </conditionalFormatting>
  <conditionalFormatting sqref="N133:N146">
    <cfRule type="expression" priority="37" dxfId="4">
      <formula>$B$9="PLN"</formula>
    </cfRule>
    <cfRule type="expression" priority="36" dxfId="3">
      <formula>$B$9="USD"</formula>
    </cfRule>
    <cfRule type="expression" priority="38" dxfId="0">
      <formula>$B$9="CZK"</formula>
    </cfRule>
    <cfRule type="expression" priority="35" dxfId="2">
      <formula>$B$9="EURO"</formula>
    </cfRule>
    <cfRule type="cellIs" priority="34" operator="greaterThan" dxfId="1">
      <formula>0</formula>
    </cfRule>
  </conditionalFormatting>
  <conditionalFormatting sqref="N148">
    <cfRule type="expression" priority="213" dxfId="2">
      <formula>$B$9="EURO"</formula>
    </cfRule>
    <cfRule type="expression" priority="211" dxfId="0">
      <formula>$B$9="CZK"</formula>
    </cfRule>
    <cfRule type="expression" priority="210" dxfId="4">
      <formula>$B$9="PLN"</formula>
    </cfRule>
    <cfRule type="expression" priority="212" dxfId="3">
      <formula>$B$9="USD"</formula>
    </cfRule>
  </conditionalFormatting>
  <conditionalFormatting sqref="N150:N163">
    <cfRule type="expression" priority="22" dxfId="3">
      <formula>$B$9="USD"</formula>
    </cfRule>
    <cfRule type="cellIs" priority="20" operator="greaterThan" dxfId="1">
      <formula>0</formula>
    </cfRule>
    <cfRule type="expression" priority="21" dxfId="2">
      <formula>$B$9="EURO"</formula>
    </cfRule>
    <cfRule type="expression" priority="24" dxfId="0">
      <formula>$B$9="CZK"</formula>
    </cfRule>
    <cfRule type="expression" priority="23" dxfId="4">
      <formula>$B$9="PLN"</formula>
    </cfRule>
  </conditionalFormatting>
  <conditionalFormatting sqref="N165">
    <cfRule type="expression" priority="161" dxfId="3">
      <formula>$B$9="USD"</formula>
    </cfRule>
    <cfRule type="expression" priority="160" dxfId="0">
      <formula>$B$9="CZK"</formula>
    </cfRule>
    <cfRule type="expression" priority="162" dxfId="2">
      <formula>$B$9="EURO"</formula>
    </cfRule>
    <cfRule type="expression" priority="159" dxfId="4">
      <formula>$B$9="PLN"</formula>
    </cfRule>
  </conditionalFormatting>
  <conditionalFormatting sqref="N167:N180">
    <cfRule type="expression" priority="10" dxfId="0">
      <formula>$B$9="CZK"</formula>
    </cfRule>
    <cfRule type="expression" priority="7" dxfId="2">
      <formula>$B$9="EURO"</formula>
    </cfRule>
    <cfRule type="cellIs" priority="6" operator="greaterThan" dxfId="1">
      <formula>0</formula>
    </cfRule>
    <cfRule type="expression" priority="8" dxfId="3">
      <formula>$B$9="USD"</formula>
    </cfRule>
    <cfRule type="expression" priority="9" dxfId="4">
      <formula>$B$9="PLN"</formula>
    </cfRule>
  </conditionalFormatting>
  <conditionalFormatting sqref="N183:N197">
    <cfRule type="expression" priority="640" dxfId="0">
      <formula>$B$9="CZK"</formula>
    </cfRule>
    <cfRule type="expression" priority="639" dxfId="4">
      <formula>$B$9="PLN"</formula>
    </cfRule>
    <cfRule type="expression" priority="638" dxfId="3">
      <formula>$B$9="USD"</formula>
    </cfRule>
    <cfRule type="expression" priority="637" dxfId="2">
      <formula>$B$9="EURO"</formula>
    </cfRule>
    <cfRule type="cellIs" priority="636" operator="greaterThan" dxfId="1">
      <formula>0</formula>
    </cfRule>
  </conditionalFormatting>
  <conditionalFormatting sqref="N182:O182">
    <cfRule type="expression" priority="647" dxfId="0">
      <formula>$B$9="CZK"</formula>
    </cfRule>
    <cfRule type="expression" priority="646" dxfId="4">
      <formula>$B$9="PLN"</formula>
    </cfRule>
    <cfRule type="expression" priority="649" dxfId="2">
      <formula>$B$9="EURO"</formula>
    </cfRule>
    <cfRule type="expression" priority="648" dxfId="3">
      <formula>$B$9="USD"</formula>
    </cfRule>
  </conditionalFormatting>
  <conditionalFormatting sqref="O14:O27">
    <cfRule type="cellIs" priority="633" operator="greaterThan" dxfId="5">
      <formula>0</formula>
    </cfRule>
  </conditionalFormatting>
  <conditionalFormatting sqref="O31:O44">
    <cfRule type="cellIs" priority="394" operator="greaterThan" dxfId="5">
      <formula>0</formula>
    </cfRule>
  </conditionalFormatting>
  <conditionalFormatting sqref="O48:O61">
    <cfRule type="cellIs" priority="109" operator="greaterThan" dxfId="5">
      <formula>0</formula>
    </cfRule>
  </conditionalFormatting>
  <conditionalFormatting sqref="O65:O78">
    <cfRule type="cellIs" priority="95" operator="greaterThan" dxfId="5">
      <formula>0</formula>
    </cfRule>
  </conditionalFormatting>
  <conditionalFormatting sqref="O82:O95">
    <cfRule type="cellIs" priority="81" operator="greaterThan" dxfId="5">
      <formula>0</formula>
    </cfRule>
  </conditionalFormatting>
  <conditionalFormatting sqref="O99:O112">
    <cfRule type="cellIs" priority="67" operator="greaterThan" dxfId="5">
      <formula>0</formula>
    </cfRule>
  </conditionalFormatting>
  <conditionalFormatting sqref="O116:O129">
    <cfRule type="cellIs" priority="53" operator="greaterThan" dxfId="5">
      <formula>0</formula>
    </cfRule>
  </conditionalFormatting>
  <conditionalFormatting sqref="O133:O146">
    <cfRule type="cellIs" priority="39" operator="greaterThan" dxfId="5">
      <formula>0</formula>
    </cfRule>
  </conditionalFormatting>
  <conditionalFormatting sqref="O150:O163">
    <cfRule type="cellIs" priority="25" operator="greaterThan" dxfId="5">
      <formula>0</formula>
    </cfRule>
  </conditionalFormatting>
  <conditionalFormatting sqref="O167:O180">
    <cfRule type="cellIs" priority="11" operator="greaterThan" dxfId="5">
      <formula>0</formula>
    </cfRule>
  </conditionalFormatting>
  <conditionalFormatting sqref="O183:O197">
    <cfRule type="cellIs" priority="659" operator="greaterThan" dxfId="5">
      <formula>0</formula>
    </cfRule>
  </conditionalFormatting>
  <conditionalFormatting sqref="Q16">
    <cfRule type="expression" priority="414" dxfId="4">
      <formula>$B$9="PLN"</formula>
    </cfRule>
    <cfRule type="expression" priority="413" dxfId="3">
      <formula>$B$9="USD"</formula>
    </cfRule>
    <cfRule type="expression" priority="412" dxfId="2">
      <formula>$B$9="EURO"</formula>
    </cfRule>
    <cfRule type="cellIs" priority="411" operator="greaterThan" dxfId="1">
      <formula>0</formula>
    </cfRule>
    <cfRule type="expression" priority="415" dxfId="0">
      <formula>$B$9="CZK"</formula>
    </cfRule>
  </conditionalFormatting>
  <dataValidations count="16">
    <dataValidation sqref="D26 D43 D60 D77 D94 D111 D128 D145 D162 D179" showDropDown="0" showInputMessage="1" showErrorMessage="1" allowBlank="1" type="list">
      <formula1>"0,1,2,3,4,5,6,7,8,9,10"</formula1>
    </dataValidation>
    <dataValidation sqref="G181" showDropDown="0" showInputMessage="1" showErrorMessage="1" allowBlank="1" type="list">
      <formula1>#REF!</formula1>
    </dataValidation>
    <dataValidation sqref="C14 C31 C48 C65 C82 C99 C116 C133 C150 C167" showDropDown="0" showInputMessage="1" showErrorMessage="1" allowBlank="1" type="list">
      <formula1>"WALL, ISLAND"</formula1>
    </dataValidation>
    <dataValidation sqref="E14 E31 E48 E65 E82 E99 E116 E133 E150 E167" showDropDown="0" showInputMessage="1" showErrorMessage="1" allowBlank="1" operator="greaterThan"/>
    <dataValidation sqref="C20:C21 C37:C38 C54:C55 C71:C72 C88:C89 C105:C106 C122:C123 C139:C140 C156:C157 C173:C174" showDropDown="0" showInputMessage="1" showErrorMessage="1" allowBlank="1" type="list">
      <formula1>"0,1,2,3,4,5,6,7,8,9,10,11,12,13,14,15,16,17,18,19,20"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7 C44 C61 C78 C95 C112 C129 C146 C163 C180" showDropDown="0" showInputMessage="1" showErrorMessage="1" allowBlank="1" type="list">
      <formula1>"0,0.5,1,1.5,2,2.5,3,3.5,4,4.5,5"</formula1>
    </dataValidation>
    <dataValidation sqref="C15 C32 C49 C66 C83 C100 C117 C134 C151 C168 C185 C202 C219 C236 C253 C270 C287 C304" showDropDown="0" showInputMessage="0" showErrorMessage="0" allowBlank="1" type="list">
      <formula1>Lists!$A$1:$A$5</formula1>
    </dataValidation>
    <dataValidation sqref="C16 C33 C50 C67 C84 C101 C118 C135 C152 C169 C186 C203 C220 C237 C254 C271 C288 C305" showDropDown="0" showInputMessage="0" showErrorMessage="0" allowBlank="1" type="list">
      <formula1>Lists!$B$1:$B$17</formula1>
    </dataValidation>
    <dataValidation sqref="C17 C34 C51 C68 C85 C102 C119 C136 C153 C170 C187 C204 C221 C238 C255 C272 C289 C306" showDropDown="0" showInputMessage="0" showErrorMessage="0" allowBlank="1" type="list">
      <formula1>Lists!$B$1:$B$18</formula1>
    </dataValidation>
    <dataValidation sqref="C19 C36 C53 C70 C87 C104 C121 C138 C155 C172 C189 C206 C223 C240 C257 C274 C291 C308" showDropDown="0" showInputMessage="0" showErrorMessage="0" allowBlank="1" type="list">
      <formula1>Lists!$C$1:$C$2</formula1>
    </dataValidation>
    <dataValidation sqref="C25 C42 C59 C76 C93 C110 C127 C144 C161 C178 C195 C212 C229 C246 C263 C280 C297" showDropDown="0" showInputMessage="0" showErrorMessage="0" allowBlank="1" type="list">
      <formula1>Lists!$D$1:$D$4</formula1>
    </dataValidation>
    <dataValidation sqref="C26 C43 C60 C77 C94 C111 C128 C145 C162 C179 C196 C213 C230 C247 C264 C281 C298" showDropDown="0" showInputMessage="0" showErrorMessage="0" allowBlank="1" type="list">
      <formula1>Lists!$E$1:$E$10</formula1>
    </dataValidation>
    <dataValidation sqref="D183" showDropDown="0" showInputMessage="0" showErrorMessage="0" allowBlank="1" type="list">
      <formula1>Lists!$F$1:$F$193</formula1>
    </dataValidation>
    <dataValidation sqref="D184" showDropDown="0" showInputMessage="0" showErrorMessage="0" allowBlank="1" type="list">
      <formula1>Lists!$G$1:$G$12</formula1>
    </dataValidation>
    <dataValidation sqref="D185" showDropDown="0" showInputMessage="0" showErrorMessage="0" allowBlank="1" type="list">
      <formula1>Lists!$G$1:$G$12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1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 codeName="Sheet32">
    <tabColor theme="8" tint="0.7999816888943144"/>
    <outlinePr summaryBelow="1" summaryRight="1"/>
    <pageSetUpPr fitToPage="1"/>
  </sheetPr>
  <dimension ref="A1:Z310"/>
  <sheetViews>
    <sheetView showGridLines="0" topLeftCell="G2" zoomScale="106" zoomScaleNormal="80" zoomScaleSheetLayoutView="50" workbookViewId="0">
      <selection activeCell="P182" sqref="P182"/>
    </sheetView>
  </sheetViews>
  <sheetFormatPr baseColWidth="10" defaultColWidth="8.83203125" defaultRowHeight="15" customHeight="1" outlineLevelRow="1"/>
  <cols>
    <col width="2" customWidth="1" style="666" min="1" max="1"/>
    <col width="29.6640625" customWidth="1" style="1095" min="2" max="2"/>
    <col width="24.6640625" customWidth="1" style="1095" min="3" max="3"/>
    <col width="27.1640625" customWidth="1" style="1095" min="4" max="4"/>
    <col width="26.6640625" customWidth="1" style="1095" min="5" max="5"/>
    <col width="18.83203125" customWidth="1" style="1095" min="6" max="6"/>
    <col width="22.6640625" customWidth="1" style="1095" min="7" max="7"/>
    <col width="10" bestFit="1" customWidth="1" style="1096" min="8" max="8"/>
    <col width="11.6640625" bestFit="1" customWidth="1" style="1096" min="9" max="9"/>
    <col width="12.33203125" customWidth="1" style="1097" min="10" max="10"/>
    <col width="15" customWidth="1" style="1098" min="11" max="11"/>
    <col width="7.6640625" bestFit="1" customWidth="1" style="1098" min="12" max="12"/>
    <col hidden="1" width="12.33203125" customWidth="1" style="1099" min="13" max="13"/>
    <col width="12.8320312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8"/>
    <col width="8.83203125" customWidth="1" style="1095" min="99" max="16384"/>
  </cols>
  <sheetData>
    <row r="1" ht="15" customHeight="1" s="1085">
      <c r="B1" s="1116" t="inlineStr">
        <is>
          <t>F24 - 19  CANOPY COST SHEET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 t="n"/>
      <c r="F3" s="690" t="inlineStr">
        <is>
          <t>Project Name</t>
        </is>
      </c>
      <c r="G3" s="1071" t="n"/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 t="n"/>
      <c r="F5" s="690" t="inlineStr">
        <is>
          <t>Location</t>
        </is>
      </c>
      <c r="G5" s="1071" t="n"/>
      <c r="M5" s="684" t="n"/>
      <c r="N5" s="685" t="n"/>
      <c r="P5" s="1118" t="inlineStr">
        <is>
          <t>RECO CANOPIES MUST HAVE COALESCERS</t>
        </is>
      </c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 t="n"/>
      <c r="F7" s="690" t="inlineStr">
        <is>
          <t>Date</t>
        </is>
      </c>
      <c r="G7" s="1075" t="n"/>
      <c r="N7" s="699" t="inlineStr">
        <is>
          <t>Revision No</t>
        </is>
      </c>
      <c r="O7" s="809" t="inlineStr">
        <is>
          <t>B</t>
        </is>
      </c>
      <c r="P7" s="1091" t="inlineStr">
        <is>
          <t>GP SHOULD BE MINIMUM 44%</t>
        </is>
      </c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47" t="n"/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8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 xml:space="preserve">ITEM 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68">
        <f>N12-N19</f>
        <v/>
      </c>
      <c r="Q12" s="1095" t="n"/>
      <c r="R12" s="1095" t="n"/>
      <c r="S12" s="713" t="n"/>
      <c r="T12" s="1095" t="n"/>
      <c r="X12" s="1095" t="n"/>
      <c r="Y12" s="1095" t="n"/>
      <c r="Z12" s="1095" t="n"/>
    </row>
    <row r="13" hidden="1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hidden="1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CANOPY TYPE</t>
        </is>
      </c>
      <c r="E14" s="734" t="n"/>
      <c r="F14" s="734" t="n"/>
      <c r="G14" s="734" t="n"/>
      <c r="H14" s="735" t="n"/>
      <c r="I14" s="734" t="n"/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hidden="1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LIGHT SELECTION</t>
        </is>
      </c>
      <c r="D15" s="741" t="n"/>
      <c r="E15" s="848" t="n"/>
      <c r="F15" s="743" t="n"/>
      <c r="G15" s="744" t="n"/>
      <c r="H15" s="668" t="n"/>
      <c r="I15" s="668" t="n"/>
      <c r="J15" s="736">
        <f>IF(ISNA(C12),0,IF(D15=0,0,IF(C15="FLO",VLOOKUP(E15,'Base Costs'!$M$4:$N$14,2,FALSE),IF(C15="LED STRIP",VLOOKUP(E15,'Base Costs'!$M$4:$N$14,2,FALSE),(VLOOKUP(C15,'Base Costs'!$M$4:$N$14,2,FALSE))))))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hidden="1" outlineLevel="1" ht="15" customHeight="1" s="1085">
      <c r="A16" s="666" t="n">
        <v>234</v>
      </c>
      <c r="B16" s="269" t="inlineStr">
        <is>
          <t>SPECIAL WORKS</t>
        </is>
      </c>
      <c r="C16" s="33" t="inlineStr">
        <is>
          <t>SELECT WORKS</t>
        </is>
      </c>
      <c r="D16" s="735" t="n"/>
      <c r="E16" s="753">
        <f>IF(C16="","",VLOOKUP(C16,CCBASE!$A$53:$D$73,4,FALSE))</f>
        <v/>
      </c>
      <c r="F16" s="754" t="n"/>
      <c r="G16" s="749" t="n"/>
      <c r="H16" s="750" t="n"/>
      <c r="I16" s="755" t="n"/>
      <c r="J16" s="736">
        <f>IF(C16="",0,VLOOKUP(C16,CCBASE!$A$53:$C$73,2,FALSE))</f>
        <v/>
      </c>
      <c r="K16" s="737">
        <f>J16*D16</f>
        <v/>
      </c>
      <c r="L16" s="738" t="n">
        <v>0.44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hidden="1" outlineLevel="1" ht="15" customHeight="1" s="1085">
      <c r="B17" s="269" t="inlineStr">
        <is>
          <t>SPECIAL WORKS</t>
        </is>
      </c>
      <c r="C17" s="752" t="inlineStr">
        <is>
          <t>SELECT WORKS</t>
        </is>
      </c>
      <c r="D17" s="735" t="n"/>
      <c r="E17" s="753">
        <f>IF(C17="","",VLOOKUP(C17,CCBASE!$A$53:$D$73,4,FALSE))</f>
        <v/>
      </c>
      <c r="F17" s="754" t="n"/>
      <c r="G17" s="749" t="n"/>
      <c r="H17" s="750" t="n"/>
      <c r="I17" s="755" t="n"/>
      <c r="J17" s="736">
        <f>IF(C17="",0,VLOOKUP(C17,CCBASE!$A$53:$C$73,2,FALSE))</f>
        <v/>
      </c>
      <c r="K17" s="737">
        <f>J17*D17</f>
        <v/>
      </c>
      <c r="L17" s="738" t="n">
        <v>0.44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hidden="1" outlineLevel="1" ht="15" customHeight="1" s="1085">
      <c r="B18" s="978" t="inlineStr">
        <is>
          <t>SPECIAL WORKS</t>
        </is>
      </c>
      <c r="C18" s="979" t="inlineStr">
        <is>
          <t>BIM/ REVIT per CANOPY</t>
        </is>
      </c>
      <c r="D18" s="980" t="n">
        <v>1</v>
      </c>
      <c r="E18" s="981">
        <f>IF(C18="","",VLOOKUP(C18,CCBASE!$A$53:$D$73,4,FALSE))</f>
        <v/>
      </c>
      <c r="F18" s="982" t="n"/>
      <c r="G18" s="977" t="n"/>
      <c r="H18" s="983" t="n"/>
      <c r="I18" s="984" t="n"/>
      <c r="J18" s="985">
        <f>IF(C18="",0,VLOOKUP(C18,CCBASE!$A$53:$C$73,2,FALSE))</f>
        <v/>
      </c>
      <c r="K18" s="986">
        <f>J18*D18</f>
        <v/>
      </c>
      <c r="L18" s="987" t="n">
        <v>0.44</v>
      </c>
      <c r="M18" s="988">
        <f>K18/(1-L18)*(1+$C$9)</f>
        <v/>
      </c>
      <c r="N18" s="986">
        <f>M18*VLOOKUP($B$9,'Base Costs'!$A$32:$B$37,2,FALSE)</f>
        <v/>
      </c>
      <c r="O18" s="989">
        <f>M18-K18</f>
        <v/>
      </c>
      <c r="P18" s="990" t="inlineStr">
        <is>
          <t>always include</t>
        </is>
      </c>
      <c r="S18" s="694" t="n"/>
      <c r="Y18" s="1095" t="n"/>
    </row>
    <row r="19" hidden="1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SELECT CLADDING</t>
        </is>
      </c>
      <c r="D19" s="756">
        <f>IF(NOT(ISBLANK(C19)), ROUNDUP($F14/1000,0), 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S19" s="694" t="n"/>
      <c r="Y19" s="1095" t="n"/>
    </row>
    <row r="20" hidden="1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hidden="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hidden="1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S22" s="694" t="n"/>
      <c r="Y22" s="1095" t="n"/>
    </row>
    <row r="23" hidden="1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>
        <f>IF(ISNA(D23),0,(VLOOKUP(D23,'Base Costs'!$Q$4:$R$14,2,FALSE)))</f>
        <v/>
      </c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hidden="1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hidden="1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hidden="1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hidden="1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collapsed="1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 xml:space="preserve">ITEM 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68">
        <f>N29-N36</f>
        <v/>
      </c>
      <c r="Q29" s="1095" t="n"/>
      <c r="R29" s="1095" t="n"/>
      <c r="S29" s="713" t="n"/>
      <c r="T29" s="1095" t="n"/>
      <c r="X29" s="1095" t="n"/>
      <c r="Y29" s="1095" t="n"/>
      <c r="Z29" s="1095" t="n"/>
    </row>
    <row r="30" hidden="1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hidden="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hidden="1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hidden="1" outlineLevel="1" ht="15" customHeight="1" s="1085">
      <c r="A33" s="666" t="n">
        <v>234</v>
      </c>
      <c r="B33" s="731" t="inlineStr">
        <is>
          <t>SPECIAL WORKS</t>
        </is>
      </c>
      <c r="C33" s="752" t="inlineStr">
        <is>
          <t>SELECT WORKS</t>
        </is>
      </c>
      <c r="D33" s="735" t="n"/>
      <c r="E33" s="753">
        <f>IF(C33="","",VLOOKUP(C33,CCBASE!$A$53:$D$73,4,FALSE))</f>
        <v/>
      </c>
      <c r="F33" s="754" t="n"/>
      <c r="G33" s="749" t="n"/>
      <c r="H33" s="750" t="n"/>
      <c r="I33" s="755" t="n"/>
      <c r="J33" s="736">
        <f>IF(C33="",0,VLOOKUP(C33,CCBASE!$A$53:$C$73,2,FALSE))</f>
        <v/>
      </c>
      <c r="K33" s="737">
        <f>J33*D33</f>
        <v/>
      </c>
      <c r="L33" s="738" t="n">
        <v>0.44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hidden="1" outlineLevel="1" ht="15" customHeight="1" s="1085">
      <c r="B34" s="731" t="inlineStr">
        <is>
          <t>SPECIAL WORKS</t>
        </is>
      </c>
      <c r="C34" s="752" t="inlineStr">
        <is>
          <t>SELECT WORKS</t>
        </is>
      </c>
      <c r="D34" s="735" t="n"/>
      <c r="E34" s="753">
        <f>IF(C34="","",VLOOKUP(C34,CCBASE!$A$53:$D$73,4,FALSE))</f>
        <v/>
      </c>
      <c r="F34" s="754" t="n"/>
      <c r="G34" s="749" t="n"/>
      <c r="H34" s="750" t="n"/>
      <c r="I34" s="755" t="n"/>
      <c r="J34" s="736">
        <f>IF(C34="",0,VLOOKUP(C34,CCBASE!$A$53:$C$73,2,FALSE))</f>
        <v/>
      </c>
      <c r="K34" s="737">
        <f>J34*D34</f>
        <v/>
      </c>
      <c r="L34" s="738" t="n">
        <v>0.44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hidden="1" outlineLevel="1" ht="15" customHeight="1" s="1085">
      <c r="B35" s="978" t="inlineStr">
        <is>
          <t>SPECIAL WORKS</t>
        </is>
      </c>
      <c r="C35" s="979" t="inlineStr">
        <is>
          <t>BIM/ REVIT per CANOPY</t>
        </is>
      </c>
      <c r="D35" s="980" t="n"/>
      <c r="E35" s="1111" t="n"/>
      <c r="G35" s="977" t="n"/>
      <c r="H35" s="983" t="n"/>
      <c r="I35" s="984" t="n"/>
      <c r="J35" s="985">
        <f>IF(C35="",0,VLOOKUP(C35,CCBASE!$A$53:$C$73,2,FALSE))</f>
        <v/>
      </c>
      <c r="K35" s="986">
        <f>J35*D35</f>
        <v/>
      </c>
      <c r="L35" s="987" t="n">
        <v>0.44</v>
      </c>
      <c r="M35" s="988">
        <f>K35/(1-L35)*(1+$C$9)</f>
        <v/>
      </c>
      <c r="N35" s="986">
        <f>M35*VLOOKUP($B$9,'Base Costs'!$A$32:$B$37,2,FALSE)</f>
        <v/>
      </c>
      <c r="O35" s="989">
        <f>M35-K35</f>
        <v/>
      </c>
      <c r="P35" s="990" t="inlineStr">
        <is>
          <t>always include</t>
        </is>
      </c>
      <c r="S35" s="694" t="n"/>
      <c r="Y35" s="1095" t="n"/>
    </row>
    <row r="36" hidden="1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SELECT CLADDING</t>
        </is>
      </c>
      <c r="D36" s="756">
        <f>IF(NOT(ISBLANK(C36)), ROUNDUP($F31/1000,0), 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Y36" s="1095" t="n"/>
    </row>
    <row r="37" hidden="1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hidden="1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hidden="1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S39" s="694" t="n"/>
      <c r="Y39" s="1095" t="n"/>
    </row>
    <row r="40" hidden="1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>
        <f>IF(ISNA(D40),0,(VLOOKUP(D40,'Base Costs'!$Q$4:$R$13,2,FALSE)))</f>
        <v/>
      </c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hidden="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hidden="1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hidden="1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hidden="1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collapsed="1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68">
        <f>N46-N53</f>
        <v/>
      </c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731" t="inlineStr">
        <is>
          <t>SPECIAL WORKS</t>
        </is>
      </c>
      <c r="C50" s="752" t="inlineStr">
        <is>
          <t>SELECT WORKS</t>
        </is>
      </c>
      <c r="D50" s="735" t="n"/>
      <c r="E50" s="753">
        <f>IF(C50="","",VLOOKUP(C50,CCBASE!$A$53:$D$73,4,FALSE))</f>
        <v/>
      </c>
      <c r="F50" s="754" t="n"/>
      <c r="G50" s="749" t="n"/>
      <c r="H50" s="750" t="n"/>
      <c r="I50" s="755" t="n"/>
      <c r="J50" s="736">
        <f>IF(C50="",0,VLOOKUP(C50,CCBASE!$A$53:$C$73,2,FALSE))</f>
        <v/>
      </c>
      <c r="K50" s="737">
        <f>J50*D50</f>
        <v/>
      </c>
      <c r="L50" s="738" t="n">
        <v>0.44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731" t="inlineStr">
        <is>
          <t>SPECIAL WORKS</t>
        </is>
      </c>
      <c r="C51" s="752" t="inlineStr">
        <is>
          <t>SELECT WORKS</t>
        </is>
      </c>
      <c r="D51" s="735" t="n"/>
      <c r="E51" s="753">
        <f>IF(C51="","",VLOOKUP(C51,CCBASE!$A$53:$D$73,4,FALSE))</f>
        <v/>
      </c>
      <c r="F51" s="754" t="n"/>
      <c r="G51" s="749" t="n"/>
      <c r="H51" s="750" t="n"/>
      <c r="I51" s="755" t="n"/>
      <c r="J51" s="736">
        <f>IF(C51="",0,VLOOKUP(C51,CCBASE!$A$53:$C$73,2,FALSE))</f>
        <v/>
      </c>
      <c r="K51" s="737">
        <f>J51*D51</f>
        <v/>
      </c>
      <c r="L51" s="738" t="n">
        <v>0.44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978" t="inlineStr">
        <is>
          <t>SPECIAL WORKS</t>
        </is>
      </c>
      <c r="C52" s="979" t="inlineStr">
        <is>
          <t>BIM/ REVIT per CANOPY</t>
        </is>
      </c>
      <c r="D52" s="980" t="n"/>
      <c r="E52" s="981">
        <f>IF(C52="","",VLOOKUP(C52,CCBASE!$A$53:$D$73,4,FALSE))</f>
        <v/>
      </c>
      <c r="F52" s="982" t="n"/>
      <c r="G52" s="977" t="n"/>
      <c r="H52" s="983" t="n"/>
      <c r="I52" s="984" t="n"/>
      <c r="J52" s="985">
        <f>IF(C52="",0,VLOOKUP(C52,CCBASE!$A$53:$C$73,2,FALSE))</f>
        <v/>
      </c>
      <c r="K52" s="986">
        <f>J52*D52</f>
        <v/>
      </c>
      <c r="L52" s="987" t="n">
        <v>0.44</v>
      </c>
      <c r="M52" s="988">
        <f>K52/(1-L52)*(1+$C$9)</f>
        <v/>
      </c>
      <c r="N52" s="986">
        <f>M52*VLOOKUP($B$9,'Base Costs'!$A$32:$B$37,2,FALSE)</f>
        <v/>
      </c>
      <c r="O52" s="989">
        <f>M52-K52</f>
        <v/>
      </c>
      <c r="P52" s="990" t="inlineStr">
        <is>
          <t>always include</t>
        </is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SELECT CLADDING</t>
        </is>
      </c>
      <c r="D53" s="756">
        <f>IF(NOT(ISBLANK(C53)), ROUNDUP($F48/1000,0), 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>
        <f>IF(ISNA(D57),0,(VLOOKUP(D57,'Base Costs'!$Q$4:$R$13,2,FALSE)))</f>
        <v/>
      </c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68">
        <f>N63-N70</f>
        <v/>
      </c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731" t="inlineStr">
        <is>
          <t>SPECIAL WORKS</t>
        </is>
      </c>
      <c r="C67" s="752" t="inlineStr">
        <is>
          <t>SELECT WORKS</t>
        </is>
      </c>
      <c r="D67" s="735" t="n"/>
      <c r="E67" s="753">
        <f>IF(C67="","",VLOOKUP(C67,CCBASE!$A$53:$D$73,4,FALSE))</f>
        <v/>
      </c>
      <c r="F67" s="754" t="n"/>
      <c r="G67" s="749" t="n"/>
      <c r="H67" s="750" t="n"/>
      <c r="I67" s="755" t="n"/>
      <c r="J67" s="736">
        <f>IF(C67="",0,VLOOKUP(C67,CCBASE!$A$53:$C$73,2,FALSE))</f>
        <v/>
      </c>
      <c r="K67" s="737">
        <f>J67*D67</f>
        <v/>
      </c>
      <c r="L67" s="738" t="n">
        <v>0.44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731" t="inlineStr">
        <is>
          <t>SPECIAL WORKS</t>
        </is>
      </c>
      <c r="C68" s="752" t="inlineStr">
        <is>
          <t>SELECT WORKS</t>
        </is>
      </c>
      <c r="D68" s="735" t="n"/>
      <c r="E68" s="753">
        <f>IF(C68="","",VLOOKUP(C68,CCBASE!$A$53:$D$73,4,FALSE))</f>
        <v/>
      </c>
      <c r="F68" s="754" t="n"/>
      <c r="G68" s="749" t="n"/>
      <c r="H68" s="750" t="n"/>
      <c r="I68" s="755" t="n"/>
      <c r="J68" s="736">
        <f>IF(C68="",0,VLOOKUP(C68,CCBASE!$A$53:$C$73,2,FALSE))</f>
        <v/>
      </c>
      <c r="K68" s="737">
        <f>J68*D68</f>
        <v/>
      </c>
      <c r="L68" s="738" t="n">
        <v>0.44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978" t="inlineStr">
        <is>
          <t>SPECIAL WORKS</t>
        </is>
      </c>
      <c r="C69" s="979" t="inlineStr">
        <is>
          <t>BIM/ REVIT per CANOPY</t>
        </is>
      </c>
      <c r="D69" s="980" t="n"/>
      <c r="E69" s="981">
        <f>IF(C69="","",VLOOKUP(C69,CCBASE!$A$53:$D$73,4,FALSE))</f>
        <v/>
      </c>
      <c r="F69" s="982" t="n"/>
      <c r="G69" s="977" t="n"/>
      <c r="H69" s="983" t="n"/>
      <c r="I69" s="984" t="n"/>
      <c r="J69" s="985">
        <f>IF(C69="",0,VLOOKUP(C69,CCBASE!$A$53:$C$73,2,FALSE))</f>
        <v/>
      </c>
      <c r="K69" s="986">
        <f>J69*D69</f>
        <v/>
      </c>
      <c r="L69" s="987" t="n">
        <v>0.44</v>
      </c>
      <c r="M69" s="988">
        <f>K69/(1-L69)*(1+$C$9)</f>
        <v/>
      </c>
      <c r="N69" s="986">
        <f>M69*VLOOKUP($B$9,'Base Costs'!$A$32:$B$37,2,FALSE)</f>
        <v/>
      </c>
      <c r="O69" s="989">
        <f>M69-K69</f>
        <v/>
      </c>
      <c r="P69" s="990" t="inlineStr">
        <is>
          <t>always include</t>
        </is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IF(NOT(ISBLANK(C70)), ROUNDUP(F65/1000,0), 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>
        <f>IF(ISNA(D74),0,(VLOOKUP(D74,'Base Costs'!$Q$4:$R$13,2,FALSE)))</f>
        <v/>
      </c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68">
        <f>N80-N87</f>
        <v/>
      </c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731" t="inlineStr">
        <is>
          <t>SPECIAL WORKS</t>
        </is>
      </c>
      <c r="C84" s="752" t="inlineStr">
        <is>
          <t>SELECT WORKS</t>
        </is>
      </c>
      <c r="D84" s="735" t="n"/>
      <c r="E84" s="753">
        <f>IF(C84="","",VLOOKUP(C84,CCBASE!$A$53:$D$73,4,FALSE))</f>
        <v/>
      </c>
      <c r="F84" s="754" t="n"/>
      <c r="G84" s="749" t="n"/>
      <c r="H84" s="750" t="n"/>
      <c r="I84" s="755" t="n"/>
      <c r="J84" s="736">
        <f>IF(C84="",0,VLOOKUP(C84,CCBASE!$A$53:$C$73,2,FALSE))</f>
        <v/>
      </c>
      <c r="K84" s="737">
        <f>J84*D84</f>
        <v/>
      </c>
      <c r="L84" s="738" t="n">
        <v>0.44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SPECIAL WORKS</t>
        </is>
      </c>
      <c r="C85" s="752" t="inlineStr">
        <is>
          <t>SELECT WORKS</t>
        </is>
      </c>
      <c r="D85" s="735" t="n"/>
      <c r="E85" s="753">
        <f>IF(C85="","",VLOOKUP(C85,CCBASE!$A$53:$D$73,4,FALSE))</f>
        <v/>
      </c>
      <c r="F85" s="754" t="n"/>
      <c r="G85" s="749" t="n"/>
      <c r="H85" s="750" t="n"/>
      <c r="I85" s="755" t="n"/>
      <c r="J85" s="736">
        <f>IF(C85="",0,VLOOKUP(C85,CCBASE!$A$53:$C$73,2,FALSE))</f>
        <v/>
      </c>
      <c r="K85" s="737">
        <f>J85*D85</f>
        <v/>
      </c>
      <c r="L85" s="738" t="n">
        <v>0.44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978" t="inlineStr">
        <is>
          <t>SPECIAL WORKS</t>
        </is>
      </c>
      <c r="C86" s="979" t="inlineStr">
        <is>
          <t>BIM/ REVIT per CANOPY</t>
        </is>
      </c>
      <c r="D86" s="980" t="n"/>
      <c r="E86" s="981">
        <f>IF(C86="","",VLOOKUP(C86,CCBASE!$A$53:$D$73,4,FALSE))</f>
        <v/>
      </c>
      <c r="F86" s="982" t="n"/>
      <c r="G86" s="977" t="n"/>
      <c r="H86" s="983" t="n"/>
      <c r="I86" s="984" t="n"/>
      <c r="J86" s="985">
        <f>IF(C86="",0,VLOOKUP(C86,CCBASE!$A$53:$C$73,2,FALSE))</f>
        <v/>
      </c>
      <c r="K86" s="986">
        <f>J86*D86</f>
        <v/>
      </c>
      <c r="L86" s="987" t="n">
        <v>0.44</v>
      </c>
      <c r="M86" s="988">
        <f>K86/(1-L86)*(1+$C$9)</f>
        <v/>
      </c>
      <c r="N86" s="986">
        <f>M86*VLOOKUP($B$9,'Base Costs'!$A$32:$B$37,2,FALSE)</f>
        <v/>
      </c>
      <c r="O86" s="989">
        <f>M86-K86</f>
        <v/>
      </c>
      <c r="P86" s="990" t="inlineStr">
        <is>
          <t>always include</t>
        </is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IF(NOT(ISBLANK(C87)), ROUNDUP(F82/1000,0), 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>
        <f>IF(ISNA(D91),0,(VLOOKUP(D91,'Base Costs'!$Q$4:$R$13,2,FALSE)))</f>
        <v/>
      </c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IF(ISNUMBER(SEARCH("UV",D99)),49.7,71.75)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68">
        <f>N97-N104</f>
        <v/>
      </c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731" t="inlineStr">
        <is>
          <t>SPECIAL WORKS</t>
        </is>
      </c>
      <c r="C101" s="752" t="inlineStr">
        <is>
          <t>SELECT WORKS</t>
        </is>
      </c>
      <c r="D101" s="735" t="n"/>
      <c r="E101" s="753">
        <f>IF(C101="","",VLOOKUP(C101,CCBASE!$A$53:$D$73,4,FALSE))</f>
        <v/>
      </c>
      <c r="F101" s="754" t="n"/>
      <c r="G101" s="749" t="n"/>
      <c r="H101" s="750" t="n"/>
      <c r="I101" s="755" t="n"/>
      <c r="J101" s="736">
        <f>IF(C101="",0,VLOOKUP(C101,CCBASE!$A$53:$C$73,2,FALSE))</f>
        <v/>
      </c>
      <c r="K101" s="737">
        <f>J101*D101</f>
        <v/>
      </c>
      <c r="L101" s="738" t="n">
        <v>0.44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584" t="inlineStr">
        <is>
          <t>SPECIAL WORKS</t>
        </is>
      </c>
      <c r="C102" s="33" t="inlineStr">
        <is>
          <t>SELECT WORKS</t>
        </is>
      </c>
      <c r="D102" s="735" t="n"/>
      <c r="E102" s="753">
        <f>IF(C102="","",VLOOKUP(C102,CCBASE!$A$53:$D$73,4,FALSE))</f>
        <v/>
      </c>
      <c r="F102" s="754" t="n"/>
      <c r="G102" s="749" t="n"/>
      <c r="H102" s="750" t="n"/>
      <c r="I102" s="755" t="n"/>
      <c r="J102" s="736">
        <f>IF(C102="",0,VLOOKUP(C102,CCBASE!$A$53:$C$73,2,FALSE))</f>
        <v/>
      </c>
      <c r="K102" s="737">
        <f>J102*D102</f>
        <v/>
      </c>
      <c r="L102" s="738" t="n">
        <v>0.44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991" t="inlineStr">
        <is>
          <t>SPECIAL WORKS</t>
        </is>
      </c>
      <c r="C103" s="992" t="inlineStr">
        <is>
          <t>BIM/ REVIT per CANOPY</t>
        </is>
      </c>
      <c r="D103" s="980" t="n"/>
      <c r="E103" s="981">
        <f>IF(C103="","",VLOOKUP(C103,CCBASE!$A$53:$D$73,4,FALSE))</f>
        <v/>
      </c>
      <c r="F103" s="982" t="n"/>
      <c r="G103" s="977" t="n"/>
      <c r="H103" s="983" t="n"/>
      <c r="I103" s="984" t="n"/>
      <c r="J103" s="985">
        <f>IF(C103="",0,VLOOKUP(C103,CCBASE!$A$53:$C$73,2,FALSE))</f>
        <v/>
      </c>
      <c r="K103" s="986">
        <f>J103*D103</f>
        <v/>
      </c>
      <c r="L103" s="987" t="n">
        <v>0.44</v>
      </c>
      <c r="M103" s="988">
        <f>K103/(1-L103)*(1+$C$9)</f>
        <v/>
      </c>
      <c r="N103" s="986">
        <f>M103*VLOOKUP($B$9,'Base Costs'!$A$32:$B$37,2,FALSE)</f>
        <v/>
      </c>
      <c r="O103" s="989">
        <f>M103-K103</f>
        <v/>
      </c>
      <c r="P103" s="990" t="inlineStr">
        <is>
          <t>always include</t>
        </is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IF(NOT(ISBLANK(C104)), ROUNDUP(F99/1000,0), 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>
        <f>IF(ISNA(D108),0,(VLOOKUP(D108,'Base Costs'!$Q$4:$R$13,2,FALSE)))</f>
        <v/>
      </c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IF(ISNUMBER(SEARCH("UV",D116)),49.7,71.75)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68">
        <f>N114-N121</f>
        <v/>
      </c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731" t="inlineStr">
        <is>
          <t>SPECIAL WORKS</t>
        </is>
      </c>
      <c r="C118" s="752" t="inlineStr">
        <is>
          <t>SELECT WORKS</t>
        </is>
      </c>
      <c r="D118" s="735" t="n"/>
      <c r="E118" s="753">
        <f>IF(C118="","",VLOOKUP(C118,CCBASE!$A$53:$D$73,4,FALSE))</f>
        <v/>
      </c>
      <c r="F118" s="754" t="n"/>
      <c r="G118" s="749" t="n"/>
      <c r="H118" s="750" t="n"/>
      <c r="I118" s="755" t="n"/>
      <c r="J118" s="736">
        <f>IF(C118="",0,VLOOKUP(C118,CCBASE!$A$53:$C$73,2,FALSE))</f>
        <v/>
      </c>
      <c r="K118" s="737">
        <f>J118*D118</f>
        <v/>
      </c>
      <c r="L118" s="738" t="n">
        <v>0.44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584" t="inlineStr">
        <is>
          <t>SPECIAL WORKS</t>
        </is>
      </c>
      <c r="C119" s="33" t="inlineStr">
        <is>
          <t>SELECT WORKS</t>
        </is>
      </c>
      <c r="D119" s="735" t="n"/>
      <c r="E119" s="753">
        <f>IF(C119="","",VLOOKUP(C119,CCBASE!$A$53:$D$73,4,FALSE))</f>
        <v/>
      </c>
      <c r="F119" s="754" t="n"/>
      <c r="G119" s="749" t="n"/>
      <c r="H119" s="750" t="n"/>
      <c r="I119" s="755" t="n"/>
      <c r="J119" s="736">
        <f>IF(C119="",0,VLOOKUP(C119,CCBASE!$A$53:$C$73,2,FALSE))</f>
        <v/>
      </c>
      <c r="K119" s="737">
        <f>J119*D119</f>
        <v/>
      </c>
      <c r="L119" s="738" t="n">
        <v>0.44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991" t="inlineStr">
        <is>
          <t>SPECIAL WORKS</t>
        </is>
      </c>
      <c r="C120" s="992" t="inlineStr">
        <is>
          <t>BIM/ REVIT per CANOPY</t>
        </is>
      </c>
      <c r="D120" s="980" t="n"/>
      <c r="E120" s="981">
        <f>IF(C120="","",VLOOKUP(C120,CCBASE!$A$53:$D$73,4,FALSE))</f>
        <v/>
      </c>
      <c r="F120" s="982" t="n"/>
      <c r="G120" s="977" t="n"/>
      <c r="H120" s="983" t="n"/>
      <c r="I120" s="984" t="n"/>
      <c r="J120" s="985">
        <f>IF(C120="",0,VLOOKUP(C120,CCBASE!$A$53:$C$73,2,FALSE))</f>
        <v/>
      </c>
      <c r="K120" s="986">
        <f>J120*D120</f>
        <v/>
      </c>
      <c r="L120" s="987" t="n">
        <v>0.44</v>
      </c>
      <c r="M120" s="988">
        <f>K120/(1-L120)*(1+$C$9)</f>
        <v/>
      </c>
      <c r="N120" s="986">
        <f>M120*VLOOKUP($B$9,'Base Costs'!$A$32:$B$37,2,FALSE)</f>
        <v/>
      </c>
      <c r="O120" s="989">
        <f>M120-K120</f>
        <v/>
      </c>
      <c r="P120" s="990" t="inlineStr">
        <is>
          <t>always include</t>
        </is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IF(NOT(ISBLANK(C121)), ROUNDUP(F116/1000,0), 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>
        <f>IF(ISNA(D125),0,(VLOOKUP(D125,'Base Costs'!$Q$4:$R$13,2,FALSE)))</f>
        <v/>
      </c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68">
        <f>N131-N138</f>
        <v/>
      </c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733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731" t="inlineStr">
        <is>
          <t>SPECIAL WORKS</t>
        </is>
      </c>
      <c r="C135" s="752" t="inlineStr">
        <is>
          <t>SELECT WORKS</t>
        </is>
      </c>
      <c r="D135" s="735" t="n"/>
      <c r="E135" s="753">
        <f>IF(C135="","",VLOOKUP(C135,CCBASE!$A$53:$D$73,4,FALSE))</f>
        <v/>
      </c>
      <c r="F135" s="754" t="n"/>
      <c r="G135" s="749" t="n"/>
      <c r="H135" s="750" t="n"/>
      <c r="I135" s="755" t="n"/>
      <c r="J135" s="736">
        <f>IF(C135="",0,VLOOKUP(C135,CCBASE!$A$53:$C$73,2,FALSE))</f>
        <v/>
      </c>
      <c r="K135" s="737">
        <f>J135*D135</f>
        <v/>
      </c>
      <c r="L135" s="738" t="n">
        <v>0.44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584" t="inlineStr">
        <is>
          <t>SPECIAL WORKS</t>
        </is>
      </c>
      <c r="C136" s="33" t="inlineStr">
        <is>
          <t>SELECT WORKS</t>
        </is>
      </c>
      <c r="D136" s="735" t="n"/>
      <c r="E136" s="753">
        <f>IF(C136="","",VLOOKUP(C136,CCBASE!$A$53:$D$73,4,FALSE))</f>
        <v/>
      </c>
      <c r="F136" s="754" t="n"/>
      <c r="G136" s="749" t="n"/>
      <c r="H136" s="750" t="n"/>
      <c r="I136" s="755" t="n"/>
      <c r="J136" s="736">
        <f>IF(C136="",0,VLOOKUP(C136,CCBASE!$A$53:$C$73,2,FALSE))</f>
        <v/>
      </c>
      <c r="K136" s="737">
        <f>J136*D136</f>
        <v/>
      </c>
      <c r="L136" s="738" t="n">
        <v>0.44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991" t="inlineStr">
        <is>
          <t>SPECIAL WORKS</t>
        </is>
      </c>
      <c r="C137" s="992" t="inlineStr">
        <is>
          <t>BIM/ REVIT per CANOPY</t>
        </is>
      </c>
      <c r="D137" s="980" t="n"/>
      <c r="E137" s="981">
        <f>IF(C137="","",VLOOKUP(C137,CCBASE!$A$53:$D$73,4,FALSE))</f>
        <v/>
      </c>
      <c r="F137" s="982" t="n"/>
      <c r="G137" s="977" t="n"/>
      <c r="H137" s="983" t="n"/>
      <c r="I137" s="984" t="n"/>
      <c r="J137" s="985">
        <f>IF(C137="",0,VLOOKUP(C137,CCBASE!$A$53:$C$73,2,FALSE))</f>
        <v/>
      </c>
      <c r="K137" s="986">
        <f>J137*D137</f>
        <v/>
      </c>
      <c r="L137" s="987" t="n">
        <v>0.44</v>
      </c>
      <c r="M137" s="988">
        <f>K137/(1-L137)*(1+$C$9)</f>
        <v/>
      </c>
      <c r="N137" s="986">
        <f>M137*VLOOKUP($B$9,'Base Costs'!$A$32:$B$37,2,FALSE)</f>
        <v/>
      </c>
      <c r="O137" s="989">
        <f>M137-K137</f>
        <v/>
      </c>
      <c r="P137" s="990" t="inlineStr">
        <is>
          <t>always include</t>
        </is>
      </c>
      <c r="S137" s="694" t="n"/>
      <c r="Y137" s="1095" t="n"/>
    </row>
    <row r="138" hidden="1" outlineLevel="1" ht="15" customHeight="1" s="1085">
      <c r="A138" s="666" t="n">
        <v>289</v>
      </c>
      <c r="B138" s="584" t="inlineStr">
        <is>
          <t>WALL CLADDING</t>
        </is>
      </c>
      <c r="C138" s="33" t="inlineStr">
        <is>
          <t>SELECT CLADDING</t>
        </is>
      </c>
      <c r="D138" s="756">
        <f>IF(NOT(ISBLANK(C138)), ROUNDUP(F133/1000,0), 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584" t="inlineStr">
        <is>
          <t>INFILL PANEL</t>
        </is>
      </c>
      <c r="C139" s="752" t="n"/>
      <c r="D139" s="742" t="inlineStr">
        <is>
          <t>m²</t>
        </is>
      </c>
      <c r="E139" s="749" t="n"/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>
        <f>IF(ISNA(D142),0,(VLOOKUP(D142,'Base Costs'!$Q$4:$R$13,2,FALSE)))</f>
        <v/>
      </c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IF(ISNUMBER(SEARCH("UV",D150)),49.7,71.75)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68">
        <f>N148-N155</f>
        <v/>
      </c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731" t="inlineStr">
        <is>
          <t>SPECIAL WORKS</t>
        </is>
      </c>
      <c r="C152" s="752" t="inlineStr">
        <is>
          <t>SELECT WORKS</t>
        </is>
      </c>
      <c r="D152" s="735" t="n"/>
      <c r="E152" s="753">
        <f>IF(C152="","",VLOOKUP(C152,CCBASE!$A$53:$D$73,4,FALSE))</f>
        <v/>
      </c>
      <c r="F152" s="754" t="n"/>
      <c r="G152" s="749" t="n"/>
      <c r="H152" s="750" t="n"/>
      <c r="I152" s="755" t="n"/>
      <c r="J152" s="736">
        <f>IF(C152="",0,VLOOKUP(C152,CCBASE!$A$53:$C$73,2,FALSE))</f>
        <v/>
      </c>
      <c r="K152" s="737">
        <f>J152*D152</f>
        <v/>
      </c>
      <c r="L152" s="738" t="n">
        <v>0.44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584" t="inlineStr">
        <is>
          <t>SPECIAL WORKS</t>
        </is>
      </c>
      <c r="C153" s="33" t="inlineStr">
        <is>
          <t>SELECT WORKS</t>
        </is>
      </c>
      <c r="D153" s="735" t="n"/>
      <c r="E153" s="753">
        <f>IF(C153="","",VLOOKUP(C153,CCBASE!$A$53:$D$73,4,FALSE))</f>
        <v/>
      </c>
      <c r="F153" s="754" t="n"/>
      <c r="G153" s="749" t="n"/>
      <c r="H153" s="750" t="n"/>
      <c r="I153" s="755" t="n"/>
      <c r="J153" s="736">
        <f>IF(C153="",0,VLOOKUP(C153,CCBASE!$A$53:$C$73,2,FALSE))</f>
        <v/>
      </c>
      <c r="K153" s="737">
        <f>J153*D153</f>
        <v/>
      </c>
      <c r="L153" s="738" t="n">
        <v>0.44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991" t="inlineStr">
        <is>
          <t>SPECIAL WORKS</t>
        </is>
      </c>
      <c r="C154" s="992" t="inlineStr">
        <is>
          <t>BIM/ REVIT per CANOPY</t>
        </is>
      </c>
      <c r="D154" s="980" t="n"/>
      <c r="E154" s="981">
        <f>IF(C154="","",VLOOKUP(C154,CCBASE!$A$53:$D$73,4,FALSE))</f>
        <v/>
      </c>
      <c r="F154" s="982" t="n"/>
      <c r="G154" s="977" t="n"/>
      <c r="H154" s="983" t="n"/>
      <c r="I154" s="984" t="n"/>
      <c r="J154" s="985">
        <f>IF(C154="",0,VLOOKUP(C154,CCBASE!$A$53:$C$73,2,FALSE))</f>
        <v/>
      </c>
      <c r="K154" s="986">
        <f>J154*D154</f>
        <v/>
      </c>
      <c r="L154" s="987" t="n">
        <v>0.44</v>
      </c>
      <c r="M154" s="988">
        <f>K154/(1-L154)*(1+$C$9)</f>
        <v/>
      </c>
      <c r="N154" s="986">
        <f>M154*VLOOKUP($B$9,'Base Costs'!$A$32:$B$37,2,FALSE)</f>
        <v/>
      </c>
      <c r="O154" s="989">
        <f>M154-K154</f>
        <v/>
      </c>
      <c r="P154" s="990" t="inlineStr">
        <is>
          <t>always include</t>
        </is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IF(NOT(ISBLANK(C155)), ROUNDUP(F150/1000,0), 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>
        <f>IF(ISNA(D159),0,(VLOOKUP(D159,'Base Costs'!$Q$4:$R$13,2,FALSE)))</f>
        <v/>
      </c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IF(ISNUMBER(SEARCH("UV",D167)),49.7,71.75)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68">
        <f>N165-N172</f>
        <v/>
      </c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731" t="inlineStr">
        <is>
          <t>SPECIAL WORKS</t>
        </is>
      </c>
      <c r="C169" s="752" t="inlineStr">
        <is>
          <t>SELECT WORKS</t>
        </is>
      </c>
      <c r="D169" s="735" t="n"/>
      <c r="E169" s="753">
        <f>IF(C169="","",VLOOKUP(C169,CCBASE!$A$53:$D$73,4,FALSE))</f>
        <v/>
      </c>
      <c r="F169" s="754" t="n"/>
      <c r="G169" s="749" t="n"/>
      <c r="H169" s="750" t="n"/>
      <c r="I169" s="755" t="n"/>
      <c r="J169" s="736">
        <f>IF(C169="",0,VLOOKUP(C169,CCBASE!$A$53:$C$73,2,FALSE))</f>
        <v/>
      </c>
      <c r="K169" s="737">
        <f>J169*D169</f>
        <v/>
      </c>
      <c r="L169" s="738" t="n">
        <v>0.44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584" t="inlineStr">
        <is>
          <t>SPECIAL WORKS</t>
        </is>
      </c>
      <c r="C170" s="33" t="inlineStr">
        <is>
          <t>SELECT WORKS</t>
        </is>
      </c>
      <c r="D170" s="735" t="n"/>
      <c r="E170" s="753">
        <f>IF(C170="","",VLOOKUP(C170,CCBASE!$A$53:$D$73,4,FALSE))</f>
        <v/>
      </c>
      <c r="F170" s="754" t="n"/>
      <c r="G170" s="749" t="n"/>
      <c r="H170" s="750" t="n"/>
      <c r="I170" s="755" t="n"/>
      <c r="J170" s="736">
        <f>IF(C170="",0,VLOOKUP(C170,CCBASE!$A$53:$C$73,2,FALSE))</f>
        <v/>
      </c>
      <c r="K170" s="737">
        <f>J170*D170</f>
        <v/>
      </c>
      <c r="L170" s="738" t="n">
        <v>0.44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991" t="inlineStr">
        <is>
          <t>SPECIAL WORKS</t>
        </is>
      </c>
      <c r="C171" s="992" t="inlineStr">
        <is>
          <t>BIM/ REVIT per CANOPY</t>
        </is>
      </c>
      <c r="D171" s="980" t="n"/>
      <c r="E171" s="981">
        <f>IF(C171="","",VLOOKUP(C171,CCBASE!$A$53:$D$73,4,FALSE))</f>
        <v/>
      </c>
      <c r="F171" s="982" t="n"/>
      <c r="G171" s="977" t="n"/>
      <c r="H171" s="983" t="n"/>
      <c r="I171" s="984" t="n"/>
      <c r="J171" s="985">
        <f>IF(C171="",0,VLOOKUP(C171,CCBASE!$A$53:$C$73,2,FALSE))</f>
        <v/>
      </c>
      <c r="K171" s="986">
        <f>J171*D171</f>
        <v/>
      </c>
      <c r="L171" s="987" t="n">
        <v>0.44</v>
      </c>
      <c r="M171" s="988">
        <f>K171/(1-L171)*(1+$C$9)</f>
        <v/>
      </c>
      <c r="N171" s="986">
        <f>M171*VLOOKUP($B$9,'Base Costs'!$A$32:$B$37,2,FALSE)</f>
        <v/>
      </c>
      <c r="O171" s="989">
        <f>M171-K171</f>
        <v/>
      </c>
      <c r="P171" s="990" t="inlineStr">
        <is>
          <t>always include</t>
        </is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IF(NOT(ISBLANK(C172)), ROUNDUP(F167/1000,0), 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>
        <f>IF(ISNA(D176),0,(VLOOKUP(D176,'Base Costs'!$Q$4:$R$13,2,FALSE)))</f>
        <v/>
      </c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10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P182" s="1068">
        <f>N182-N193</f>
        <v/>
      </c>
      <c r="S182" s="694" t="n"/>
    </row>
    <row r="183" ht="15" customHeight="1" s="1085">
      <c r="A183" s="666" t="n">
        <v>222</v>
      </c>
      <c r="B183" s="589" t="inlineStr">
        <is>
          <t>DELIVERY 1 x 7.5T TAIL LIFT 3200KGS</t>
        </is>
      </c>
      <c r="C183" s="774" t="n"/>
      <c r="D183" s="775" t="inlineStr">
        <is>
          <t>SELECT LOCATION…</t>
        </is>
      </c>
      <c r="E183" s="1111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Q183" s="745" t="n"/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/>
      <c r="D184" s="775" t="inlineStr">
        <is>
          <t>PLANT SELECTION (weekly)</t>
        </is>
      </c>
      <c r="E184" s="1108" t="inlineStr">
        <is>
          <t>Install of 6no Pieces of Canopy Max</t>
        </is>
      </c>
      <c r="G184" s="748" t="n"/>
      <c r="H184" s="748" t="n"/>
      <c r="I184" s="748" t="n"/>
      <c r="J184" s="776">
        <f>VLOOKUP(D184,'Base Costs'!$A$3:$B$15,2,FALSE)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269" t="inlineStr">
        <is>
          <t xml:space="preserve">PLANT HIRE </t>
        </is>
      </c>
      <c r="C185" s="777" t="n"/>
      <c r="D185" s="775" t="inlineStr">
        <is>
          <t>PLANT SELECTION (weekly)</t>
        </is>
      </c>
      <c r="E185" s="1108" t="inlineStr">
        <is>
          <t>Install of 6no Pieces of Canopy Max</t>
        </is>
      </c>
      <c r="G185" s="748" t="n"/>
      <c r="H185" s="748" t="n"/>
      <c r="I185" s="748" t="n"/>
      <c r="J185" s="776">
        <f>VLOOKUP(D185,'Base Costs'!$A$3:$B$15,2,FALSE)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S185" s="694" t="n"/>
    </row>
    <row r="186" ht="15" customHeight="1" s="1085">
      <c r="A186" s="666" t="n">
        <v>222</v>
      </c>
      <c r="B186" s="270" t="n"/>
      <c r="C186" s="946" t="n"/>
      <c r="D186" s="775" t="inlineStr">
        <is>
          <t>SELECT LOCATION…</t>
        </is>
      </c>
      <c r="E186" s="1109" t="n"/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610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>
        <f>ROUNDUP((IF(C14="WALL",(F14/1000),(F14/1000)*2)+IF(C31="WALL",(F31/1000),(F31/1000)*2)+IF(C48="WALL",(F48/1000),(F48/1000)*2)+IF(C65="WALL",(F65/1000),(F65/1000)*2)+IF(C82="WALL",(F82/1000),(F82/1000)*2)+IF(C99="WALL",(F99/1000),(F99/1000)*2)+IF(C116="WALL",(F116/1000),(F116/1000)*2)+IF(C133="WALL",(F133/1000),(F133/1000)*2)+IF(C150="WALL",(F150/1000),(F150/1000)*2)+IF(C167="WALL",(F167/1000),(F167/1000)*2)),0)</f>
        <v/>
      </c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731" t="inlineStr">
        <is>
          <t>INSTALLATION NORMAL HOURS</t>
        </is>
      </c>
      <c r="C189" s="777" t="n"/>
      <c r="D189" s="1102" t="inlineStr">
        <is>
          <t>2 Pieces = 1 Day, 4 Pieces = 1.5 Days, 6 Pieces = 2 Days, 8 Pieces = 2.5 Days (1 Section up to 3m long equals 2 Pieces) + logistics</t>
        </is>
      </c>
      <c r="J189" s="776" t="n">
        <v>610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S189" s="694" t="n"/>
    </row>
    <row r="190" ht="15" customHeight="1" s="1085">
      <c r="A190" s="666" t="n">
        <v>400</v>
      </c>
      <c r="B190" s="731" t="inlineStr">
        <is>
          <t>INSTALLATION AFTER HOURS</t>
        </is>
      </c>
      <c r="C190" s="777" t="n"/>
      <c r="D190" s="1102" t="inlineStr">
        <is>
          <t>2 Pieces = 1 Day, 4 Pieces = 1.5 Days, 6 Pieces = 2 Days, 8 Pieces = 2.5 Days (1 Section up to 3m long equals 2 Pieces) + logistics</t>
        </is>
      </c>
      <c r="J190" s="776" t="n">
        <v>1220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610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220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15" t="inlineStr">
        <is>
          <t>ONE Engineer,  1 day per 4no UV or W/W Sections of Canopy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9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09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20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2">
    <mergeCell ref="B203:O203"/>
    <mergeCell ref="H91:I91"/>
    <mergeCell ref="D189:I189"/>
    <mergeCell ref="E121:F121"/>
    <mergeCell ref="H38:I38"/>
    <mergeCell ref="H125:I125"/>
    <mergeCell ref="B200:O200"/>
    <mergeCell ref="G186:I186"/>
    <mergeCell ref="D194:F194"/>
    <mergeCell ref="C5:D5"/>
    <mergeCell ref="H141:I141"/>
    <mergeCell ref="E185:F185"/>
    <mergeCell ref="D197:F197"/>
    <mergeCell ref="B182:G182"/>
    <mergeCell ref="B202:O202"/>
    <mergeCell ref="H55:I55"/>
    <mergeCell ref="H40:I40"/>
    <mergeCell ref="H74:I74"/>
    <mergeCell ref="H176:I176"/>
    <mergeCell ref="H56:I56"/>
    <mergeCell ref="P7:R7"/>
    <mergeCell ref="E35:F35"/>
    <mergeCell ref="H39:I39"/>
    <mergeCell ref="E87:F87"/>
    <mergeCell ref="G9:J9"/>
    <mergeCell ref="H21:I21"/>
    <mergeCell ref="H73:I73"/>
    <mergeCell ref="H157:I157"/>
    <mergeCell ref="D195:E195"/>
    <mergeCell ref="D193:F193"/>
    <mergeCell ref="E138:F138"/>
    <mergeCell ref="E19:F19"/>
    <mergeCell ref="H142:I142"/>
    <mergeCell ref="E155:F155"/>
    <mergeCell ref="H89:I89"/>
    <mergeCell ref="H123:I123"/>
    <mergeCell ref="G5:J5"/>
    <mergeCell ref="B1:C1"/>
    <mergeCell ref="E9:F9"/>
    <mergeCell ref="H108:I108"/>
    <mergeCell ref="H106:I106"/>
    <mergeCell ref="E186:F186"/>
    <mergeCell ref="G183:I183"/>
    <mergeCell ref="E104:F104"/>
    <mergeCell ref="H72:I72"/>
    <mergeCell ref="H174:I174"/>
    <mergeCell ref="H90:I90"/>
    <mergeCell ref="B205:O205"/>
    <mergeCell ref="H57:I57"/>
    <mergeCell ref="G7:J7"/>
    <mergeCell ref="H159:I159"/>
    <mergeCell ref="E36:F36"/>
    <mergeCell ref="H22:I22"/>
    <mergeCell ref="E70:F70"/>
    <mergeCell ref="H140:I140"/>
    <mergeCell ref="H158:I158"/>
    <mergeCell ref="D196:E196"/>
    <mergeCell ref="E172:F172"/>
    <mergeCell ref="C7:D7"/>
    <mergeCell ref="D190:I190"/>
    <mergeCell ref="G3:J3"/>
    <mergeCell ref="E183:F183"/>
    <mergeCell ref="H124:I124"/>
    <mergeCell ref="B201:O201"/>
    <mergeCell ref="E184:F184"/>
    <mergeCell ref="H107:I107"/>
    <mergeCell ref="E53:F53"/>
    <mergeCell ref="B204:O204"/>
    <mergeCell ref="H23:I23"/>
    <mergeCell ref="C3:D3"/>
    <mergeCell ref="P5:T5"/>
    <mergeCell ref="H175:I175"/>
  </mergeCells>
  <conditionalFormatting sqref="B9">
    <cfRule type="containsText" priority="663" operator="containsText" dxfId="680" text="SELECT">
      <formula>NOT(ISERROR(SEARCH("SELECT",B9)))</formula>
    </cfRule>
    <cfRule type="expression" priority="664" dxfId="680">
      <formula>B9="CURRENCY"</formula>
    </cfRule>
  </conditionalFormatting>
  <conditionalFormatting sqref="B11">
    <cfRule type="expression" priority="626" dxfId="637">
      <formula>$B11&lt;&gt;""</formula>
    </cfRule>
  </conditionalFormatting>
  <conditionalFormatting sqref="B14:B23">
    <cfRule type="expression" priority="618" dxfId="633">
      <formula>$J14&gt;0</formula>
    </cfRule>
  </conditionalFormatting>
  <conditionalFormatting sqref="B24">
    <cfRule type="expression" priority="615" dxfId="633">
      <formula>ISNUMBER(SEARCH("UV",$D14))</formula>
    </cfRule>
    <cfRule type="expression" priority="616" dxfId="358">
      <formula>($D14="CANOPY TYPE")</formula>
    </cfRule>
  </conditionalFormatting>
  <conditionalFormatting sqref="B25:B27">
    <cfRule type="expression" priority="443" dxfId="633">
      <formula>$J25&gt;0</formula>
    </cfRule>
  </conditionalFormatting>
  <conditionalFormatting sqref="B28">
    <cfRule type="expression" priority="624" dxfId="637">
      <formula>$B28&lt;&gt;""</formula>
    </cfRule>
  </conditionalFormatting>
  <conditionalFormatting sqref="B31:B40">
    <cfRule type="expression" priority="388" dxfId="633">
      <formula>$J31&gt;0</formula>
    </cfRule>
  </conditionalFormatting>
  <conditionalFormatting sqref="B41">
    <cfRule type="expression" priority="583" dxfId="633">
      <formula>ISNUMBER(SEARCH("UV",$D31))</formula>
    </cfRule>
    <cfRule type="expression" priority="584" dxfId="358">
      <formula>($D31="CANOPY TYPE")</formula>
    </cfRule>
  </conditionalFormatting>
  <conditionalFormatting sqref="B42:B44">
    <cfRule type="expression" priority="585" dxfId="633">
      <formula>$J42&gt;0</formula>
    </cfRule>
  </conditionalFormatting>
  <conditionalFormatting sqref="B45">
    <cfRule type="expression" priority="623" dxfId="637">
      <formula>$B45&lt;&gt;""</formula>
    </cfRule>
  </conditionalFormatting>
  <conditionalFormatting sqref="B48:B57">
    <cfRule type="expression" priority="103" dxfId="633">
      <formula>$J48&gt;0</formula>
    </cfRule>
  </conditionalFormatting>
  <conditionalFormatting sqref="B58">
    <cfRule type="expression" priority="557" dxfId="358">
      <formula>($D48="CANOPY TYPE")</formula>
    </cfRule>
    <cfRule type="expression" priority="556" dxfId="633">
      <formula>ISNUMBER(SEARCH("UV",$D48))</formula>
    </cfRule>
  </conditionalFormatting>
  <conditionalFormatting sqref="B59:B61">
    <cfRule type="expression" priority="442" dxfId="633">
      <formula>$J59&gt;0</formula>
    </cfRule>
  </conditionalFormatting>
  <conditionalFormatting sqref="B62">
    <cfRule type="expression" priority="622" dxfId="637">
      <formula>$B62&lt;&gt;""</formula>
    </cfRule>
  </conditionalFormatting>
  <conditionalFormatting sqref="B65:B74">
    <cfRule type="expression" priority="89" dxfId="633">
      <formula>$J65&gt;0</formula>
    </cfRule>
  </conditionalFormatting>
  <conditionalFormatting sqref="B75">
    <cfRule type="expression" priority="528" dxfId="633">
      <formula>ISNUMBER(SEARCH("UV",$D65))</formula>
    </cfRule>
    <cfRule type="expression" priority="529" dxfId="358">
      <formula>($D65="CANOPY TYPE")</formula>
    </cfRule>
  </conditionalFormatting>
  <conditionalFormatting sqref="B76:B78">
    <cfRule type="expression" priority="441" dxfId="633">
      <formula>$J76&gt;0</formula>
    </cfRule>
  </conditionalFormatting>
  <conditionalFormatting sqref="B79">
    <cfRule type="expression" priority="621" dxfId="637">
      <formula>$B79&lt;&gt;""</formula>
    </cfRule>
  </conditionalFormatting>
  <conditionalFormatting sqref="B82:B91">
    <cfRule type="expression" priority="75" dxfId="633">
      <formula>$J82&gt;0</formula>
    </cfRule>
  </conditionalFormatting>
  <conditionalFormatting sqref="B92">
    <cfRule type="expression" priority="499" dxfId="633">
      <formula>ISNUMBER(SEARCH("UV",$D82))</formula>
    </cfRule>
    <cfRule type="expression" priority="500" dxfId="358">
      <formula>($D82="CANOPY TYPE")</formula>
    </cfRule>
  </conditionalFormatting>
  <conditionalFormatting sqref="B93:B95">
    <cfRule type="expression" priority="440" dxfId="633">
      <formula>$J93&gt;0</formula>
    </cfRule>
  </conditionalFormatting>
  <conditionalFormatting sqref="B96">
    <cfRule type="expression" priority="620" dxfId="637">
      <formula>$B96&lt;&gt;""</formula>
    </cfRule>
  </conditionalFormatting>
  <conditionalFormatting sqref="B99:B108">
    <cfRule type="expression" priority="61" dxfId="633">
      <formula>$J99&gt;0</formula>
    </cfRule>
  </conditionalFormatting>
  <conditionalFormatting sqref="B109">
    <cfRule type="expression" priority="472" dxfId="358">
      <formula>($D99="CANOPY TYPE")</formula>
    </cfRule>
    <cfRule type="expression" priority="471" dxfId="633">
      <formula>ISNUMBER(SEARCH("UV",$D99))</formula>
    </cfRule>
  </conditionalFormatting>
  <conditionalFormatting sqref="B110:B112 B127:B129 B144:B146 B161:B163 B178:B180">
    <cfRule type="expression" priority="439" dxfId="633">
      <formula>$J110&gt;0</formula>
    </cfRule>
  </conditionalFormatting>
  <conditionalFormatting sqref="B113">
    <cfRule type="expression" priority="320" dxfId="637">
      <formula>$B113&lt;&gt;""</formula>
    </cfRule>
  </conditionalFormatting>
  <conditionalFormatting sqref="B116:B125">
    <cfRule type="expression" priority="47" dxfId="633">
      <formula>$J116&gt;0</formula>
    </cfRule>
  </conditionalFormatting>
  <conditionalFormatting sqref="B126">
    <cfRule type="expression" priority="295" dxfId="633">
      <formula>ISNUMBER(SEARCH("UV",$D116))</formula>
    </cfRule>
    <cfRule type="expression" priority="296" dxfId="358">
      <formula>($D116="CANOPY TYPE")</formula>
    </cfRule>
  </conditionalFormatting>
  <conditionalFormatting sqref="B130">
    <cfRule type="expression" priority="265" dxfId="637">
      <formula>$B130&lt;&gt;""</formula>
    </cfRule>
  </conditionalFormatting>
  <conditionalFormatting sqref="B133:B142">
    <cfRule type="expression" priority="33" dxfId="633">
      <formula>$J133&gt;0</formula>
    </cfRule>
  </conditionalFormatting>
  <conditionalFormatting sqref="B143">
    <cfRule type="expression" priority="241" dxfId="358">
      <formula>($D133="CANOPY TYPE")</formula>
    </cfRule>
    <cfRule type="expression" priority="240" dxfId="633">
      <formula>ISNUMBER(SEARCH("UV",$D133))</formula>
    </cfRule>
  </conditionalFormatting>
  <conditionalFormatting sqref="B147">
    <cfRule type="expression" priority="214" dxfId="637">
      <formula>$B147&lt;&gt;""</formula>
    </cfRule>
  </conditionalFormatting>
  <conditionalFormatting sqref="B150:B159">
    <cfRule type="expression" priority="19" dxfId="633">
      <formula>$J150&gt;0</formula>
    </cfRule>
  </conditionalFormatting>
  <conditionalFormatting sqref="B160">
    <cfRule type="expression" priority="190" dxfId="358">
      <formula>($D150="CANOPY TYPE")</formula>
    </cfRule>
    <cfRule type="expression" priority="189" dxfId="633">
      <formula>ISNUMBER(SEARCH("UV",$D150))</formula>
    </cfRule>
  </conditionalFormatting>
  <conditionalFormatting sqref="B164">
    <cfRule type="expression" priority="163" dxfId="637">
      <formula>$B164&lt;&gt;""</formula>
    </cfRule>
  </conditionalFormatting>
  <conditionalFormatting sqref="B167:B176">
    <cfRule type="expression" priority="5" dxfId="633">
      <formula>$J167&gt;0</formula>
    </cfRule>
  </conditionalFormatting>
  <conditionalFormatting sqref="B177">
    <cfRule type="expression" priority="138" dxfId="633">
      <formula>ISNUMBER(SEARCH("UV",$D167))</formula>
    </cfRule>
    <cfRule type="expression" priority="139" dxfId="358">
      <formula>($D167="CANOPY TYPE")</formula>
    </cfRule>
  </conditionalFormatting>
  <conditionalFormatting sqref="B183:B197">
    <cfRule type="expression" priority="617" dxfId="633">
      <formula>$C183&gt;0</formula>
    </cfRule>
  </conditionalFormatting>
  <conditionalFormatting sqref="C14">
    <cfRule type="containsText" priority="429" operator="containsText" dxfId="204" text="CONFIG">
      <formula>NOT(ISERROR(SEARCH("CONFIG",C14)))</formula>
    </cfRule>
  </conditionalFormatting>
  <conditionalFormatting sqref="C15">
    <cfRule type="containsText" priority="434" operator="containsText" dxfId="561" text="LIGHT SELECTION">
      <formula>NOT(ISERROR(SEARCH("LIGHT SELECTION",C15)))</formula>
    </cfRule>
  </conditionalFormatting>
  <conditionalFormatting sqref="C20:C21">
    <cfRule type="cellIs" priority="669" operator="lessThan" dxfId="561">
      <formula>1</formula>
    </cfRule>
  </conditionalFormatting>
  <conditionalFormatting sqref="C22:C23">
    <cfRule type="expression" priority="409" dxfId="383">
      <formula>D22="WW PODS"</formula>
    </cfRule>
  </conditionalFormatting>
  <conditionalFormatting sqref="C24">
    <cfRule type="expression" priority="686" dxfId="559">
      <formula>ISNUMBER(SEARCH("UV",D14))</formula>
    </cfRule>
  </conditionalFormatting>
  <conditionalFormatting sqref="C25">
    <cfRule type="expression" priority="651" dxfId="472">
      <formula>(ISNUMBER(SEARCH("CMW",D14)))=TRUE</formula>
    </cfRule>
  </conditionalFormatting>
  <conditionalFormatting sqref="C26">
    <cfRule type="expression" priority="650" dxfId="472">
      <formula>(ISNUMBER(SEARCH("CMW",D14)))=TRUE</formula>
    </cfRule>
  </conditionalFormatting>
  <conditionalFormatting sqref="C27">
    <cfRule type="expression" priority="619" dxfId="472">
      <formula>(ISNUMBER(SEARCH("CMW",$D14)))=TRUE</formula>
    </cfRule>
  </conditionalFormatting>
  <conditionalFormatting sqref="C31">
    <cfRule type="containsText" priority="594" operator="containsText" dxfId="204" text="CONFIG">
      <formula>NOT(ISERROR(SEARCH("CONFIG",C31)))</formula>
    </cfRule>
  </conditionalFormatting>
  <conditionalFormatting sqref="C32">
    <cfRule type="containsText" priority="436" operator="containsText" dxfId="561" text="LIGHT SELECTION">
      <formula>NOT(ISERROR(SEARCH("LIGHT SELECTION",C32)))</formula>
    </cfRule>
  </conditionalFormatting>
  <conditionalFormatting sqref="C37:C38">
    <cfRule type="cellIs" priority="593" operator="lessThan" dxfId="561">
      <formula>1</formula>
    </cfRule>
  </conditionalFormatting>
  <conditionalFormatting sqref="C39:C40">
    <cfRule type="expression" priority="387" dxfId="383">
      <formula>D39="WW PODS"</formula>
    </cfRule>
  </conditionalFormatting>
  <conditionalFormatting sqref="C41">
    <cfRule type="expression" priority="608" dxfId="559">
      <formula>ISNUMBER(SEARCH("UV",D31))</formula>
    </cfRule>
  </conditionalFormatting>
  <conditionalFormatting sqref="C42">
    <cfRule type="expression" priority="591" dxfId="472">
      <formula>(ISNUMBER(SEARCH("CMW",D31)))=TRUE</formula>
    </cfRule>
  </conditionalFormatting>
  <conditionalFormatting sqref="C43">
    <cfRule type="expression" priority="468" dxfId="472">
      <formula>(ISNUMBER(SEARCH("CMW",D31)))=TRUE</formula>
    </cfRule>
  </conditionalFormatting>
  <conditionalFormatting sqref="C44">
    <cfRule type="expression" priority="586" dxfId="472">
      <formula>(ISNUMBER(SEARCH("CMW",$D31)))=TRUE</formula>
    </cfRule>
  </conditionalFormatting>
  <conditionalFormatting sqref="C48">
    <cfRule type="containsText" priority="563" operator="containsText" dxfId="204" text="CONFIG">
      <formula>NOT(ISERROR(SEARCH("CONFIG",C48)))</formula>
    </cfRule>
  </conditionalFormatting>
  <conditionalFormatting sqref="C49">
    <cfRule type="containsText" priority="433" operator="containsText" dxfId="561" text="LIGHT SELECTION">
      <formula>NOT(ISERROR(SEARCH("LIGHT SELECTION",C49)))</formula>
    </cfRule>
  </conditionalFormatting>
  <conditionalFormatting sqref="C54:C55">
    <cfRule type="cellIs" priority="562" operator="lessThan" dxfId="561">
      <formula>1</formula>
    </cfRule>
  </conditionalFormatting>
  <conditionalFormatting sqref="C56:C57">
    <cfRule type="expression" priority="368" dxfId="383">
      <formula>D56="WW PODS"</formula>
    </cfRule>
  </conditionalFormatting>
  <conditionalFormatting sqref="C58">
    <cfRule type="expression" priority="576" dxfId="559">
      <formula>ISNUMBER(SEARCH("UV",D48))</formula>
    </cfRule>
  </conditionalFormatting>
  <conditionalFormatting sqref="C59">
    <cfRule type="expression" priority="560" dxfId="472">
      <formula>(ISNUMBER(SEARCH("CMW",D48)))=TRUE</formula>
    </cfRule>
  </conditionalFormatting>
  <conditionalFormatting sqref="C60">
    <cfRule type="expression" priority="467" dxfId="472">
      <formula>(ISNUMBER(SEARCH("CMW",D48)))=TRUE</formula>
    </cfRule>
  </conditionalFormatting>
  <conditionalFormatting sqref="C61">
    <cfRule type="expression" priority="558" dxfId="472">
      <formula>(ISNUMBER(SEARCH("CMW",$D48)))=TRUE</formula>
    </cfRule>
  </conditionalFormatting>
  <conditionalFormatting sqref="C65">
    <cfRule type="containsText" priority="536" operator="containsText" dxfId="204" text="CONFIG">
      <formula>NOT(ISERROR(SEARCH("CONFIG",C65)))</formula>
    </cfRule>
  </conditionalFormatting>
  <conditionalFormatting sqref="C66">
    <cfRule type="containsText" priority="432" operator="containsText" dxfId="561" text="LIGHT SELECTION">
      <formula>NOT(ISERROR(SEARCH("LIGHT SELECTION",C66)))</formula>
    </cfRule>
  </conditionalFormatting>
  <conditionalFormatting sqref="C71:C72">
    <cfRule type="cellIs" priority="535" operator="lessThan" dxfId="561">
      <formula>1</formula>
    </cfRule>
  </conditionalFormatting>
  <conditionalFormatting sqref="C73:C74">
    <cfRule type="expression" priority="353" dxfId="383">
      <formula>D73="WW PODS"</formula>
    </cfRule>
  </conditionalFormatting>
  <conditionalFormatting sqref="C75">
    <cfRule type="expression" priority="549" dxfId="559">
      <formula>ISNUMBER(SEARCH("UV",D65))</formula>
    </cfRule>
  </conditionalFormatting>
  <conditionalFormatting sqref="C76">
    <cfRule type="expression" priority="532" dxfId="472">
      <formula>(ISNUMBER(SEARCH("CMW",D65)))=TRUE</formula>
    </cfRule>
  </conditionalFormatting>
  <conditionalFormatting sqref="C77">
    <cfRule type="expression" priority="466" dxfId="472">
      <formula>(ISNUMBER(SEARCH("CMW",D65)))=TRUE</formula>
    </cfRule>
  </conditionalFormatting>
  <conditionalFormatting sqref="C78">
    <cfRule type="expression" priority="530" dxfId="472">
      <formula>(ISNUMBER(SEARCH("CMW",$D65)))=TRUE</formula>
    </cfRule>
  </conditionalFormatting>
  <conditionalFormatting sqref="C82">
    <cfRule type="containsText" priority="507" operator="containsText" dxfId="204" text="CONFIG">
      <formula>NOT(ISERROR(SEARCH("CONFIG",C82)))</formula>
    </cfRule>
  </conditionalFormatting>
  <conditionalFormatting sqref="C83">
    <cfRule type="containsText" priority="431" operator="containsText" dxfId="561" text="LIGHT SELECTION">
      <formula>NOT(ISERROR(SEARCH("LIGHT SELECTION",C83)))</formula>
    </cfRule>
  </conditionalFormatting>
  <conditionalFormatting sqref="C88:C89">
    <cfRule type="cellIs" priority="506" operator="lessThan" dxfId="561">
      <formula>1</formula>
    </cfRule>
  </conditionalFormatting>
  <conditionalFormatting sqref="C90:C91">
    <cfRule type="expression" priority="338" dxfId="383">
      <formula>D90="WW PODS"</formula>
    </cfRule>
  </conditionalFormatting>
  <conditionalFormatting sqref="C92">
    <cfRule type="expression" priority="521" dxfId="559">
      <formula>ISNUMBER(SEARCH("UV",D82))</formula>
    </cfRule>
  </conditionalFormatting>
  <conditionalFormatting sqref="C93">
    <cfRule type="expression" priority="503" dxfId="472">
      <formula>(ISNUMBER(SEARCH("CMW",D82)))=TRUE</formula>
    </cfRule>
  </conditionalFormatting>
  <conditionalFormatting sqref="C94">
    <cfRule type="expression" priority="465" dxfId="472">
      <formula>(ISNUMBER(SEARCH("CMW",D82)))=TRUE</formula>
    </cfRule>
  </conditionalFormatting>
  <conditionalFormatting sqref="C95">
    <cfRule type="expression" priority="501" dxfId="472">
      <formula>(ISNUMBER(SEARCH("CMW",$D82)))=TRUE</formula>
    </cfRule>
  </conditionalFormatting>
  <conditionalFormatting sqref="C99">
    <cfRule type="containsText" priority="478" operator="containsText" dxfId="204" text="CONFIG">
      <formula>NOT(ISERROR(SEARCH("CONFIG",C99)))</formula>
    </cfRule>
  </conditionalFormatting>
  <conditionalFormatting sqref="C100">
    <cfRule type="containsText" priority="430" operator="containsText" dxfId="561" text="LIGHT SELECTION">
      <formula>NOT(ISERROR(SEARCH("LIGHT SELECTION",C100)))</formula>
    </cfRule>
  </conditionalFormatting>
  <conditionalFormatting sqref="C105:C106">
    <cfRule type="cellIs" priority="477" operator="lessThan" dxfId="561">
      <formula>1</formula>
    </cfRule>
  </conditionalFormatting>
  <conditionalFormatting sqref="C107:C108">
    <cfRule type="expression" priority="323" dxfId="383">
      <formula>D107="WW PODS"</formula>
    </cfRule>
  </conditionalFormatting>
  <conditionalFormatting sqref="C109">
    <cfRule type="expression" priority="492" dxfId="559">
      <formula>ISNUMBER(SEARCH("UV",D99))</formula>
    </cfRule>
  </conditionalFormatting>
  <conditionalFormatting sqref="C110">
    <cfRule type="expression" priority="475" dxfId="472">
      <formula>(ISNUMBER(SEARCH("CMW",D99)))=TRUE</formula>
    </cfRule>
  </conditionalFormatting>
  <conditionalFormatting sqref="C111">
    <cfRule type="expression" priority="464" dxfId="472">
      <formula>(ISNUMBER(SEARCH("CMW",D99)))=TRUE</formula>
    </cfRule>
  </conditionalFormatting>
  <conditionalFormatting sqref="C112 C129 C146 C163 C180">
    <cfRule type="expression" priority="473" dxfId="472">
      <formula>(ISNUMBER(SEARCH("CMW",$D99)))=TRUE</formula>
    </cfRule>
  </conditionalFormatting>
  <conditionalFormatting sqref="C116">
    <cfRule type="containsText" priority="301" operator="containsText" dxfId="204" text="CONFIG">
      <formula>NOT(ISERROR(SEARCH("CONFIG",C116)))</formula>
    </cfRule>
  </conditionalFormatting>
  <conditionalFormatting sqref="C117">
    <cfRule type="containsText" priority="288" operator="containsText" dxfId="561" text="LIGHT SELECTION">
      <formula>NOT(ISERROR(SEARCH("LIGHT SELECTION",C117)))</formula>
    </cfRule>
  </conditionalFormatting>
  <conditionalFormatting sqref="C122:C123">
    <cfRule type="cellIs" priority="300" operator="lessThan" dxfId="561">
      <formula>1</formula>
    </cfRule>
  </conditionalFormatting>
  <conditionalFormatting sqref="C124:C125">
    <cfRule type="expression" priority="272" dxfId="383">
      <formula>D124="WW PODS"</formula>
    </cfRule>
  </conditionalFormatting>
  <conditionalFormatting sqref="C126">
    <cfRule type="expression" priority="315" dxfId="559">
      <formula>ISNUMBER(SEARCH("UV",D116))</formula>
    </cfRule>
  </conditionalFormatting>
  <conditionalFormatting sqref="C127">
    <cfRule type="expression" priority="298" dxfId="472">
      <formula>(ISNUMBER(SEARCH("CMW",D116)))=TRUE</formula>
    </cfRule>
  </conditionalFormatting>
  <conditionalFormatting sqref="C128">
    <cfRule type="expression" priority="293" dxfId="472">
      <formula>(ISNUMBER(SEARCH("CMW",D116)))=TRUE</formula>
    </cfRule>
  </conditionalFormatting>
  <conditionalFormatting sqref="C133">
    <cfRule type="containsText" priority="246" operator="containsText" dxfId="204" text="CONFIG">
      <formula>NOT(ISERROR(SEARCH("CONFIG",C133)))</formula>
    </cfRule>
  </conditionalFormatting>
  <conditionalFormatting sqref="C134">
    <cfRule type="containsText" priority="233" operator="containsText" dxfId="561" text="LIGHT SELECTION">
      <formula>NOT(ISERROR(SEARCH("LIGHT SELECTION",C134)))</formula>
    </cfRule>
  </conditionalFormatting>
  <conditionalFormatting sqref="C139:C140">
    <cfRule type="cellIs" priority="245" operator="lessThan" dxfId="561">
      <formula>1</formula>
    </cfRule>
  </conditionalFormatting>
  <conditionalFormatting sqref="C141:C142">
    <cfRule type="expression" priority="217" dxfId="383">
      <formula>D141="WW PODS"</formula>
    </cfRule>
  </conditionalFormatting>
  <conditionalFormatting sqref="C143">
    <cfRule type="expression" priority="260" dxfId="559">
      <formula>ISNUMBER(SEARCH("UV",D133))</formula>
    </cfRule>
  </conditionalFormatting>
  <conditionalFormatting sqref="C144">
    <cfRule type="expression" priority="243" dxfId="472">
      <formula>(ISNUMBER(SEARCH("CMW",D133)))=TRUE</formula>
    </cfRule>
  </conditionalFormatting>
  <conditionalFormatting sqref="C145">
    <cfRule type="expression" priority="238" dxfId="472">
      <formula>(ISNUMBER(SEARCH("CMW",D133)))=TRUE</formula>
    </cfRule>
  </conditionalFormatting>
  <conditionalFormatting sqref="C150">
    <cfRule type="containsText" priority="195" operator="containsText" dxfId="204" text="CONFIG">
      <formula>NOT(ISERROR(SEARCH("CONFIG",C150)))</formula>
    </cfRule>
  </conditionalFormatting>
  <conditionalFormatting sqref="C151">
    <cfRule type="containsText" priority="182" operator="containsText" dxfId="561" text="LIGHT SELECTION">
      <formula>NOT(ISERROR(SEARCH("LIGHT SELECTION",C151)))</formula>
    </cfRule>
  </conditionalFormatting>
  <conditionalFormatting sqref="C156:C157">
    <cfRule type="cellIs" priority="194" operator="lessThan" dxfId="561">
      <formula>1</formula>
    </cfRule>
  </conditionalFormatting>
  <conditionalFormatting sqref="C158:C159">
    <cfRule type="expression" priority="166" dxfId="383">
      <formula>D158="WW PODS"</formula>
    </cfRule>
  </conditionalFormatting>
  <conditionalFormatting sqref="C160">
    <cfRule type="expression" priority="209" dxfId="559">
      <formula>ISNUMBER(SEARCH("UV",D150))</formula>
    </cfRule>
  </conditionalFormatting>
  <conditionalFormatting sqref="C161">
    <cfRule type="expression" priority="192" dxfId="472">
      <formula>(ISNUMBER(SEARCH("CMW",D150)))=TRUE</formula>
    </cfRule>
  </conditionalFormatting>
  <conditionalFormatting sqref="C162">
    <cfRule type="expression" priority="187" dxfId="472">
      <formula>(ISNUMBER(SEARCH("CMW",D150)))=TRUE</formula>
    </cfRule>
  </conditionalFormatting>
  <conditionalFormatting sqref="C167">
    <cfRule type="containsText" priority="144" operator="containsText" dxfId="204" text="CONFIG">
      <formula>NOT(ISERROR(SEARCH("CONFIG",C167)))</formula>
    </cfRule>
  </conditionalFormatting>
  <conditionalFormatting sqref="C168">
    <cfRule type="containsText" priority="131" operator="containsText" dxfId="561" text="LIGHT SELECTION">
      <formula>NOT(ISERROR(SEARCH("LIGHT SELECTION",C168)))</formula>
    </cfRule>
  </conditionalFormatting>
  <conditionalFormatting sqref="C173:C174">
    <cfRule type="cellIs" priority="143" operator="lessThan" dxfId="561">
      <formula>1</formula>
    </cfRule>
  </conditionalFormatting>
  <conditionalFormatting sqref="C175:C176">
    <cfRule type="expression" priority="115" dxfId="383">
      <formula>D175="WW PODS"</formula>
    </cfRule>
  </conditionalFormatting>
  <conditionalFormatting sqref="C177">
    <cfRule type="expression" priority="158" dxfId="559">
      <formula>ISNUMBER(SEARCH("UV",D167))</formula>
    </cfRule>
  </conditionalFormatting>
  <conditionalFormatting sqref="C178">
    <cfRule type="expression" priority="141" dxfId="472">
      <formula>(ISNUMBER(SEARCH("CMW",D167)))=TRUE</formula>
    </cfRule>
  </conditionalFormatting>
  <conditionalFormatting sqref="C179">
    <cfRule type="expression" priority="136" dxfId="472">
      <formula>(ISNUMBER(SEARCH("CMW",D167)))=TRUE</formula>
    </cfRule>
  </conditionalFormatting>
  <conditionalFormatting sqref="C183:C184">
    <cfRule type="cellIs" priority="671" operator="lessThan" dxfId="554">
      <formula>1</formula>
    </cfRule>
  </conditionalFormatting>
  <conditionalFormatting sqref="C185">
    <cfRule type="cellIs" priority="660" operator="lessThan" dxfId="164">
      <formula>1</formula>
    </cfRule>
  </conditionalFormatting>
  <conditionalFormatting sqref="C186:C197">
    <cfRule type="cellIs" priority="270" operator="lessThan" dxfId="554">
      <formula>1</formula>
    </cfRule>
  </conditionalFormatting>
  <conditionalFormatting sqref="C9:D9">
    <cfRule type="cellIs" priority="661" operator="lessThan" dxfId="207">
      <formula>0</formula>
    </cfRule>
    <cfRule type="cellIs" priority="662" operator="greaterThan" dxfId="552">
      <formula>0</formula>
    </cfRule>
  </conditionalFormatting>
  <conditionalFormatting sqref="D14">
    <cfRule type="containsText" priority="672" operator="containsText" dxfId="164" text="CANOPY TYPE">
      <formula>NOT(ISERROR(SEARCH("CANOPY TYPE",D14)))</formula>
    </cfRule>
  </conditionalFormatting>
  <conditionalFormatting sqref="D15">
    <cfRule type="expression" priority="425" dxfId="206">
      <formula>(C15="LIGHT SELECTION")</formula>
    </cfRule>
  </conditionalFormatting>
  <conditionalFormatting sqref="D16:D18">
    <cfRule type="expression" priority="627" dxfId="206">
      <formula>($C16="SELECT WORKS")</formula>
    </cfRule>
  </conditionalFormatting>
  <conditionalFormatting sqref="D19">
    <cfRule type="expression" priority="269" dxfId="206">
      <formula>$C19="SELECT CLADDING"</formula>
    </cfRule>
  </conditionalFormatting>
  <conditionalFormatting sqref="D22:D23">
    <cfRule type="expression" priority="408" dxfId="358">
      <formula>($D$14="CANOPY TYPE")</formula>
    </cfRule>
  </conditionalFormatting>
  <conditionalFormatting sqref="D24">
    <cfRule type="expression" priority="685" dxfId="474">
      <formula>ISNUMBER(SEARCH("UV",D14))</formula>
    </cfRule>
  </conditionalFormatting>
  <conditionalFormatting sqref="D25">
    <cfRule type="expression" priority="613" dxfId="358">
      <formula>($D$14="CANOPY TYPE")</formula>
    </cfRule>
  </conditionalFormatting>
  <conditionalFormatting sqref="D26">
    <cfRule type="expression" priority="635" dxfId="472">
      <formula>(ISNUMBER(SEARCH("CMW",D14)))=TRUE</formula>
    </cfRule>
  </conditionalFormatting>
  <conditionalFormatting sqref="D31">
    <cfRule type="containsText" priority="595" operator="containsText" dxfId="164" text="CANOPY TYPE">
      <formula>NOT(ISERROR(SEARCH("CANOPY TYPE",D31)))</formula>
    </cfRule>
  </conditionalFormatting>
  <conditionalFormatting sqref="D32">
    <cfRule type="expression" priority="438" dxfId="206">
      <formula>(C32="LIGHT SELECTION")</formula>
    </cfRule>
  </conditionalFormatting>
  <conditionalFormatting sqref="D33:D35">
    <cfRule type="expression" priority="588" dxfId="206">
      <formula>($C33="SELECT WORKS")</formula>
    </cfRule>
  </conditionalFormatting>
  <conditionalFormatting sqref="D36">
    <cfRule type="expression" priority="417" dxfId="206">
      <formula>$C36="SELECT CLADDING"</formula>
    </cfRule>
  </conditionalFormatting>
  <conditionalFormatting sqref="D39:D40">
    <cfRule type="expression" priority="382" dxfId="358">
      <formula>($D$14="CANOPY TYPE")</formula>
    </cfRule>
  </conditionalFormatting>
  <conditionalFormatting sqref="D41">
    <cfRule type="expression" priority="607" dxfId="474">
      <formula>ISNUMBER(SEARCH("UV",D31))</formula>
    </cfRule>
  </conditionalFormatting>
  <conditionalFormatting sqref="D42">
    <cfRule type="expression" priority="581" dxfId="358">
      <formula>($D$14="CANOPY TYPE")</formula>
    </cfRule>
  </conditionalFormatting>
  <conditionalFormatting sqref="D43">
    <cfRule type="expression" priority="590" dxfId="472">
      <formula>(ISNUMBER(SEARCH("CMW",D31)))=TRUE</formula>
    </cfRule>
  </conditionalFormatting>
  <conditionalFormatting sqref="D48">
    <cfRule type="containsText" priority="420" operator="containsText" dxfId="164" text="CANOPY TYPE">
      <formula>NOT(ISERROR(SEARCH("CANOPY TYPE",D48)))</formula>
    </cfRule>
  </conditionalFormatting>
  <conditionalFormatting sqref="D49">
    <cfRule type="expression" priority="435" dxfId="206">
      <formula>(C15="LIGHT SELECTION")</formula>
    </cfRule>
  </conditionalFormatting>
  <conditionalFormatting sqref="D50:D52">
    <cfRule type="expression" priority="111" dxfId="206">
      <formula>($C50="SELECT WORKS")</formula>
    </cfRule>
  </conditionalFormatting>
  <conditionalFormatting sqref="D53">
    <cfRule type="expression" priority="418" dxfId="206">
      <formula>$C53="SELECT CLADDING"</formula>
    </cfRule>
  </conditionalFormatting>
  <conditionalFormatting sqref="D56:D57">
    <cfRule type="expression" priority="367" dxfId="358">
      <formula>($D$14="CANOPY TYPE")</formula>
    </cfRule>
  </conditionalFormatting>
  <conditionalFormatting sqref="D58">
    <cfRule type="expression" priority="575" dxfId="474">
      <formula>ISNUMBER(SEARCH("UV",D48))</formula>
    </cfRule>
  </conditionalFormatting>
  <conditionalFormatting sqref="D59">
    <cfRule type="expression" priority="554" dxfId="358">
      <formula>($D$14="CANOPY TYPE")</formula>
    </cfRule>
  </conditionalFormatting>
  <conditionalFormatting sqref="D60">
    <cfRule type="expression" priority="559" dxfId="472">
      <formula>(ISNUMBER(SEARCH("CMW",D48)))=TRUE</formula>
    </cfRule>
  </conditionalFormatting>
  <conditionalFormatting sqref="D65">
    <cfRule type="containsText" priority="419" operator="containsText" dxfId="164" text="CANOPY TYPE">
      <formula>NOT(ISERROR(SEARCH("CANOPY TYPE",D65)))</formula>
    </cfRule>
  </conditionalFormatting>
  <conditionalFormatting sqref="D66">
    <cfRule type="expression" priority="428" dxfId="206">
      <formula>(C66="LIGHT SELECTION")</formula>
    </cfRule>
  </conditionalFormatting>
  <conditionalFormatting sqref="D67:D69">
    <cfRule type="expression" priority="97" dxfId="206">
      <formula>($C67="SELECT WORKS")</formula>
    </cfRule>
  </conditionalFormatting>
  <conditionalFormatting sqref="D70">
    <cfRule type="expression" priority="533" dxfId="206">
      <formula>$C70="SELECT CLADDING"</formula>
    </cfRule>
  </conditionalFormatting>
  <conditionalFormatting sqref="D73:D74">
    <cfRule type="expression" priority="352" dxfId="358">
      <formula>($D$14="CANOPY TYPE")</formula>
    </cfRule>
  </conditionalFormatting>
  <conditionalFormatting sqref="D75">
    <cfRule type="expression" priority="548" dxfId="474">
      <formula>ISNUMBER(SEARCH("UV",D65))</formula>
    </cfRule>
  </conditionalFormatting>
  <conditionalFormatting sqref="D76">
    <cfRule type="expression" priority="526" dxfId="358">
      <formula>($D$14="CANOPY TYPE")</formula>
    </cfRule>
  </conditionalFormatting>
  <conditionalFormatting sqref="D77">
    <cfRule type="expression" priority="531" dxfId="472">
      <formula>(ISNUMBER(SEARCH("CMW",D65)))=TRUE</formula>
    </cfRule>
  </conditionalFormatting>
  <conditionalFormatting sqref="D82">
    <cfRule type="containsText" priority="508" operator="containsText" dxfId="164" text="CANOPY TYPE">
      <formula>NOT(ISERROR(SEARCH("CANOPY TYPE",D82)))</formula>
    </cfRule>
  </conditionalFormatting>
  <conditionalFormatting sqref="D83">
    <cfRule type="expression" priority="427" dxfId="206">
      <formula>(C83="LIGHT SELECTION")</formula>
    </cfRule>
  </conditionalFormatting>
  <conditionalFormatting sqref="D84:D86">
    <cfRule type="expression" priority="83" dxfId="206">
      <formula>($C84="SELECT WORKS")</formula>
    </cfRule>
  </conditionalFormatting>
  <conditionalFormatting sqref="D87">
    <cfRule type="expression" priority="504" dxfId="206">
      <formula>$C87="SELECT CLADDING"</formula>
    </cfRule>
  </conditionalFormatting>
  <conditionalFormatting sqref="D90:D91">
    <cfRule type="expression" priority="337" dxfId="358">
      <formula>($D$14="CANOPY TYPE")</formula>
    </cfRule>
  </conditionalFormatting>
  <conditionalFormatting sqref="D92">
    <cfRule type="expression" priority="520" dxfId="474">
      <formula>ISNUMBER(SEARCH("UV",D82))</formula>
    </cfRule>
  </conditionalFormatting>
  <conditionalFormatting sqref="D93">
    <cfRule type="expression" priority="497" dxfId="358">
      <formula>($D$14="CANOPY TYPE")</formula>
    </cfRule>
  </conditionalFormatting>
  <conditionalFormatting sqref="D94">
    <cfRule type="expression" priority="502" dxfId="472">
      <formula>(ISNUMBER(SEARCH("CMW",D82)))=TRUE</formula>
    </cfRule>
  </conditionalFormatting>
  <conditionalFormatting sqref="D99">
    <cfRule type="containsText" priority="479" operator="containsText" dxfId="164" text="CANOPY TYPE">
      <formula>NOT(ISERROR(SEARCH("CANOPY TYPE",D99)))</formula>
    </cfRule>
  </conditionalFormatting>
  <conditionalFormatting sqref="D100">
    <cfRule type="expression" priority="426" dxfId="206">
      <formula>(C100="LIGHT SELECTION")</formula>
    </cfRule>
  </conditionalFormatting>
  <conditionalFormatting sqref="D101:D103">
    <cfRule type="expression" priority="69" dxfId="206">
      <formula>($C101="SELECT WORKS")</formula>
    </cfRule>
  </conditionalFormatting>
  <conditionalFormatting sqref="D104">
    <cfRule type="expression" priority="416" dxfId="206">
      <formula>$C104="SELECT CLADDING"</formula>
    </cfRule>
  </conditionalFormatting>
  <conditionalFormatting sqref="D107:D108">
    <cfRule type="expression" priority="322" dxfId="358">
      <formula>($D$14="CANOPY TYPE")</formula>
    </cfRule>
  </conditionalFormatting>
  <conditionalFormatting sqref="D109">
    <cfRule type="expression" priority="491" dxfId="474">
      <formula>ISNUMBER(SEARCH("UV",D99))</formula>
    </cfRule>
  </conditionalFormatting>
  <conditionalFormatting sqref="D110">
    <cfRule type="expression" priority="469" dxfId="358">
      <formula>($D$14="CANOPY TYPE")</formula>
    </cfRule>
  </conditionalFormatting>
  <conditionalFormatting sqref="D111">
    <cfRule type="expression" priority="474" dxfId="472">
      <formula>(ISNUMBER(SEARCH("CMW",D99)))=TRUE</formula>
    </cfRule>
  </conditionalFormatting>
  <conditionalFormatting sqref="D116">
    <cfRule type="containsText" priority="302" operator="containsText" dxfId="164" text="CANOPY TYPE">
      <formula>NOT(ISERROR(SEARCH("CANOPY TYPE",D116)))</formula>
    </cfRule>
  </conditionalFormatting>
  <conditionalFormatting sqref="D117">
    <cfRule type="expression" priority="287" dxfId="206">
      <formula>(C117="LIGHT SELECTION")</formula>
    </cfRule>
  </conditionalFormatting>
  <conditionalFormatting sqref="D118:D120">
    <cfRule type="expression" priority="55" dxfId="206">
      <formula>($C118="SELECT WORKS")</formula>
    </cfRule>
  </conditionalFormatting>
  <conditionalFormatting sqref="D121">
    <cfRule type="expression" priority="286" dxfId="206">
      <formula>$C121="SELECT CLADDING"</formula>
    </cfRule>
  </conditionalFormatting>
  <conditionalFormatting sqref="D124:D125">
    <cfRule type="expression" priority="271" dxfId="358">
      <formula>($D$14="CANOPY TYPE")</formula>
    </cfRule>
  </conditionalFormatting>
  <conditionalFormatting sqref="D126">
    <cfRule type="expression" priority="314" dxfId="474">
      <formula>ISNUMBER(SEARCH("UV",D116))</formula>
    </cfRule>
  </conditionalFormatting>
  <conditionalFormatting sqref="D127">
    <cfRule type="expression" priority="294" dxfId="358">
      <formula>($D$14="CANOPY TYPE")</formula>
    </cfRule>
  </conditionalFormatting>
  <conditionalFormatting sqref="D128">
    <cfRule type="expression" priority="297" dxfId="472">
      <formula>(ISNUMBER(SEARCH("CMW",D116)))=TRUE</formula>
    </cfRule>
  </conditionalFormatting>
  <conditionalFormatting sqref="D133">
    <cfRule type="containsText" priority="247" operator="containsText" dxfId="164" text="CANOPY TYPE">
      <formula>NOT(ISERROR(SEARCH("CANOPY TYPE",D133)))</formula>
    </cfRule>
  </conditionalFormatting>
  <conditionalFormatting sqref="D134">
    <cfRule type="expression" priority="232" dxfId="206">
      <formula>(C134="LIGHT SELECTION")</formula>
    </cfRule>
  </conditionalFormatting>
  <conditionalFormatting sqref="D135:D137">
    <cfRule type="expression" priority="41" dxfId="206">
      <formula>($C135="SELECT WORKS")</formula>
    </cfRule>
  </conditionalFormatting>
  <conditionalFormatting sqref="D138">
    <cfRule type="expression" priority="231" dxfId="206">
      <formula>$C138="SELECT CLADDING"</formula>
    </cfRule>
  </conditionalFormatting>
  <conditionalFormatting sqref="D141:D142">
    <cfRule type="expression" priority="216" dxfId="358">
      <formula>($D$14="CANOPY TYPE")</formula>
    </cfRule>
  </conditionalFormatting>
  <conditionalFormatting sqref="D143">
    <cfRule type="expression" priority="259" dxfId="474">
      <formula>ISNUMBER(SEARCH("UV",D133))</formula>
    </cfRule>
  </conditionalFormatting>
  <conditionalFormatting sqref="D144">
    <cfRule type="expression" priority="239" dxfId="358">
      <formula>($D$14="CANOPY TYPE")</formula>
    </cfRule>
  </conditionalFormatting>
  <conditionalFormatting sqref="D145">
    <cfRule type="expression" priority="242" dxfId="472">
      <formula>(ISNUMBER(SEARCH("CMW",D133)))=TRUE</formula>
    </cfRule>
  </conditionalFormatting>
  <conditionalFormatting sqref="D150">
    <cfRule type="containsText" priority="196" operator="containsText" dxfId="164" text="CANOPY TYPE">
      <formula>NOT(ISERROR(SEARCH("CANOPY TYPE",D150)))</formula>
    </cfRule>
  </conditionalFormatting>
  <conditionalFormatting sqref="D151">
    <cfRule type="expression" priority="181" dxfId="206">
      <formula>(C151="LIGHT SELECTION")</formula>
    </cfRule>
  </conditionalFormatting>
  <conditionalFormatting sqref="D152:D154">
    <cfRule type="expression" priority="27" dxfId="206">
      <formula>($C152="SELECT WORKS")</formula>
    </cfRule>
  </conditionalFormatting>
  <conditionalFormatting sqref="D155">
    <cfRule type="expression" priority="180" dxfId="206">
      <formula>$C155="SELECT CLADDING"</formula>
    </cfRule>
  </conditionalFormatting>
  <conditionalFormatting sqref="D158:D159">
    <cfRule type="expression" priority="165" dxfId="358">
      <formula>($D$14="CANOPY TYPE")</formula>
    </cfRule>
  </conditionalFormatting>
  <conditionalFormatting sqref="D160">
    <cfRule type="expression" priority="208" dxfId="474">
      <formula>ISNUMBER(SEARCH("UV",D150))</formula>
    </cfRule>
  </conditionalFormatting>
  <conditionalFormatting sqref="D161">
    <cfRule type="expression" priority="188" dxfId="358">
      <formula>($D$14="CANOPY TYPE")</formula>
    </cfRule>
  </conditionalFormatting>
  <conditionalFormatting sqref="D162">
    <cfRule type="expression" priority="191" dxfId="472">
      <formula>(ISNUMBER(SEARCH("CMW",D150)))=TRUE</formula>
    </cfRule>
  </conditionalFormatting>
  <conditionalFormatting sqref="D167">
    <cfRule type="containsText" priority="145" operator="containsText" dxfId="164" text="CANOPY TYPE">
      <formula>NOT(ISERROR(SEARCH("CANOPY TYPE",D167)))</formula>
    </cfRule>
  </conditionalFormatting>
  <conditionalFormatting sqref="D168">
    <cfRule type="expression" priority="130" dxfId="206">
      <formula>(C168="LIGHT SELECTION")</formula>
    </cfRule>
  </conditionalFormatting>
  <conditionalFormatting sqref="D169:D171">
    <cfRule type="expression" priority="13" dxfId="206">
      <formula>($C169="SELECT WORKS")</formula>
    </cfRule>
  </conditionalFormatting>
  <conditionalFormatting sqref="D172">
    <cfRule type="expression" priority="129" dxfId="206">
      <formula>$C172="SELECT CLADDING"</formula>
    </cfRule>
  </conditionalFormatting>
  <conditionalFormatting sqref="D175:D176">
    <cfRule type="expression" priority="114" dxfId="358">
      <formula>($D$14="CANOPY TYPE")</formula>
    </cfRule>
  </conditionalFormatting>
  <conditionalFormatting sqref="D177">
    <cfRule type="expression" priority="157" dxfId="474">
      <formula>ISNUMBER(SEARCH("UV",D167))</formula>
    </cfRule>
  </conditionalFormatting>
  <conditionalFormatting sqref="D178">
    <cfRule type="expression" priority="137" dxfId="358">
      <formula>($D$14="CANOPY TYPE")</formula>
    </cfRule>
  </conditionalFormatting>
  <conditionalFormatting sqref="D179">
    <cfRule type="expression" priority="140" dxfId="472">
      <formula>(ISNUMBER(SEARCH("CMW",D167)))=TRUE</formula>
    </cfRule>
  </conditionalFormatting>
  <conditionalFormatting sqref="E12">
    <cfRule type="cellIs" priority="684" operator="greaterThan" dxfId="204">
      <formula>2000</formula>
    </cfRule>
    <cfRule type="expression" priority="683" dxfId="387">
      <formula>ISNUMBER(SEARCH("I-MUAP",$D$14))</formula>
    </cfRule>
    <cfRule type="expression" priority="682" dxfId="386">
      <formula>AND((ISNUMBER(SEARCH("I-MUAP",$D$14))),E12&lt;2500)</formula>
    </cfRule>
  </conditionalFormatting>
  <conditionalFormatting sqref="E15">
    <cfRule type="expression" priority="423" dxfId="315">
      <formula>(C15="LIGHT SELECTION")</formula>
    </cfRule>
  </conditionalFormatting>
  <conditionalFormatting sqref="E16:E18">
    <cfRule type="expression" priority="113" dxfId="381">
      <formula>$C16="SELECT WORKS"</formula>
    </cfRule>
  </conditionalFormatting>
  <conditionalFormatting sqref="E22:E23">
    <cfRule type="expression" priority="665" dxfId="384">
      <formula>D22="WW PODS"</formula>
    </cfRule>
    <cfRule type="expression" priority="666" dxfId="383">
      <formula>D22="FILTER TYPE"</formula>
    </cfRule>
    <cfRule type="expression" priority="667" dxfId="382">
      <formula>D22="KSA"</formula>
    </cfRule>
    <cfRule type="expression" priority="687" dxfId="381">
      <formula>(D14="CANOPY TYPE")</formula>
    </cfRule>
  </conditionalFormatting>
  <conditionalFormatting sqref="E24">
    <cfRule type="containsText" priority="674" operator="containsText" dxfId="380" text="LONG ">
      <formula>NOT(ISERROR(SEARCH("LONG ",E24)))</formula>
    </cfRule>
  </conditionalFormatting>
  <conditionalFormatting sqref="E29">
    <cfRule type="expression" priority="604" dxfId="386">
      <formula>AND((ISNUMBER(SEARCH("I-MUAP",$D$14))),E29&lt;2500)</formula>
    </cfRule>
    <cfRule type="expression" priority="605" dxfId="387">
      <formula>ISNUMBER(SEARCH("I-MUAP",$D$14))</formula>
    </cfRule>
    <cfRule type="cellIs" priority="606" operator="greaterThan" dxfId="204">
      <formula>2000</formula>
    </cfRule>
  </conditionalFormatting>
  <conditionalFormatting sqref="E33:E34">
    <cfRule type="expression" priority="587" dxfId="381">
      <formula>$C33="SELECT WORKS"</formula>
    </cfRule>
  </conditionalFormatting>
  <conditionalFormatting sqref="E39:E40">
    <cfRule type="expression" priority="397" dxfId="382">
      <formula>D39="KSA"</formula>
    </cfRule>
    <cfRule type="expression" priority="398" dxfId="381">
      <formula>(D31="CANOPY TYPE")</formula>
    </cfRule>
    <cfRule type="expression" priority="396" dxfId="383">
      <formula>D39="FILTER TYPE"</formula>
    </cfRule>
    <cfRule type="expression" priority="395" dxfId="384">
      <formula>D39="WW PODS"</formula>
    </cfRule>
  </conditionalFormatting>
  <conditionalFormatting sqref="E41">
    <cfRule type="containsText" priority="597" operator="containsText" dxfId="380" text="LONG ">
      <formula>NOT(ISERROR(SEARCH("LONG ",E41)))</formula>
    </cfRule>
  </conditionalFormatting>
  <conditionalFormatting sqref="E46">
    <cfRule type="cellIs" priority="574" operator="greaterThan" dxfId="204">
      <formula>2000</formula>
    </cfRule>
    <cfRule type="expression" priority="573" dxfId="387">
      <formula>ISNUMBER(SEARCH("I-MUAP",$D$14))</formula>
    </cfRule>
    <cfRule type="expression" priority="572" dxfId="386">
      <formula>AND((ISNUMBER(SEARCH("I-MUAP",$D$14))),E46&lt;2500)</formula>
    </cfRule>
  </conditionalFormatting>
  <conditionalFormatting sqref="E49">
    <cfRule type="expression" priority="437" dxfId="315">
      <formula>(C49="LIGHT SELECTION")</formula>
    </cfRule>
  </conditionalFormatting>
  <conditionalFormatting sqref="E50:E52">
    <cfRule type="expression" priority="110" dxfId="381">
      <formula>$C50="SELECT WORKS"</formula>
    </cfRule>
  </conditionalFormatting>
  <conditionalFormatting sqref="E56:E57">
    <cfRule type="expression" priority="369" dxfId="384">
      <formula>D56="WW PODS"</formula>
    </cfRule>
    <cfRule type="expression" priority="370" dxfId="383">
      <formula>D56="FILTER TYPE"</formula>
    </cfRule>
    <cfRule type="expression" priority="372" dxfId="381">
      <formula>(D48="CANOPY TYPE")</formula>
    </cfRule>
    <cfRule type="expression" priority="371" dxfId="382">
      <formula>D56="KSA"</formula>
    </cfRule>
  </conditionalFormatting>
  <conditionalFormatting sqref="E58">
    <cfRule type="containsText" priority="565" operator="containsText" dxfId="380" text="LONG ">
      <formula>NOT(ISERROR(SEARCH("LONG ",E58)))</formula>
    </cfRule>
  </conditionalFormatting>
  <conditionalFormatting sqref="E63">
    <cfRule type="cellIs" priority="547" operator="greaterThan" dxfId="204">
      <formula>2000</formula>
    </cfRule>
    <cfRule type="expression" priority="546" dxfId="387">
      <formula>ISNUMBER(SEARCH("I-MUAP",$D$14))</formula>
    </cfRule>
    <cfRule type="expression" priority="545" dxfId="386">
      <formula>AND((ISNUMBER(SEARCH("I-MUAP",$D$14))),E63&lt;2500)</formula>
    </cfRule>
  </conditionalFormatting>
  <conditionalFormatting sqref="E67:E69">
    <cfRule type="expression" priority="96" dxfId="381">
      <formula>$C67="SELECT WORKS"</formula>
    </cfRule>
  </conditionalFormatting>
  <conditionalFormatting sqref="E73:E74">
    <cfRule type="expression" priority="354" dxfId="384">
      <formula>D73="WW PODS"</formula>
    </cfRule>
    <cfRule type="expression" priority="356" dxfId="382">
      <formula>D73="KSA"</formula>
    </cfRule>
    <cfRule type="expression" priority="357" dxfId="381">
      <formula>(D65="CANOPY TYPE")</formula>
    </cfRule>
    <cfRule type="expression" priority="355" dxfId="383">
      <formula>D73="FILTER TYPE"</formula>
    </cfRule>
  </conditionalFormatting>
  <conditionalFormatting sqref="E75">
    <cfRule type="containsText" priority="538" operator="containsText" dxfId="380" text="LONG ">
      <formula>NOT(ISERROR(SEARCH("LONG ",E75)))</formula>
    </cfRule>
  </conditionalFormatting>
  <conditionalFormatting sqref="E80">
    <cfRule type="cellIs" priority="519" operator="greaterThan" dxfId="204">
      <formula>2000</formula>
    </cfRule>
    <cfRule type="expression" priority="517" dxfId="386">
      <formula>AND((ISNUMBER(SEARCH("I-MUAP",$D$14))),E80&lt;2500)</formula>
    </cfRule>
    <cfRule type="expression" priority="518" dxfId="387">
      <formula>ISNUMBER(SEARCH("I-MUAP",$D$14))</formula>
    </cfRule>
  </conditionalFormatting>
  <conditionalFormatting sqref="E84:E86">
    <cfRule type="expression" priority="82" dxfId="381">
      <formula>$C84="SELECT WORKS"</formula>
    </cfRule>
  </conditionalFormatting>
  <conditionalFormatting sqref="E90:E91">
    <cfRule type="expression" priority="342" dxfId="381">
      <formula>(D82="CANOPY TYPE")</formula>
    </cfRule>
    <cfRule type="expression" priority="339" dxfId="384">
      <formula>D90="WW PODS"</formula>
    </cfRule>
    <cfRule type="expression" priority="340" dxfId="383">
      <formula>D90="FILTER TYPE"</formula>
    </cfRule>
    <cfRule type="expression" priority="341" dxfId="382">
      <formula>D90="KSA"</formula>
    </cfRule>
  </conditionalFormatting>
  <conditionalFormatting sqref="E92">
    <cfRule type="containsText" priority="510" operator="containsText" dxfId="380" text="LONG ">
      <formula>NOT(ISERROR(SEARCH("LONG ",E92)))</formula>
    </cfRule>
  </conditionalFormatting>
  <conditionalFormatting sqref="E97">
    <cfRule type="expression" priority="489" dxfId="387">
      <formula>ISNUMBER(SEARCH("I-MUAP",$D$14))</formula>
    </cfRule>
    <cfRule type="cellIs" priority="490" operator="greaterThan" dxfId="204">
      <formula>2000</formula>
    </cfRule>
    <cfRule type="expression" priority="488" dxfId="386">
      <formula>AND((ISNUMBER(SEARCH("I-MUAP",$D$14))),E97&lt;2500)</formula>
    </cfRule>
  </conditionalFormatting>
  <conditionalFormatting sqref="E101:E103">
    <cfRule type="expression" priority="68" dxfId="381">
      <formula>$C101="SELECT WORKS"</formula>
    </cfRule>
  </conditionalFormatting>
  <conditionalFormatting sqref="E107:E108">
    <cfRule type="expression" priority="324" dxfId="384">
      <formula>D107="WW PODS"</formula>
    </cfRule>
    <cfRule type="expression" priority="325" dxfId="383">
      <formula>D107="FILTER TYPE"</formula>
    </cfRule>
    <cfRule type="expression" priority="326" dxfId="382">
      <formula>D107="KSA"</formula>
    </cfRule>
    <cfRule type="expression" priority="327" dxfId="381">
      <formula>(D99="CANOPY TYPE")</formula>
    </cfRule>
  </conditionalFormatting>
  <conditionalFormatting sqref="E109">
    <cfRule type="containsText" priority="481" operator="containsText" dxfId="380" text="LONG ">
      <formula>NOT(ISERROR(SEARCH("LONG ",E109)))</formula>
    </cfRule>
  </conditionalFormatting>
  <conditionalFormatting sqref="E114">
    <cfRule type="cellIs" priority="313" operator="greaterThan" dxfId="204">
      <formula>2000</formula>
    </cfRule>
    <cfRule type="expression" priority="312" dxfId="387">
      <formula>ISNUMBER(SEARCH("I-MUAP",$D$14))</formula>
    </cfRule>
    <cfRule type="expression" priority="311" dxfId="386">
      <formula>AND((ISNUMBER(SEARCH("I-MUAP",$D$14))),E114&lt;2500)</formula>
    </cfRule>
  </conditionalFormatting>
  <conditionalFormatting sqref="E118:E120">
    <cfRule type="expression" priority="54" dxfId="381">
      <formula>$C118="SELECT WORKS"</formula>
    </cfRule>
  </conditionalFormatting>
  <conditionalFormatting sqref="E124:E125">
    <cfRule type="expression" priority="273" dxfId="384">
      <formula>D124="WW PODS"</formula>
    </cfRule>
    <cfRule type="expression" priority="276" dxfId="381">
      <formula>(D116="CANOPY TYPE")</formula>
    </cfRule>
    <cfRule type="expression" priority="275" dxfId="382">
      <formula>D124="KSA"</formula>
    </cfRule>
    <cfRule type="expression" priority="274" dxfId="383">
      <formula>D124="FILTER TYPE"</formula>
    </cfRule>
  </conditionalFormatting>
  <conditionalFormatting sqref="E126">
    <cfRule type="containsText" priority="304" operator="containsText" dxfId="380" text="LONG ">
      <formula>NOT(ISERROR(SEARCH("LONG ",E126)))</formula>
    </cfRule>
  </conditionalFormatting>
  <conditionalFormatting sqref="E131">
    <cfRule type="expression" priority="257" dxfId="387">
      <formula>ISNUMBER(SEARCH("I-MUAP",$D$14))</formula>
    </cfRule>
    <cfRule type="cellIs" priority="258" operator="greaterThan" dxfId="204">
      <formula>2000</formula>
    </cfRule>
    <cfRule type="expression" priority="256" dxfId="386">
      <formula>AND((ISNUMBER(SEARCH("I-MUAP",$D$14))),E131&lt;2500)</formula>
    </cfRule>
  </conditionalFormatting>
  <conditionalFormatting sqref="E135:E137">
    <cfRule type="expression" priority="40" dxfId="381">
      <formula>$C135="SELECT WORKS"</formula>
    </cfRule>
  </conditionalFormatting>
  <conditionalFormatting sqref="E141:E142">
    <cfRule type="expression" priority="221" dxfId="381">
      <formula>(D133="CANOPY TYPE")</formula>
    </cfRule>
    <cfRule type="expression" priority="220" dxfId="382">
      <formula>D141="KSA"</formula>
    </cfRule>
    <cfRule type="expression" priority="218" dxfId="384">
      <formula>D141="WW PODS"</formula>
    </cfRule>
    <cfRule type="expression" priority="219" dxfId="383">
      <formula>D141="FILTER TYPE"</formula>
    </cfRule>
  </conditionalFormatting>
  <conditionalFormatting sqref="E143">
    <cfRule type="containsText" priority="249" operator="containsText" dxfId="380" text="LONG ">
      <formula>NOT(ISERROR(SEARCH("LONG ",E143)))</formula>
    </cfRule>
  </conditionalFormatting>
  <conditionalFormatting sqref="E148">
    <cfRule type="cellIs" priority="207" operator="greaterThan" dxfId="204">
      <formula>2000</formula>
    </cfRule>
    <cfRule type="expression" priority="206" dxfId="387">
      <formula>ISNUMBER(SEARCH("I-MUAP",$D$14))</formula>
    </cfRule>
    <cfRule type="expression" priority="205" dxfId="386">
      <formula>AND((ISNUMBER(SEARCH("I-MUAP",$D$14))),E148&lt;2500)</formula>
    </cfRule>
  </conditionalFormatting>
  <conditionalFormatting sqref="E152:E154">
    <cfRule type="expression" priority="26" dxfId="381">
      <formula>$C152="SELECT WORKS"</formula>
    </cfRule>
  </conditionalFormatting>
  <conditionalFormatting sqref="E158:E159">
    <cfRule type="expression" priority="169" dxfId="382">
      <formula>D158="KSA"</formula>
    </cfRule>
    <cfRule type="expression" priority="167" dxfId="384">
      <formula>D158="WW PODS"</formula>
    </cfRule>
    <cfRule type="expression" priority="168" dxfId="383">
      <formula>D158="FILTER TYPE"</formula>
    </cfRule>
    <cfRule type="expression" priority="170" dxfId="381">
      <formula>(D150="CANOPY TYPE")</formula>
    </cfRule>
  </conditionalFormatting>
  <conditionalFormatting sqref="E160">
    <cfRule type="containsText" priority="198" operator="containsText" dxfId="380" text="LONG ">
      <formula>NOT(ISERROR(SEARCH("LONG ",E160)))</formula>
    </cfRule>
  </conditionalFormatting>
  <conditionalFormatting sqref="E165">
    <cfRule type="cellIs" priority="156" operator="greaterThan" dxfId="204">
      <formula>2000</formula>
    </cfRule>
    <cfRule type="expression" priority="155" dxfId="387">
      <formula>ISNUMBER(SEARCH("I-MUAP",$D$14))</formula>
    </cfRule>
    <cfRule type="expression" priority="154" dxfId="386">
      <formula>AND((ISNUMBER(SEARCH("I-MUAP",$D$14))),E165&lt;2500)</formula>
    </cfRule>
  </conditionalFormatting>
  <conditionalFormatting sqref="E169:E171">
    <cfRule type="expression" priority="12" dxfId="381">
      <formula>$C169="SELECT WORKS"</formula>
    </cfRule>
  </conditionalFormatting>
  <conditionalFormatting sqref="E175:E176">
    <cfRule type="expression" priority="116" dxfId="384">
      <formula>D175="WW PODS"</formula>
    </cfRule>
    <cfRule type="expression" priority="117" dxfId="383">
      <formula>D175="FILTER TYPE"</formula>
    </cfRule>
    <cfRule type="expression" priority="118" dxfId="382">
      <formula>D175="KSA"</formula>
    </cfRule>
    <cfRule type="expression" priority="119" dxfId="381">
      <formula>(D167="CANOPY TYPE")</formula>
    </cfRule>
  </conditionalFormatting>
  <conditionalFormatting sqref="E177">
    <cfRule type="containsText" priority="147" operator="containsText" dxfId="380" text="LONG ">
      <formula>NOT(ISERROR(SEARCH("LONG ",E177)))</formula>
    </cfRule>
  </conditionalFormatting>
  <conditionalFormatting sqref="E12:F12">
    <cfRule type="cellIs" priority="678" operator="lessThan" dxfId="204">
      <formula>1000</formula>
    </cfRule>
  </conditionalFormatting>
  <conditionalFormatting sqref="E14:F14">
    <cfRule type="cellIs" priority="675" operator="lessThan" dxfId="164">
      <formula>1000</formula>
    </cfRule>
  </conditionalFormatting>
  <conditionalFormatting sqref="E25:F27">
    <cfRule type="expression" priority="614" dxfId="358">
      <formula>($D$14="CANOPY TYPE")</formula>
    </cfRule>
  </conditionalFormatting>
  <conditionalFormatting sqref="E29:F29">
    <cfRule type="cellIs" priority="601" operator="lessThan" dxfId="204">
      <formula>1000</formula>
    </cfRule>
  </conditionalFormatting>
  <conditionalFormatting sqref="E31:F31">
    <cfRule type="cellIs" priority="598" operator="lessThan" dxfId="164">
      <formula>1000</formula>
    </cfRule>
  </conditionalFormatting>
  <conditionalFormatting sqref="E32:F32">
    <cfRule type="expression" priority="461" dxfId="315">
      <formula>(C32="LIGHT SELECTION")</formula>
    </cfRule>
  </conditionalFormatting>
  <conditionalFormatting sqref="E42:F44">
    <cfRule type="expression" priority="582" dxfId="358">
      <formula>($D$14="CANOPY TYPE")</formula>
    </cfRule>
  </conditionalFormatting>
  <conditionalFormatting sqref="E46:F46">
    <cfRule type="cellIs" priority="569" operator="lessThan" dxfId="204">
      <formula>1000</formula>
    </cfRule>
  </conditionalFormatting>
  <conditionalFormatting sqref="E48:F48">
    <cfRule type="cellIs" priority="566" operator="lessThan" dxfId="164">
      <formula>1000</formula>
    </cfRule>
  </conditionalFormatting>
  <conditionalFormatting sqref="E59:F61">
    <cfRule type="expression" priority="555" dxfId="358">
      <formula>($D$14="CANOPY TYPE")</formula>
    </cfRule>
  </conditionalFormatting>
  <conditionalFormatting sqref="E63:F63">
    <cfRule type="cellIs" priority="542" operator="lessThan" dxfId="204">
      <formula>1000</formula>
    </cfRule>
  </conditionalFormatting>
  <conditionalFormatting sqref="E65:F65">
    <cfRule type="cellIs" priority="539" operator="lessThan" dxfId="164">
      <formula>1000</formula>
    </cfRule>
  </conditionalFormatting>
  <conditionalFormatting sqref="E66:F66">
    <cfRule type="expression" priority="454" dxfId="315">
      <formula>(C66="LIGHT SELECTION")</formula>
    </cfRule>
  </conditionalFormatting>
  <conditionalFormatting sqref="E76:F78">
    <cfRule type="expression" priority="527" dxfId="358">
      <formula>($D$14="CANOPY TYPE")</formula>
    </cfRule>
  </conditionalFormatting>
  <conditionalFormatting sqref="E80:F80">
    <cfRule type="cellIs" priority="514" operator="lessThan" dxfId="204">
      <formula>1000</formula>
    </cfRule>
  </conditionalFormatting>
  <conditionalFormatting sqref="E82:F82">
    <cfRule type="cellIs" priority="511" operator="lessThan" dxfId="164">
      <formula>1000</formula>
    </cfRule>
  </conditionalFormatting>
  <conditionalFormatting sqref="E83:F83">
    <cfRule type="expression" priority="450" dxfId="315">
      <formula>(C83="LIGHT SELECTION")</formula>
    </cfRule>
  </conditionalFormatting>
  <conditionalFormatting sqref="E93:F95">
    <cfRule type="expression" priority="498" dxfId="358">
      <formula>($D$14="CANOPY TYPE")</formula>
    </cfRule>
  </conditionalFormatting>
  <conditionalFormatting sqref="E97:F97">
    <cfRule type="cellIs" priority="485" operator="lessThan" dxfId="204">
      <formula>1000</formula>
    </cfRule>
  </conditionalFormatting>
  <conditionalFormatting sqref="E99:F99">
    <cfRule type="cellIs" priority="482" operator="lessThan" dxfId="164">
      <formula>1000</formula>
    </cfRule>
  </conditionalFormatting>
  <conditionalFormatting sqref="E100:F100">
    <cfRule type="expression" priority="446" dxfId="315">
      <formula>(C100="LIGHT SELECTION")</formula>
    </cfRule>
  </conditionalFormatting>
  <conditionalFormatting sqref="E110:F112 E127:F129 E144:F146 E161:F163 E178:F180">
    <cfRule type="expression" priority="470" dxfId="358">
      <formula>($D$14="CANOPY TYPE")</formula>
    </cfRule>
  </conditionalFormatting>
  <conditionalFormatting sqref="E114:F114">
    <cfRule type="cellIs" priority="308" operator="lessThan" dxfId="204">
      <formula>1000</formula>
    </cfRule>
  </conditionalFormatting>
  <conditionalFormatting sqref="E116:F116">
    <cfRule type="cellIs" priority="305" operator="lessThan" dxfId="164">
      <formula>1000</formula>
    </cfRule>
  </conditionalFormatting>
  <conditionalFormatting sqref="E117:F117">
    <cfRule type="expression" priority="291" dxfId="315">
      <formula>(C117="LIGHT SELECTION")</formula>
    </cfRule>
  </conditionalFormatting>
  <conditionalFormatting sqref="E131:F131">
    <cfRule type="cellIs" priority="253" operator="lessThan" dxfId="204">
      <formula>1000</formula>
    </cfRule>
  </conditionalFormatting>
  <conditionalFormatting sqref="E133:F133">
    <cfRule type="cellIs" priority="250" operator="lessThan" dxfId="164">
      <formula>1000</formula>
    </cfRule>
  </conditionalFormatting>
  <conditionalFormatting sqref="E134:F134">
    <cfRule type="expression" priority="236" dxfId="315">
      <formula>(C134="LIGHT SELECTION")</formula>
    </cfRule>
  </conditionalFormatting>
  <conditionalFormatting sqref="E148:F148">
    <cfRule type="cellIs" priority="202" operator="lessThan" dxfId="204">
      <formula>1000</formula>
    </cfRule>
  </conditionalFormatting>
  <conditionalFormatting sqref="E150:F150">
    <cfRule type="cellIs" priority="199" operator="lessThan" dxfId="164">
      <formula>1000</formula>
    </cfRule>
  </conditionalFormatting>
  <conditionalFormatting sqref="E151:F151">
    <cfRule type="expression" priority="185" dxfId="315">
      <formula>(C151="LIGHT SELECTION")</formula>
    </cfRule>
  </conditionalFormatting>
  <conditionalFormatting sqref="E165:F165">
    <cfRule type="cellIs" priority="151" operator="lessThan" dxfId="204">
      <formula>1000</formula>
    </cfRule>
  </conditionalFormatting>
  <conditionalFormatting sqref="E167:F167">
    <cfRule type="cellIs" priority="148" operator="lessThan" dxfId="164">
      <formula>1000</formula>
    </cfRule>
  </conditionalFormatting>
  <conditionalFormatting sqref="E168:F168">
    <cfRule type="expression" priority="134" dxfId="315">
      <formula>(C168="LIGHT SELECTION")</formula>
    </cfRule>
  </conditionalFormatting>
  <conditionalFormatting sqref="F12">
    <cfRule type="cellIs" priority="679" operator="greaterThan" dxfId="204">
      <formula>3001</formula>
    </cfRule>
  </conditionalFormatting>
  <conditionalFormatting sqref="F15">
    <cfRule type="expression" priority="668" dxfId="215">
      <formula>(C15="LIGHT SELECTION")</formula>
    </cfRule>
    <cfRule type="expression" priority="670" dxfId="216">
      <formula>(C15="FLO")</formula>
    </cfRule>
    <cfRule type="expression" priority="463" dxfId="214">
      <formula>(C15="LED STRIP")</formula>
    </cfRule>
    <cfRule type="expression" priority="701" dxfId="315">
      <formula>(D49="LIGHT SELECTION")</formula>
    </cfRule>
  </conditionalFormatting>
  <conditionalFormatting sqref="F22:F23">
    <cfRule type="expression" priority="700" dxfId="205">
      <formula>D22="KSA"</formula>
    </cfRule>
    <cfRule type="expression" priority="692" dxfId="206">
      <formula>D22="NF"</formula>
    </cfRule>
    <cfRule type="expression" priority="693" dxfId="208">
      <formula>D22="WW PODS"</formula>
    </cfRule>
    <cfRule type="expression" priority="694" dxfId="206">
      <formula>D22="GRILLE"</formula>
    </cfRule>
    <cfRule type="expression" priority="695" dxfId="206">
      <formula>D22="CENTREX"</formula>
    </cfRule>
    <cfRule type="expression" priority="696" dxfId="206" stopIfTrue="1">
      <formula>D14="canopy type"</formula>
    </cfRule>
    <cfRule type="expression" priority="697" dxfId="207">
      <formula>(((I14*3600)/(C22*I11))^2+20)&gt;300</formula>
    </cfRule>
    <cfRule type="expression" priority="698" dxfId="205" stopIfTrue="1">
      <formula>(ISNUMBER(SEARCH("UV",D14)))</formula>
    </cfRule>
    <cfRule type="expression" priority="699" dxfId="207">
      <formula>(((I14*3600)/(C22*I11))^2+20)&gt;180</formula>
    </cfRule>
  </conditionalFormatting>
  <conditionalFormatting sqref="F24">
    <cfRule type="cellIs" priority="673" operator="lessThan" dxfId="204">
      <formula>2100</formula>
    </cfRule>
  </conditionalFormatting>
  <conditionalFormatting sqref="F29">
    <cfRule type="cellIs" priority="602" operator="greaterThan" dxfId="204">
      <formula>3001</formula>
    </cfRule>
  </conditionalFormatting>
  <conditionalFormatting sqref="F32">
    <cfRule type="expression" priority="462" dxfId="216">
      <formula>(C32="FLO")</formula>
    </cfRule>
    <cfRule type="expression" priority="460" dxfId="215">
      <formula>(C32="LIGHT SELECTION")</formula>
    </cfRule>
    <cfRule type="expression" priority="459" dxfId="214">
      <formula>(C32="LED STRIP")</formula>
    </cfRule>
  </conditionalFormatting>
  <conditionalFormatting sqref="F39:F40">
    <cfRule type="expression" priority="406" dxfId="207">
      <formula>(((I31*3600)/(C39*I28))^2+20)&gt;180</formula>
    </cfRule>
    <cfRule type="expression" priority="407" dxfId="205">
      <formula>D39="KSA"</formula>
    </cfRule>
    <cfRule type="expression" priority="399" dxfId="206">
      <formula>D39="NF"</formula>
    </cfRule>
    <cfRule type="expression" priority="400" dxfId="208">
      <formula>D39="WW PODS"</formula>
    </cfRule>
    <cfRule type="expression" priority="401" dxfId="206">
      <formula>D39="GRILLE"</formula>
    </cfRule>
    <cfRule type="expression" priority="402" dxfId="206">
      <formula>D39="CENTREX"</formula>
    </cfRule>
    <cfRule type="expression" priority="403" dxfId="206" stopIfTrue="1">
      <formula>D31="canopy type"</formula>
    </cfRule>
    <cfRule type="expression" priority="404" dxfId="207">
      <formula>(((I31*3600)/(C39*I28))^2+20)&gt;300</formula>
    </cfRule>
    <cfRule type="expression" priority="405" dxfId="205" stopIfTrue="1">
      <formula>(ISNUMBER(SEARCH("UV",D31)))</formula>
    </cfRule>
  </conditionalFormatting>
  <conditionalFormatting sqref="F41">
    <cfRule type="cellIs" priority="596" operator="lessThan" dxfId="204">
      <formula>2100</formula>
    </cfRule>
  </conditionalFormatting>
  <conditionalFormatting sqref="F46">
    <cfRule type="cellIs" priority="570" operator="greaterThan" dxfId="204">
      <formula>3001</formula>
    </cfRule>
  </conditionalFormatting>
  <conditionalFormatting sqref="F49">
    <cfRule type="expression" priority="702" dxfId="315">
      <formula>(#REF!="LIGHT SELECTION")</formula>
    </cfRule>
    <cfRule type="expression" priority="458" dxfId="216">
      <formula>(C49="FLO")</formula>
    </cfRule>
    <cfRule type="expression" priority="457" dxfId="215">
      <formula>(C49="LIGHT SELECTION")</formula>
    </cfRule>
    <cfRule type="expression" priority="456" dxfId="214">
      <formula>(C49="LED STRIP")</formula>
    </cfRule>
  </conditionalFormatting>
  <conditionalFormatting sqref="F56:F57">
    <cfRule type="expression" priority="379" dxfId="205" stopIfTrue="1">
      <formula>(ISNUMBER(SEARCH("UV",D48)))</formula>
    </cfRule>
    <cfRule type="expression" priority="380" dxfId="207">
      <formula>(((I48*3600)/(C56*I45))^2+20)&gt;180</formula>
    </cfRule>
    <cfRule type="expression" priority="378" dxfId="207">
      <formula>(((I48*3600)/(C56*I45))^2+20)&gt;300</formula>
    </cfRule>
    <cfRule type="expression" priority="377" dxfId="206" stopIfTrue="1">
      <formula>D48="canopy type"</formula>
    </cfRule>
    <cfRule type="expression" priority="376" dxfId="206">
      <formula>D56="CENTREX"</formula>
    </cfRule>
    <cfRule type="expression" priority="375" dxfId="206">
      <formula>D56="GRILLE"</formula>
    </cfRule>
    <cfRule type="expression" priority="374" dxfId="208">
      <formula>D56="WW PODS"</formula>
    </cfRule>
    <cfRule type="expression" priority="373" dxfId="206">
      <formula>D56="NF"</formula>
    </cfRule>
    <cfRule type="expression" priority="381" dxfId="205">
      <formula>D56="KSA"</formula>
    </cfRule>
  </conditionalFormatting>
  <conditionalFormatting sqref="F58">
    <cfRule type="cellIs" priority="564" operator="lessThan" dxfId="204">
      <formula>2100</formula>
    </cfRule>
  </conditionalFormatting>
  <conditionalFormatting sqref="F63">
    <cfRule type="cellIs" priority="543" operator="greaterThan" dxfId="204">
      <formula>3001</formula>
    </cfRule>
  </conditionalFormatting>
  <conditionalFormatting sqref="F66">
    <cfRule type="expression" priority="452" dxfId="214">
      <formula>(C66="LED STRIP")</formula>
    </cfRule>
    <cfRule type="expression" priority="453" dxfId="215">
      <formula>(C66="LIGHT SELECTION")</formula>
    </cfRule>
    <cfRule type="expression" priority="455" dxfId="216">
      <formula>(C66="FLO")</formula>
    </cfRule>
  </conditionalFormatting>
  <conditionalFormatting sqref="F73:F74">
    <cfRule type="expression" priority="358" dxfId="206">
      <formula>D73="NF"</formula>
    </cfRule>
    <cfRule type="expression" priority="359" dxfId="208">
      <formula>D73="WW PODS"</formula>
    </cfRule>
    <cfRule type="expression" priority="360" dxfId="206">
      <formula>D73="GRILLE"</formula>
    </cfRule>
    <cfRule type="expression" priority="361" dxfId="206">
      <formula>D73="CENTREX"</formula>
    </cfRule>
    <cfRule type="expression" priority="362" dxfId="206" stopIfTrue="1">
      <formula>D65="canopy type"</formula>
    </cfRule>
    <cfRule type="expression" priority="363" dxfId="207">
      <formula>(((I65*3600)/(C73*I62))^2+20)&gt;300</formula>
    </cfRule>
    <cfRule type="expression" priority="364" dxfId="205" stopIfTrue="1">
      <formula>(ISNUMBER(SEARCH("UV",D65)))</formula>
    </cfRule>
    <cfRule type="expression" priority="365" dxfId="207">
      <formula>(((I65*3600)/(C73*I62))^2+20)&gt;180</formula>
    </cfRule>
    <cfRule type="expression" priority="366" dxfId="205">
      <formula>D73="KSA"</formula>
    </cfRule>
  </conditionalFormatting>
  <conditionalFormatting sqref="F75">
    <cfRule type="cellIs" priority="537" operator="lessThan" dxfId="204">
      <formula>2100</formula>
    </cfRule>
  </conditionalFormatting>
  <conditionalFormatting sqref="F80">
    <cfRule type="cellIs" priority="515" operator="greaterThan" dxfId="204">
      <formula>3001</formula>
    </cfRule>
  </conditionalFormatting>
  <conditionalFormatting sqref="F83">
    <cfRule type="expression" priority="448" dxfId="214">
      <formula>(C83="LED STRIP")</formula>
    </cfRule>
    <cfRule type="expression" priority="451" dxfId="216">
      <formula>(C83="FLO")</formula>
    </cfRule>
    <cfRule type="expression" priority="449" dxfId="215">
      <formula>(C83="LIGHT SELECTION")</formula>
    </cfRule>
  </conditionalFormatting>
  <conditionalFormatting sqref="F90:F91">
    <cfRule type="expression" priority="343" dxfId="206">
      <formula>D90="NF"</formula>
    </cfRule>
    <cfRule type="expression" priority="344" dxfId="208">
      <formula>D90="WW PODS"</formula>
    </cfRule>
    <cfRule type="expression" priority="345" dxfId="206">
      <formula>D90="GRILLE"</formula>
    </cfRule>
    <cfRule type="expression" priority="346" dxfId="206">
      <formula>D90="CENTREX"</formula>
    </cfRule>
    <cfRule type="expression" priority="347" dxfId="206" stopIfTrue="1">
      <formula>D82="canopy type"</formula>
    </cfRule>
    <cfRule type="expression" priority="348" dxfId="207">
      <formula>(((I82*3600)/(C90*I79))^2+20)&gt;300</formula>
    </cfRule>
    <cfRule type="expression" priority="349" dxfId="205" stopIfTrue="1">
      <formula>(ISNUMBER(SEARCH("UV",D82)))</formula>
    </cfRule>
    <cfRule type="expression" priority="351" dxfId="205">
      <formula>D90="KSA"</formula>
    </cfRule>
    <cfRule type="expression" priority="350" dxfId="207">
      <formula>(((I82*3600)/(C90*I79))^2+20)&gt;180</formula>
    </cfRule>
  </conditionalFormatting>
  <conditionalFormatting sqref="F92">
    <cfRule type="cellIs" priority="509" operator="lessThan" dxfId="204">
      <formula>2100</formula>
    </cfRule>
  </conditionalFormatting>
  <conditionalFormatting sqref="F97">
    <cfRule type="cellIs" priority="486" operator="greaterThan" dxfId="204">
      <formula>3001</formula>
    </cfRule>
  </conditionalFormatting>
  <conditionalFormatting sqref="F100">
    <cfRule type="expression" priority="447" dxfId="216">
      <formula>(C100="FLO")</formula>
    </cfRule>
    <cfRule type="expression" priority="444" dxfId="214">
      <formula>(C100="LED STRIP")</formula>
    </cfRule>
    <cfRule type="expression" priority="445" dxfId="215">
      <formula>(C100="LIGHT SELECTION")</formula>
    </cfRule>
  </conditionalFormatting>
  <conditionalFormatting sqref="F107:F108">
    <cfRule type="expression" priority="329" dxfId="208">
      <formula>D107="WW PODS"</formula>
    </cfRule>
    <cfRule type="expression" priority="330" dxfId="206">
      <formula>D107="GRILLE"</formula>
    </cfRule>
    <cfRule type="expression" priority="334" dxfId="205" stopIfTrue="1">
      <formula>(ISNUMBER(SEARCH("UV",D99)))</formula>
    </cfRule>
    <cfRule type="expression" priority="333" dxfId="207">
      <formula>(((I99*3600)/(C107*I96))^2+20)&gt;300</formula>
    </cfRule>
    <cfRule type="expression" priority="335" dxfId="207">
      <formula>(((I99*3600)/(C107*I96))^2+20)&gt;180</formula>
    </cfRule>
    <cfRule type="expression" priority="332" dxfId="206" stopIfTrue="1">
      <formula>D99="canopy type"</formula>
    </cfRule>
    <cfRule type="expression" priority="331" dxfId="206">
      <formula>D107="CENTREX"</formula>
    </cfRule>
    <cfRule type="expression" priority="336" dxfId="205">
      <formula>D107="KSA"</formula>
    </cfRule>
    <cfRule type="expression" priority="328" dxfId="206">
      <formula>D107="NF"</formula>
    </cfRule>
  </conditionalFormatting>
  <conditionalFormatting sqref="F109">
    <cfRule type="cellIs" priority="480" operator="lessThan" dxfId="204">
      <formula>2100</formula>
    </cfRule>
  </conditionalFormatting>
  <conditionalFormatting sqref="F114">
    <cfRule type="cellIs" priority="309" operator="greaterThan" dxfId="204">
      <formula>3001</formula>
    </cfRule>
  </conditionalFormatting>
  <conditionalFormatting sqref="F117">
    <cfRule type="expression" priority="292" dxfId="216">
      <formula>(C117="FLO")</formula>
    </cfRule>
    <cfRule type="expression" priority="290" dxfId="215">
      <formula>(C117="LIGHT SELECTION")</formula>
    </cfRule>
    <cfRule type="expression" priority="289" dxfId="214">
      <formula>(C117="LED STRIP")</formula>
    </cfRule>
  </conditionalFormatting>
  <conditionalFormatting sqref="F124:F125">
    <cfRule type="expression" priority="279" dxfId="206">
      <formula>D124="GRILLE"</formula>
    </cfRule>
    <cfRule type="expression" priority="278" dxfId="208">
      <formula>D124="WW PODS"</formula>
    </cfRule>
    <cfRule type="expression" priority="277" dxfId="206">
      <formula>D124="NF"</formula>
    </cfRule>
    <cfRule type="expression" priority="281" dxfId="206" stopIfTrue="1">
      <formula>D116="canopy type"</formula>
    </cfRule>
    <cfRule type="expression" priority="282" dxfId="207">
      <formula>(((I116*3600)/(C124*I113))^2+20)&gt;300</formula>
    </cfRule>
    <cfRule type="expression" priority="283" dxfId="205" stopIfTrue="1">
      <formula>(ISNUMBER(SEARCH("UV",D116)))</formula>
    </cfRule>
    <cfRule type="expression" priority="284" dxfId="207">
      <formula>(((I116*3600)/(C124*I113))^2+20)&gt;180</formula>
    </cfRule>
    <cfRule type="expression" priority="285" dxfId="205">
      <formula>D124="KSA"</formula>
    </cfRule>
    <cfRule type="expression" priority="280" dxfId="206">
      <formula>D124="CENTREX"</formula>
    </cfRule>
  </conditionalFormatting>
  <conditionalFormatting sqref="F126">
    <cfRule type="cellIs" priority="303" operator="lessThan" dxfId="204">
      <formula>2100</formula>
    </cfRule>
  </conditionalFormatting>
  <conditionalFormatting sqref="F131">
    <cfRule type="cellIs" priority="254" operator="greaterThan" dxfId="204">
      <formula>3001</formula>
    </cfRule>
  </conditionalFormatting>
  <conditionalFormatting sqref="F134">
    <cfRule type="expression" priority="234" dxfId="214">
      <formula>(C134="LED STRIP")</formula>
    </cfRule>
    <cfRule type="expression" priority="237" dxfId="216">
      <formula>(C134="FLO")</formula>
    </cfRule>
    <cfRule type="expression" priority="235" dxfId="215">
      <formula>(C134="LIGHT SELECTION")</formula>
    </cfRule>
  </conditionalFormatting>
  <conditionalFormatting sqref="F141:F142">
    <cfRule type="expression" priority="223" dxfId="208">
      <formula>D141="WW PODS"</formula>
    </cfRule>
    <cfRule type="expression" priority="224" dxfId="206">
      <formula>D141="GRILLE"</formula>
    </cfRule>
    <cfRule type="expression" priority="225" dxfId="206">
      <formula>D141="CENTREX"</formula>
    </cfRule>
    <cfRule type="expression" priority="222" dxfId="206">
      <formula>D141="NF"</formula>
    </cfRule>
    <cfRule type="expression" priority="226" dxfId="206" stopIfTrue="1">
      <formula>D133="canopy type"</formula>
    </cfRule>
    <cfRule type="expression" priority="227" dxfId="207">
      <formula>(((I133*3600)/(C141*I130))^2+20)&gt;300</formula>
    </cfRule>
    <cfRule type="expression" priority="228" dxfId="205" stopIfTrue="1">
      <formula>(ISNUMBER(SEARCH("UV",D133)))</formula>
    </cfRule>
    <cfRule type="expression" priority="229" dxfId="207">
      <formula>(((I133*3600)/(C141*I130))^2+20)&gt;180</formula>
    </cfRule>
    <cfRule type="expression" priority="230" dxfId="205">
      <formula>D141="KSA"</formula>
    </cfRule>
  </conditionalFormatting>
  <conditionalFormatting sqref="F143">
    <cfRule type="cellIs" priority="248" operator="lessThan" dxfId="204">
      <formula>2100</formula>
    </cfRule>
  </conditionalFormatting>
  <conditionalFormatting sqref="F148">
    <cfRule type="cellIs" priority="203" operator="greaterThan" dxfId="204">
      <formula>3001</formula>
    </cfRule>
  </conditionalFormatting>
  <conditionalFormatting sqref="F151">
    <cfRule type="expression" priority="183" dxfId="214">
      <formula>(C151="LED STRIP")</formula>
    </cfRule>
    <cfRule type="expression" priority="184" dxfId="215">
      <formula>(C151="LIGHT SELECTION")</formula>
    </cfRule>
    <cfRule type="expression" priority="186" dxfId="216">
      <formula>(C151="FLO")</formula>
    </cfRule>
  </conditionalFormatting>
  <conditionalFormatting sqref="F158:F159">
    <cfRule type="expression" priority="178" dxfId="207">
      <formula>(((I150*3600)/(C158*I147))^2+20)&gt;180</formula>
    </cfRule>
    <cfRule type="expression" priority="171" dxfId="206">
      <formula>D158="NF"</formula>
    </cfRule>
    <cfRule type="expression" priority="172" dxfId="208">
      <formula>D158="WW PODS"</formula>
    </cfRule>
    <cfRule type="expression" priority="173" dxfId="206">
      <formula>D158="GRILLE"</formula>
    </cfRule>
    <cfRule type="expression" priority="174" dxfId="206">
      <formula>D158="CENTREX"</formula>
    </cfRule>
    <cfRule type="expression" priority="175" dxfId="206" stopIfTrue="1">
      <formula>D150="canopy type"</formula>
    </cfRule>
    <cfRule type="expression" priority="176" dxfId="207">
      <formula>(((I150*3600)/(C158*I147))^2+20)&gt;300</formula>
    </cfRule>
    <cfRule type="expression" priority="179" dxfId="205">
      <formula>D158="KSA"</formula>
    </cfRule>
    <cfRule type="expression" priority="177" dxfId="205" stopIfTrue="1">
      <formula>(ISNUMBER(SEARCH("UV",D150)))</formula>
    </cfRule>
  </conditionalFormatting>
  <conditionalFormatting sqref="F160">
    <cfRule type="cellIs" priority="197" operator="lessThan" dxfId="204">
      <formula>2100</formula>
    </cfRule>
  </conditionalFormatting>
  <conditionalFormatting sqref="F165">
    <cfRule type="cellIs" priority="152" operator="greaterThan" dxfId="204">
      <formula>3001</formula>
    </cfRule>
  </conditionalFormatting>
  <conditionalFormatting sqref="F168">
    <cfRule type="expression" priority="135" dxfId="216">
      <formula>(C168="FLO")</formula>
    </cfRule>
    <cfRule type="expression" priority="133" dxfId="215">
      <formula>(C168="LIGHT SELECTION")</formula>
    </cfRule>
    <cfRule type="expression" priority="132" dxfId="214">
      <formula>(C168="LED STRIP")</formula>
    </cfRule>
  </conditionalFormatting>
  <conditionalFormatting sqref="F175:F176">
    <cfRule type="expression" priority="126" dxfId="205" stopIfTrue="1">
      <formula>(ISNUMBER(SEARCH("UV",D167)))</formula>
    </cfRule>
    <cfRule type="expression" priority="125" dxfId="207">
      <formula>(((I167*3600)/(C175*I164))^2+20)&gt;300</formula>
    </cfRule>
    <cfRule type="expression" priority="124" dxfId="206" stopIfTrue="1">
      <formula>D167="canopy type"</formula>
    </cfRule>
    <cfRule type="expression" priority="123" dxfId="206">
      <formula>D175="CENTREX"</formula>
    </cfRule>
    <cfRule type="expression" priority="122" dxfId="206">
      <formula>D175="GRILLE"</formula>
    </cfRule>
    <cfRule type="expression" priority="121" dxfId="208">
      <formula>D175="WW PODS"</formula>
    </cfRule>
    <cfRule type="expression" priority="127" dxfId="207">
      <formula>(((I167*3600)/(C175*I164))^2+20)&gt;180</formula>
    </cfRule>
    <cfRule type="expression" priority="120" dxfId="206">
      <formula>D175="NF"</formula>
    </cfRule>
    <cfRule type="expression" priority="128" dxfId="205">
      <formula>D175="KSA"</formula>
    </cfRule>
  </conditionalFormatting>
  <conditionalFormatting sqref="F177">
    <cfRule type="cellIs" priority="146" operator="lessThan" dxfId="204">
      <formula>2100</formula>
    </cfRule>
  </conditionalFormatting>
  <conditionalFormatting sqref="G11">
    <cfRule type="expression" priority="681" dxfId="176">
      <formula>((F14-50)/H14)&lt;950</formula>
    </cfRule>
  </conditionalFormatting>
  <conditionalFormatting sqref="G12">
    <cfRule type="expression" priority="680" dxfId="175">
      <formula>((F14-50)/H14)&lt;950</formula>
    </cfRule>
  </conditionalFormatting>
  <conditionalFormatting sqref="G14">
    <cfRule type="cellIs" priority="676" operator="lessThan" dxfId="164">
      <formula>400</formula>
    </cfRule>
  </conditionalFormatting>
  <conditionalFormatting sqref="G28">
    <cfRule type="expression" priority="625" dxfId="176">
      <formula>((F31-50)/H31)&lt;950</formula>
    </cfRule>
  </conditionalFormatting>
  <conditionalFormatting sqref="G29">
    <cfRule type="expression" priority="603" dxfId="175">
      <formula>((F31-50)/H31)&lt;950</formula>
    </cfRule>
  </conditionalFormatting>
  <conditionalFormatting sqref="G31">
    <cfRule type="cellIs" priority="599" operator="lessThan" dxfId="164">
      <formula>400</formula>
    </cfRule>
  </conditionalFormatting>
  <conditionalFormatting sqref="G45">
    <cfRule type="expression" priority="641" dxfId="176">
      <formula>((F48-50)/H48)&lt;950</formula>
    </cfRule>
  </conditionalFormatting>
  <conditionalFormatting sqref="G46">
    <cfRule type="expression" priority="571" dxfId="175">
      <formula>((F48-50)/H48)&lt;950</formula>
    </cfRule>
  </conditionalFormatting>
  <conditionalFormatting sqref="G48">
    <cfRule type="cellIs" priority="567" operator="lessThan" dxfId="164">
      <formula>400</formula>
    </cfRule>
  </conditionalFormatting>
  <conditionalFormatting sqref="G62">
    <cfRule type="expression" priority="642" dxfId="176">
      <formula>((F65-50)/H65)&lt;950</formula>
    </cfRule>
  </conditionalFormatting>
  <conditionalFormatting sqref="G63">
    <cfRule type="expression" priority="544" dxfId="175">
      <formula>((F65-50)/H65)&lt;950</formula>
    </cfRule>
  </conditionalFormatting>
  <conditionalFormatting sqref="G65">
    <cfRule type="cellIs" priority="540" operator="lessThan" dxfId="164">
      <formula>400</formula>
    </cfRule>
  </conditionalFormatting>
  <conditionalFormatting sqref="G79">
    <cfRule type="expression" priority="643" dxfId="176">
      <formula>((F82-50)/H82)&lt;950</formula>
    </cfRule>
  </conditionalFormatting>
  <conditionalFormatting sqref="G80">
    <cfRule type="expression" priority="516" dxfId="175">
      <formula>((F82-50)/H82)&lt;950</formula>
    </cfRule>
  </conditionalFormatting>
  <conditionalFormatting sqref="G82">
    <cfRule type="cellIs" priority="512" operator="lessThan" dxfId="164">
      <formula>400</formula>
    </cfRule>
  </conditionalFormatting>
  <conditionalFormatting sqref="G96">
    <cfRule type="expression" priority="653" dxfId="176">
      <formula>((F99-50)/H99)&lt;950</formula>
    </cfRule>
  </conditionalFormatting>
  <conditionalFormatting sqref="G97">
    <cfRule type="expression" priority="487" dxfId="175">
      <formula>((F99-50)/H99)&lt;950</formula>
    </cfRule>
  </conditionalFormatting>
  <conditionalFormatting sqref="G99">
    <cfRule type="cellIs" priority="483" operator="lessThan" dxfId="164">
      <formula>400</formula>
    </cfRule>
  </conditionalFormatting>
  <conditionalFormatting sqref="G113">
    <cfRule type="expression" priority="321" dxfId="176">
      <formula>((F116-50)/H116)&lt;950</formula>
    </cfRule>
  </conditionalFormatting>
  <conditionalFormatting sqref="G114">
    <cfRule type="expression" priority="310" dxfId="175">
      <formula>((F116-50)/H116)&lt;950</formula>
    </cfRule>
  </conditionalFormatting>
  <conditionalFormatting sqref="G116">
    <cfRule type="cellIs" priority="306" operator="lessThan" dxfId="164">
      <formula>400</formula>
    </cfRule>
  </conditionalFormatting>
  <conditionalFormatting sqref="G130">
    <cfRule type="expression" priority="266" dxfId="176">
      <formula>((F133-50)/H133)&lt;950</formula>
    </cfRule>
  </conditionalFormatting>
  <conditionalFormatting sqref="G131">
    <cfRule type="expression" priority="255" dxfId="175">
      <formula>((F133-50)/H133)&lt;950</formula>
    </cfRule>
  </conditionalFormatting>
  <conditionalFormatting sqref="G133">
    <cfRule type="cellIs" priority="251" operator="lessThan" dxfId="164">
      <formula>400</formula>
    </cfRule>
  </conditionalFormatting>
  <conditionalFormatting sqref="G147">
    <cfRule type="expression" priority="215" dxfId="176">
      <formula>((F150-50)/H150)&lt;950</formula>
    </cfRule>
  </conditionalFormatting>
  <conditionalFormatting sqref="G148">
    <cfRule type="expression" priority="204" dxfId="175">
      <formula>((F150-50)/H150)&lt;950</formula>
    </cfRule>
  </conditionalFormatting>
  <conditionalFormatting sqref="G150">
    <cfRule type="cellIs" priority="200" operator="lessThan" dxfId="164">
      <formula>400</formula>
    </cfRule>
  </conditionalFormatting>
  <conditionalFormatting sqref="G164">
    <cfRule type="expression" priority="164" dxfId="176">
      <formula>((F167-50)/H167)&lt;950</formula>
    </cfRule>
  </conditionalFormatting>
  <conditionalFormatting sqref="G165">
    <cfRule type="expression" priority="153" dxfId="175">
      <formula>((F167-50)/H167)&lt;950</formula>
    </cfRule>
  </conditionalFormatting>
  <conditionalFormatting sqref="G167">
    <cfRule type="cellIs" priority="149" operator="lessThan" dxfId="164">
      <formula>400</formula>
    </cfRule>
  </conditionalFormatting>
  <conditionalFormatting sqref="I14">
    <cfRule type="cellIs" priority="677" operator="lessThan" dxfId="164">
      <formula>0.1</formula>
    </cfRule>
  </conditionalFormatting>
  <conditionalFormatting sqref="I31">
    <cfRule type="cellIs" priority="600" operator="lessThan" dxfId="164">
      <formula>0.1</formula>
    </cfRule>
  </conditionalFormatting>
  <conditionalFormatting sqref="I48">
    <cfRule type="cellIs" priority="568" operator="lessThan" dxfId="164">
      <formula>0.1</formula>
    </cfRule>
  </conditionalFormatting>
  <conditionalFormatting sqref="I65">
    <cfRule type="cellIs" priority="541" operator="lessThan" dxfId="164">
      <formula>0.1</formula>
    </cfRule>
  </conditionalFormatting>
  <conditionalFormatting sqref="I82">
    <cfRule type="cellIs" priority="513" operator="lessThan" dxfId="164">
      <formula>0.1</formula>
    </cfRule>
  </conditionalFormatting>
  <conditionalFormatting sqref="I99">
    <cfRule type="cellIs" priority="484" operator="lessThan" dxfId="164">
      <formula>0.1</formula>
    </cfRule>
  </conditionalFormatting>
  <conditionalFormatting sqref="I116">
    <cfRule type="cellIs" priority="307" operator="lessThan" dxfId="164">
      <formula>0.1</formula>
    </cfRule>
  </conditionalFormatting>
  <conditionalFormatting sqref="I133">
    <cfRule type="cellIs" priority="252" operator="lessThan" dxfId="164">
      <formula>0.1</formula>
    </cfRule>
  </conditionalFormatting>
  <conditionalFormatting sqref="I150">
    <cfRule type="cellIs" priority="201" operator="lessThan" dxfId="164">
      <formula>0.1</formula>
    </cfRule>
  </conditionalFormatting>
  <conditionalFormatting sqref="I167">
    <cfRule type="cellIs" priority="150" operator="lessThan" dxfId="164">
      <formula>0.1</formula>
    </cfRule>
  </conditionalFormatting>
  <conditionalFormatting sqref="J14:J27">
    <cfRule type="cellIs" priority="410" operator="greaterThan" dxfId="153">
      <formula>0</formula>
    </cfRule>
  </conditionalFormatting>
  <conditionalFormatting sqref="J31:J44">
    <cfRule type="cellIs" priority="383" operator="greaterThan" dxfId="153">
      <formula>0</formula>
    </cfRule>
  </conditionalFormatting>
  <conditionalFormatting sqref="J48:J61">
    <cfRule type="cellIs" priority="99" operator="greaterThan" dxfId="153">
      <formula>0</formula>
    </cfRule>
  </conditionalFormatting>
  <conditionalFormatting sqref="J65:J78">
    <cfRule type="cellIs" priority="85" operator="greaterThan" dxfId="153">
      <formula>0</formula>
    </cfRule>
  </conditionalFormatting>
  <conditionalFormatting sqref="J82:J95">
    <cfRule type="cellIs" priority="71" operator="greaterThan" dxfId="153">
      <formula>0</formula>
    </cfRule>
  </conditionalFormatting>
  <conditionalFormatting sqref="J99:J112">
    <cfRule type="cellIs" priority="57" operator="greaterThan" dxfId="153">
      <formula>0</formula>
    </cfRule>
  </conditionalFormatting>
  <conditionalFormatting sqref="J116:J129">
    <cfRule type="cellIs" priority="43" operator="greaterThan" dxfId="153">
      <formula>0</formula>
    </cfRule>
  </conditionalFormatting>
  <conditionalFormatting sqref="J133:J146">
    <cfRule type="cellIs" priority="29" operator="greaterThan" dxfId="153">
      <formula>0</formula>
    </cfRule>
  </conditionalFormatting>
  <conditionalFormatting sqref="J150:J163">
    <cfRule type="cellIs" priority="15" operator="greaterThan" dxfId="153">
      <formula>0</formula>
    </cfRule>
  </conditionalFormatting>
  <conditionalFormatting sqref="J167:J180">
    <cfRule type="cellIs" priority="1" operator="greaterThan" dxfId="153">
      <formula>0</formula>
    </cfRule>
  </conditionalFormatting>
  <conditionalFormatting sqref="J183:J197">
    <cfRule type="expression" priority="267" dxfId="153">
      <formula>C183&gt;0</formula>
    </cfRule>
  </conditionalFormatting>
  <conditionalFormatting sqref="J199">
    <cfRule type="expression" priority="658" dxfId="2">
      <formula>#REF!="EURO"</formula>
    </cfRule>
  </conditionalFormatting>
  <conditionalFormatting sqref="K14:K27">
    <cfRule type="cellIs" priority="424" operator="greaterThan" dxfId="141">
      <formula>0</formula>
    </cfRule>
  </conditionalFormatting>
  <conditionalFormatting sqref="K31:K44">
    <cfRule type="cellIs" priority="386" operator="greaterThan" dxfId="141">
      <formula>0</formula>
    </cfRule>
  </conditionalFormatting>
  <conditionalFormatting sqref="K48:K61">
    <cfRule type="cellIs" priority="102" operator="greaterThan" dxfId="141">
      <formula>0</formula>
    </cfRule>
  </conditionalFormatting>
  <conditionalFormatting sqref="K65:K78">
    <cfRule type="cellIs" priority="88" operator="greaterThan" dxfId="141">
      <formula>0</formula>
    </cfRule>
  </conditionalFormatting>
  <conditionalFormatting sqref="K82:K95">
    <cfRule type="cellIs" priority="74" operator="greaterThan" dxfId="141">
      <formula>0</formula>
    </cfRule>
  </conditionalFormatting>
  <conditionalFormatting sqref="K99:K112">
    <cfRule type="cellIs" priority="60" operator="greaterThan" dxfId="141">
      <formula>0</formula>
    </cfRule>
  </conditionalFormatting>
  <conditionalFormatting sqref="K116:K129">
    <cfRule type="cellIs" priority="46" operator="greaterThan" dxfId="141">
      <formula>0</formula>
    </cfRule>
  </conditionalFormatting>
  <conditionalFormatting sqref="K133:K146">
    <cfRule type="cellIs" priority="32" operator="greaterThan" dxfId="141">
      <formula>0</formula>
    </cfRule>
  </conditionalFormatting>
  <conditionalFormatting sqref="K150:K163">
    <cfRule type="cellIs" priority="18" operator="greaterThan" dxfId="141">
      <formula>0</formula>
    </cfRule>
  </conditionalFormatting>
  <conditionalFormatting sqref="K167:K180">
    <cfRule type="cellIs" priority="4" operator="greaterThan" dxfId="141">
      <formula>0</formula>
    </cfRule>
  </conditionalFormatting>
  <conditionalFormatting sqref="K183:K197">
    <cfRule type="cellIs" priority="268" operator="greaterThan" dxfId="141">
      <formula>0</formula>
    </cfRule>
  </conditionalFormatting>
  <conditionalFormatting sqref="K199">
    <cfRule type="expression" priority="657" dxfId="2">
      <formula>$B$9="EURO"</formula>
    </cfRule>
    <cfRule type="expression" priority="656" dxfId="3">
      <formula>$B$9="USD"</formula>
    </cfRule>
    <cfRule type="expression" priority="655" dxfId="0">
      <formula>$B$9="CZK"</formula>
    </cfRule>
    <cfRule type="expression" priority="654" dxfId="4">
      <formula>$B$9="PLN"</formula>
    </cfRule>
  </conditionalFormatting>
  <conditionalFormatting sqref="L14:L27">
    <cfRule type="expression" priority="421" dxfId="116">
      <formula>$C$9&lt;0</formula>
    </cfRule>
    <cfRule type="expression" priority="422" dxfId="115">
      <formula>$C$9&gt;0</formula>
    </cfRule>
  </conditionalFormatting>
  <conditionalFormatting sqref="L31:L44">
    <cfRule type="expression" priority="385" dxfId="115">
      <formula>$C$9&gt;0</formula>
    </cfRule>
    <cfRule type="expression" priority="384" dxfId="116">
      <formula>$C$9&lt;0</formula>
    </cfRule>
  </conditionalFormatting>
  <conditionalFormatting sqref="L48:L61">
    <cfRule type="expression" priority="100" dxfId="116">
      <formula>$C$9&lt;0</formula>
    </cfRule>
    <cfRule type="expression" priority="101" dxfId="115">
      <formula>$C$9&gt;0</formula>
    </cfRule>
  </conditionalFormatting>
  <conditionalFormatting sqref="L65:L78">
    <cfRule type="expression" priority="86" dxfId="116">
      <formula>$C$9&lt;0</formula>
    </cfRule>
    <cfRule type="expression" priority="87" dxfId="115">
      <formula>$C$9&gt;0</formula>
    </cfRule>
  </conditionalFormatting>
  <conditionalFormatting sqref="L82:L95">
    <cfRule type="expression" priority="72" dxfId="116">
      <formula>$C$9&lt;0</formula>
    </cfRule>
    <cfRule type="expression" priority="73" dxfId="115">
      <formula>$C$9&gt;0</formula>
    </cfRule>
  </conditionalFormatting>
  <conditionalFormatting sqref="L99:L112">
    <cfRule type="expression" priority="58" dxfId="116">
      <formula>$C$9&lt;0</formula>
    </cfRule>
    <cfRule type="expression" priority="59" dxfId="115">
      <formula>$C$9&gt;0</formula>
    </cfRule>
  </conditionalFormatting>
  <conditionalFormatting sqref="L116:L129">
    <cfRule type="expression" priority="44" dxfId="116">
      <formula>$C$9&lt;0</formula>
    </cfRule>
    <cfRule type="expression" priority="45" dxfId="115">
      <formula>$C$9&gt;0</formula>
    </cfRule>
  </conditionalFormatting>
  <conditionalFormatting sqref="L133:L146">
    <cfRule type="expression" priority="31" dxfId="115">
      <formula>$C$9&gt;0</formula>
    </cfRule>
    <cfRule type="expression" priority="30" dxfId="116">
      <formula>$C$9&lt;0</formula>
    </cfRule>
  </conditionalFormatting>
  <conditionalFormatting sqref="L150:L163">
    <cfRule type="expression" priority="17" dxfId="115">
      <formula>$C$9&gt;0</formula>
    </cfRule>
    <cfRule type="expression" priority="16" dxfId="116">
      <formula>$C$9&lt;0</formula>
    </cfRule>
  </conditionalFormatting>
  <conditionalFormatting sqref="L167:L180">
    <cfRule type="expression" priority="3" dxfId="115">
      <formula>$C$9&gt;0</formula>
    </cfRule>
    <cfRule type="expression" priority="2" dxfId="116">
      <formula>$C$9&lt;0</formula>
    </cfRule>
  </conditionalFormatting>
  <conditionalFormatting sqref="L183:L197">
    <cfRule type="expression" priority="644" dxfId="116">
      <formula>$C$9&lt;0</formula>
    </cfRule>
    <cfRule type="expression" priority="645" dxfId="115">
      <formula>$C$9&gt;0</formula>
    </cfRule>
  </conditionalFormatting>
  <conditionalFormatting sqref="N9 N12">
    <cfRule type="expression" priority="688" dxfId="4">
      <formula>$B$9="PLN"</formula>
    </cfRule>
    <cfRule type="expression" priority="689" dxfId="0">
      <formula>$B$9="CZK"</formula>
    </cfRule>
    <cfRule type="expression" priority="690" dxfId="3">
      <formula>$B$9="USD"</formula>
    </cfRule>
    <cfRule type="expression" priority="691" dxfId="2">
      <formula>$B$9="EURO"</formula>
    </cfRule>
  </conditionalFormatting>
  <conditionalFormatting sqref="N14:N27">
    <cfRule type="expression" priority="630" dxfId="3">
      <formula>$B$9="USD"</formula>
    </cfRule>
    <cfRule type="expression" priority="629" dxfId="2">
      <formula>$B$9="EURO"</formula>
    </cfRule>
    <cfRule type="cellIs" priority="628" operator="greaterThan" dxfId="1">
      <formula>0</formula>
    </cfRule>
    <cfRule type="expression" priority="632" dxfId="0">
      <formula>$B$9="CZK"</formula>
    </cfRule>
    <cfRule type="expression" priority="631" dxfId="4">
      <formula>$B$9="PLN"</formula>
    </cfRule>
  </conditionalFormatting>
  <conditionalFormatting sqref="N29">
    <cfRule type="expression" priority="609" dxfId="4">
      <formula>$B$9="PLN"</formula>
    </cfRule>
    <cfRule type="expression" priority="612" dxfId="2">
      <formula>$B$9="EURO"</formula>
    </cfRule>
    <cfRule type="expression" priority="611" dxfId="3">
      <formula>$B$9="USD"</formula>
    </cfRule>
    <cfRule type="expression" priority="610" dxfId="0">
      <formula>$B$9="CZK"</formula>
    </cfRule>
  </conditionalFormatting>
  <conditionalFormatting sqref="N31:N44">
    <cfRule type="cellIs" priority="389" operator="greaterThan" dxfId="1">
      <formula>0</formula>
    </cfRule>
    <cfRule type="expression" priority="390" dxfId="2">
      <formula>$B$9="EURO"</formula>
    </cfRule>
    <cfRule type="expression" priority="391" dxfId="3">
      <formula>$B$9="USD"</formula>
    </cfRule>
    <cfRule type="expression" priority="392" dxfId="4">
      <formula>$B$9="PLN"</formula>
    </cfRule>
    <cfRule type="expression" priority="393" dxfId="0">
      <formula>$B$9="CZK"</formula>
    </cfRule>
  </conditionalFormatting>
  <conditionalFormatting sqref="N46">
    <cfRule type="expression" priority="577" dxfId="4">
      <formula>$B$9="PLN"</formula>
    </cfRule>
    <cfRule type="expression" priority="579" dxfId="3">
      <formula>$B$9="USD"</formula>
    </cfRule>
    <cfRule type="expression" priority="580" dxfId="2">
      <formula>$B$9="EURO"</formula>
    </cfRule>
    <cfRule type="expression" priority="578" dxfId="0">
      <formula>$B$9="CZK"</formula>
    </cfRule>
  </conditionalFormatting>
  <conditionalFormatting sqref="N48:N61">
    <cfRule type="expression" priority="105" dxfId="2">
      <formula>$B$9="EURO"</formula>
    </cfRule>
    <cfRule type="cellIs" priority="104" operator="greaterThan" dxfId="1">
      <formula>0</formula>
    </cfRule>
    <cfRule type="expression" priority="108" dxfId="0">
      <formula>$B$9="CZK"</formula>
    </cfRule>
    <cfRule type="expression" priority="107" dxfId="4">
      <formula>$B$9="PLN"</formula>
    </cfRule>
    <cfRule type="expression" priority="106" dxfId="3">
      <formula>$B$9="USD"</formula>
    </cfRule>
  </conditionalFormatting>
  <conditionalFormatting sqref="N63">
    <cfRule type="expression" priority="550" dxfId="4">
      <formula>$B$9="PLN"</formula>
    </cfRule>
    <cfRule type="expression" priority="551" dxfId="0">
      <formula>$B$9="CZK"</formula>
    </cfRule>
    <cfRule type="expression" priority="552" dxfId="3">
      <formula>$B$9="USD"</formula>
    </cfRule>
    <cfRule type="expression" priority="553" dxfId="2">
      <formula>$B$9="EURO"</formula>
    </cfRule>
  </conditionalFormatting>
  <conditionalFormatting sqref="N65:N78">
    <cfRule type="expression" priority="93" dxfId="4">
      <formula>$B$9="PLN"</formula>
    </cfRule>
    <cfRule type="expression" priority="94" dxfId="0">
      <formula>$B$9="CZK"</formula>
    </cfRule>
    <cfRule type="expression" priority="92" dxfId="3">
      <formula>$B$9="USD"</formula>
    </cfRule>
    <cfRule type="expression" priority="91" dxfId="2">
      <formula>$B$9="EURO"</formula>
    </cfRule>
    <cfRule type="cellIs" priority="90" operator="greaterThan" dxfId="1">
      <formula>0</formula>
    </cfRule>
  </conditionalFormatting>
  <conditionalFormatting sqref="N80">
    <cfRule type="expression" priority="523" dxfId="0">
      <formula>$B$9="CZK"</formula>
    </cfRule>
    <cfRule type="expression" priority="524" dxfId="3">
      <formula>$B$9="USD"</formula>
    </cfRule>
    <cfRule type="expression" priority="522" dxfId="4">
      <formula>$B$9="PLN"</formula>
    </cfRule>
    <cfRule type="expression" priority="525" dxfId="2">
      <formula>$B$9="EURO"</formula>
    </cfRule>
  </conditionalFormatting>
  <conditionalFormatting sqref="N82:N95">
    <cfRule type="expression" priority="79" dxfId="4">
      <formula>$B$9="PLN"</formula>
    </cfRule>
    <cfRule type="expression" priority="78" dxfId="3">
      <formula>$B$9="USD"</formula>
    </cfRule>
    <cfRule type="expression" priority="80" dxfId="0">
      <formula>$B$9="CZK"</formula>
    </cfRule>
    <cfRule type="cellIs" priority="76" operator="greaterThan" dxfId="1">
      <formula>0</formula>
    </cfRule>
    <cfRule type="expression" priority="77" dxfId="2">
      <formula>$B$9="EURO"</formula>
    </cfRule>
  </conditionalFormatting>
  <conditionalFormatting sqref="N97">
    <cfRule type="expression" priority="494" dxfId="0">
      <formula>$B$9="CZK"</formula>
    </cfRule>
    <cfRule type="expression" priority="493" dxfId="4">
      <formula>$B$9="PLN"</formula>
    </cfRule>
    <cfRule type="expression" priority="496" dxfId="2">
      <formula>$B$9="EURO"</formula>
    </cfRule>
    <cfRule type="expression" priority="495" dxfId="3">
      <formula>$B$9="USD"</formula>
    </cfRule>
  </conditionalFormatting>
  <conditionalFormatting sqref="N99:N112">
    <cfRule type="cellIs" priority="62" operator="greaterThan" dxfId="1">
      <formula>0</formula>
    </cfRule>
    <cfRule type="expression" priority="63" dxfId="2">
      <formula>$B$9="EURO"</formula>
    </cfRule>
    <cfRule type="expression" priority="64" dxfId="3">
      <formula>$B$9="USD"</formula>
    </cfRule>
    <cfRule type="expression" priority="65" dxfId="4">
      <formula>$B$9="PLN"</formula>
    </cfRule>
    <cfRule type="expression" priority="66" dxfId="0">
      <formula>$B$9="CZK"</formula>
    </cfRule>
  </conditionalFormatting>
  <conditionalFormatting sqref="N114">
    <cfRule type="expression" priority="317" dxfId="0">
      <formula>$B$9="CZK"</formula>
    </cfRule>
    <cfRule type="expression" priority="318" dxfId="3">
      <formula>$B$9="USD"</formula>
    </cfRule>
    <cfRule type="expression" priority="319" dxfId="2">
      <formula>$B$9="EURO"</formula>
    </cfRule>
    <cfRule type="expression" priority="316" dxfId="4">
      <formula>$B$9="PLN"</formula>
    </cfRule>
  </conditionalFormatting>
  <conditionalFormatting sqref="N116:N129">
    <cfRule type="cellIs" priority="48" operator="greaterThan" dxfId="1">
      <formula>0</formula>
    </cfRule>
    <cfRule type="expression" priority="52" dxfId="0">
      <formula>$B$9="CZK"</formula>
    </cfRule>
    <cfRule type="expression" priority="51" dxfId="4">
      <formula>$B$9="PLN"</formula>
    </cfRule>
    <cfRule type="expression" priority="50" dxfId="3">
      <formula>$B$9="USD"</formula>
    </cfRule>
    <cfRule type="expression" priority="49" dxfId="2">
      <formula>$B$9="EURO"</formula>
    </cfRule>
  </conditionalFormatting>
  <conditionalFormatting sqref="N131">
    <cfRule type="expression" priority="261" dxfId="4">
      <formula>$B$9="PLN"</formula>
    </cfRule>
    <cfRule type="expression" priority="262" dxfId="0">
      <formula>$B$9="CZK"</formula>
    </cfRule>
    <cfRule type="expression" priority="263" dxfId="3">
      <formula>$B$9="USD"</formula>
    </cfRule>
    <cfRule type="expression" priority="264" dxfId="2">
      <formula>$B$9="EURO"</formula>
    </cfRule>
  </conditionalFormatting>
  <conditionalFormatting sqref="N133:N146">
    <cfRule type="expression" priority="37" dxfId="4">
      <formula>$B$9="PLN"</formula>
    </cfRule>
    <cfRule type="expression" priority="36" dxfId="3">
      <formula>$B$9="USD"</formula>
    </cfRule>
    <cfRule type="expression" priority="38" dxfId="0">
      <formula>$B$9="CZK"</formula>
    </cfRule>
    <cfRule type="expression" priority="35" dxfId="2">
      <formula>$B$9="EURO"</formula>
    </cfRule>
    <cfRule type="cellIs" priority="34" operator="greaterThan" dxfId="1">
      <formula>0</formula>
    </cfRule>
  </conditionalFormatting>
  <conditionalFormatting sqref="N148">
    <cfRule type="expression" priority="213" dxfId="2">
      <formula>$B$9="EURO"</formula>
    </cfRule>
    <cfRule type="expression" priority="211" dxfId="0">
      <formula>$B$9="CZK"</formula>
    </cfRule>
    <cfRule type="expression" priority="210" dxfId="4">
      <formula>$B$9="PLN"</formula>
    </cfRule>
    <cfRule type="expression" priority="212" dxfId="3">
      <formula>$B$9="USD"</formula>
    </cfRule>
  </conditionalFormatting>
  <conditionalFormatting sqref="N150:N163">
    <cfRule type="expression" priority="22" dxfId="3">
      <formula>$B$9="USD"</formula>
    </cfRule>
    <cfRule type="cellIs" priority="20" operator="greaterThan" dxfId="1">
      <formula>0</formula>
    </cfRule>
    <cfRule type="expression" priority="21" dxfId="2">
      <formula>$B$9="EURO"</formula>
    </cfRule>
    <cfRule type="expression" priority="24" dxfId="0">
      <formula>$B$9="CZK"</formula>
    </cfRule>
    <cfRule type="expression" priority="23" dxfId="4">
      <formula>$B$9="PLN"</formula>
    </cfRule>
  </conditionalFormatting>
  <conditionalFormatting sqref="N165">
    <cfRule type="expression" priority="161" dxfId="3">
      <formula>$B$9="USD"</formula>
    </cfRule>
    <cfRule type="expression" priority="160" dxfId="0">
      <formula>$B$9="CZK"</formula>
    </cfRule>
    <cfRule type="expression" priority="162" dxfId="2">
      <formula>$B$9="EURO"</formula>
    </cfRule>
    <cfRule type="expression" priority="159" dxfId="4">
      <formula>$B$9="PLN"</formula>
    </cfRule>
  </conditionalFormatting>
  <conditionalFormatting sqref="N167:N180">
    <cfRule type="expression" priority="10" dxfId="0">
      <formula>$B$9="CZK"</formula>
    </cfRule>
    <cfRule type="expression" priority="7" dxfId="2">
      <formula>$B$9="EURO"</formula>
    </cfRule>
    <cfRule type="cellIs" priority="6" operator="greaterThan" dxfId="1">
      <formula>0</formula>
    </cfRule>
    <cfRule type="expression" priority="8" dxfId="3">
      <formula>$B$9="USD"</formula>
    </cfRule>
    <cfRule type="expression" priority="9" dxfId="4">
      <formula>$B$9="PLN"</formula>
    </cfRule>
  </conditionalFormatting>
  <conditionalFormatting sqref="N183:N197">
    <cfRule type="expression" priority="640" dxfId="0">
      <formula>$B$9="CZK"</formula>
    </cfRule>
    <cfRule type="expression" priority="639" dxfId="4">
      <formula>$B$9="PLN"</formula>
    </cfRule>
    <cfRule type="expression" priority="638" dxfId="3">
      <formula>$B$9="USD"</formula>
    </cfRule>
    <cfRule type="expression" priority="637" dxfId="2">
      <formula>$B$9="EURO"</formula>
    </cfRule>
    <cfRule type="cellIs" priority="636" operator="greaterThan" dxfId="1">
      <formula>0</formula>
    </cfRule>
  </conditionalFormatting>
  <conditionalFormatting sqref="N182:O182">
    <cfRule type="expression" priority="647" dxfId="0">
      <formula>$B$9="CZK"</formula>
    </cfRule>
    <cfRule type="expression" priority="646" dxfId="4">
      <formula>$B$9="PLN"</formula>
    </cfRule>
    <cfRule type="expression" priority="649" dxfId="2">
      <formula>$B$9="EURO"</formula>
    </cfRule>
    <cfRule type="expression" priority="648" dxfId="3">
      <formula>$B$9="USD"</formula>
    </cfRule>
  </conditionalFormatting>
  <conditionalFormatting sqref="O14:O27">
    <cfRule type="cellIs" priority="633" operator="greaterThan" dxfId="5">
      <formula>0</formula>
    </cfRule>
  </conditionalFormatting>
  <conditionalFormatting sqref="O31:O44">
    <cfRule type="cellIs" priority="394" operator="greaterThan" dxfId="5">
      <formula>0</formula>
    </cfRule>
  </conditionalFormatting>
  <conditionalFormatting sqref="O48:O61">
    <cfRule type="cellIs" priority="109" operator="greaterThan" dxfId="5">
      <formula>0</formula>
    </cfRule>
  </conditionalFormatting>
  <conditionalFormatting sqref="O65:O78">
    <cfRule type="cellIs" priority="95" operator="greaterThan" dxfId="5">
      <formula>0</formula>
    </cfRule>
  </conditionalFormatting>
  <conditionalFormatting sqref="O82:O95">
    <cfRule type="cellIs" priority="81" operator="greaterThan" dxfId="5">
      <formula>0</formula>
    </cfRule>
  </conditionalFormatting>
  <conditionalFormatting sqref="O99:O112">
    <cfRule type="cellIs" priority="67" operator="greaterThan" dxfId="5">
      <formula>0</formula>
    </cfRule>
  </conditionalFormatting>
  <conditionalFormatting sqref="O116:O129">
    <cfRule type="cellIs" priority="53" operator="greaterThan" dxfId="5">
      <formula>0</formula>
    </cfRule>
  </conditionalFormatting>
  <conditionalFormatting sqref="O133:O146">
    <cfRule type="cellIs" priority="39" operator="greaterThan" dxfId="5">
      <formula>0</formula>
    </cfRule>
  </conditionalFormatting>
  <conditionalFormatting sqref="O150:O163">
    <cfRule type="cellIs" priority="25" operator="greaterThan" dxfId="5">
      <formula>0</formula>
    </cfRule>
  </conditionalFormatting>
  <conditionalFormatting sqref="O167:O180">
    <cfRule type="cellIs" priority="11" operator="greaterThan" dxfId="5">
      <formula>0</formula>
    </cfRule>
  </conditionalFormatting>
  <conditionalFormatting sqref="O183:O197">
    <cfRule type="cellIs" priority="659" operator="greaterThan" dxfId="5">
      <formula>0</formula>
    </cfRule>
  </conditionalFormatting>
  <conditionalFormatting sqref="Q16">
    <cfRule type="expression" priority="414" dxfId="4">
      <formula>$B$9="PLN"</formula>
    </cfRule>
    <cfRule type="expression" priority="413" dxfId="3">
      <formula>$B$9="USD"</formula>
    </cfRule>
    <cfRule type="expression" priority="412" dxfId="2">
      <formula>$B$9="EURO"</formula>
    </cfRule>
    <cfRule type="cellIs" priority="411" operator="greaterThan" dxfId="1">
      <formula>0</formula>
    </cfRule>
    <cfRule type="expression" priority="415" dxfId="0">
      <formula>$B$9="CZK"</formula>
    </cfRule>
  </conditionalFormatting>
  <dataValidations count="16">
    <dataValidation sqref="C27 C44 C61 C78 C95 C112 C129 C146 C163 C180" showDropDown="0" showInputMessage="1" showErrorMessage="1" allowBlank="1" type="list">
      <formula1>"0,0.5,1,1.5,2,2.5,3,3.5,4,4.5,5"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0:C21 C37:C38 C54:C55 C71:C72 C88:C89 C105:C106 C122:C123 C139:C140 C156:C157 C173:C174" showDropDown="0" showInputMessage="1" showErrorMessage="1" allowBlank="1" type="list">
      <formula1>"0,1,2,3,4,5,6,7,8,9,10,11,12,13,14,15,16,17,18,19,20"</formula1>
    </dataValidation>
    <dataValidation sqref="E14 E31 E48 E65 E82 E99 E116 E133 E150 E167" showDropDown="0" showInputMessage="1" showErrorMessage="1" allowBlank="1" operator="greaterThan"/>
    <dataValidation sqref="C14 C31 C48 C65 C82 C99 C116 C133 C150 C167" showDropDown="0" showInputMessage="1" showErrorMessage="1" allowBlank="1" type="list">
      <formula1>"WALL, ISLAND"</formula1>
    </dataValidation>
    <dataValidation sqref="G181" showDropDown="0" showInputMessage="1" showErrorMessage="1" allowBlank="1" type="list">
      <formula1>#REF!</formula1>
    </dataValidation>
    <dataValidation sqref="D26 D43 D60 D77 D94 D111 D128 D145 D162 D179" showDropDown="0" showInputMessage="1" showErrorMessage="1" allowBlank="1" type="list">
      <formula1>"0,1,2,3,4,5,6,7,8,9,10"</formula1>
    </dataValidation>
    <dataValidation sqref="C15 C32 C49 C66 C83 C100 C117 C134 C151 C168 C185 C202 C219 C236 C253 C270 C287 C304" showDropDown="0" showInputMessage="0" showErrorMessage="0" allowBlank="1" type="list">
      <formula1>Lists!$A$1:$A$5</formula1>
    </dataValidation>
    <dataValidation sqref="C16 C33 C50 C67 C84 C101 C118 C135 C152 C169 C186 C203 C220 C237 C254 C271 C288 C305" showDropDown="0" showInputMessage="0" showErrorMessage="0" allowBlank="1" type="list">
      <formula1>Lists!$B$1:$B$17</formula1>
    </dataValidation>
    <dataValidation sqref="C17 C34 C51 C68 C85 C102 C119 C136 C153 C170 C187 C204 C221 C238 C255 C272 C289 C306" showDropDown="0" showInputMessage="0" showErrorMessage="0" allowBlank="1" type="list">
      <formula1>Lists!$B$1:$B$18</formula1>
    </dataValidation>
    <dataValidation sqref="C19 C36 C53 C70 C87 C104 C121 C138 C155 C172 C189 C206 C223 C240 C257 C274 C291 C308" showDropDown="0" showInputMessage="0" showErrorMessage="0" allowBlank="1" type="list">
      <formula1>Lists!$C$1:$C$2</formula1>
    </dataValidation>
    <dataValidation sqref="C25 C42 C59 C76 C93 C110 C127 C144 C161 C178 C195 C212 C229 C246 C263 C280 C297" showDropDown="0" showInputMessage="0" showErrorMessage="0" allowBlank="1" type="list">
      <formula1>Lists!$D$1:$D$4</formula1>
    </dataValidation>
    <dataValidation sqref="C26 C43 C60 C77 C94 C111 C128 C145 C162 C179 C196 C213 C230 C247 C264 C281 C298" showDropDown="0" showInputMessage="0" showErrorMessage="0" allowBlank="1" type="list">
      <formula1>Lists!$E$1:$E$10</formula1>
    </dataValidation>
    <dataValidation sqref="D183" showDropDown="0" showInputMessage="0" showErrorMessage="0" allowBlank="1" type="list">
      <formula1>Lists!$F$1:$F$193</formula1>
    </dataValidation>
    <dataValidation sqref="D184" showDropDown="0" showInputMessage="0" showErrorMessage="0" allowBlank="1" type="list">
      <formula1>Lists!$G$1:$G$12</formula1>
    </dataValidation>
    <dataValidation sqref="D185" showDropDown="0" showInputMessage="0" showErrorMessage="0" allowBlank="1" type="list">
      <formula1>Lists!$G$1:$G$12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1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 codeName="Sheet33">
    <tabColor theme="8" tint="0.7999816888943144"/>
    <outlinePr summaryBelow="1" summaryRight="1"/>
    <pageSetUpPr fitToPage="1"/>
  </sheetPr>
  <dimension ref="A1:Z310"/>
  <sheetViews>
    <sheetView showGridLines="0" topLeftCell="G2" zoomScale="106" zoomScaleNormal="80" zoomScaleSheetLayoutView="50" workbookViewId="0">
      <selection activeCell="P182" sqref="P182"/>
    </sheetView>
  </sheetViews>
  <sheetFormatPr baseColWidth="10" defaultColWidth="8.83203125" defaultRowHeight="15" customHeight="1" outlineLevelRow="1"/>
  <cols>
    <col width="2" customWidth="1" style="666" min="1" max="1"/>
    <col width="29.6640625" customWidth="1" style="1095" min="2" max="2"/>
    <col width="24.6640625" customWidth="1" style="1095" min="3" max="3"/>
    <col width="27.1640625" customWidth="1" style="1095" min="4" max="4"/>
    <col width="26.6640625" customWidth="1" style="1095" min="5" max="5"/>
    <col width="18.83203125" customWidth="1" style="1095" min="6" max="6"/>
    <col width="22.6640625" customWidth="1" style="1095" min="7" max="7"/>
    <col width="10" bestFit="1" customWidth="1" style="1096" min="8" max="8"/>
    <col width="11.6640625" bestFit="1" customWidth="1" style="1096" min="9" max="9"/>
    <col width="12.33203125" customWidth="1" style="1097" min="10" max="10"/>
    <col width="15" customWidth="1" style="1098" min="11" max="11"/>
    <col width="7.6640625" bestFit="1" customWidth="1" style="1098" min="12" max="12"/>
    <col hidden="1" width="12.33203125" customWidth="1" style="1099" min="13" max="13"/>
    <col width="12.8320312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8"/>
    <col width="8.83203125" customWidth="1" style="1095" min="99" max="16384"/>
  </cols>
  <sheetData>
    <row r="1" ht="15" customHeight="1" s="1085">
      <c r="B1" s="1116" t="inlineStr">
        <is>
          <t>F24 - 19  CANOPY COST SHEET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 t="n"/>
      <c r="F3" s="690" t="inlineStr">
        <is>
          <t>Project Name</t>
        </is>
      </c>
      <c r="G3" s="1071" t="n"/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 t="n"/>
      <c r="F5" s="690" t="inlineStr">
        <is>
          <t>Location</t>
        </is>
      </c>
      <c r="G5" s="1071" t="n"/>
      <c r="M5" s="684" t="n"/>
      <c r="N5" s="685" t="n"/>
      <c r="P5" s="1118" t="inlineStr">
        <is>
          <t>RECO CANOPIES MUST HAVE COALESCERS</t>
        </is>
      </c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 t="n"/>
      <c r="F7" s="690" t="inlineStr">
        <is>
          <t>Date</t>
        </is>
      </c>
      <c r="G7" s="1075" t="n"/>
      <c r="N7" s="699" t="inlineStr">
        <is>
          <t>Revision No</t>
        </is>
      </c>
      <c r="O7" s="809" t="inlineStr">
        <is>
          <t>B</t>
        </is>
      </c>
      <c r="P7" s="1091" t="inlineStr">
        <is>
          <t>GP SHOULD BE MINIMUM 44%</t>
        </is>
      </c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47" t="n"/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8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 xml:space="preserve">ITEM 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68">
        <f>N12-N19</f>
        <v/>
      </c>
      <c r="Q12" s="1095" t="n"/>
      <c r="R12" s="1095" t="n"/>
      <c r="S12" s="713" t="n"/>
      <c r="T12" s="1095" t="n"/>
      <c r="X12" s="1095" t="n"/>
      <c r="Y12" s="1095" t="n"/>
      <c r="Z12" s="1095" t="n"/>
    </row>
    <row r="13" hidden="1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hidden="1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CANOPY TYPE</t>
        </is>
      </c>
      <c r="E14" s="734" t="n"/>
      <c r="F14" s="734" t="n"/>
      <c r="G14" s="734" t="n"/>
      <c r="H14" s="735" t="n"/>
      <c r="I14" s="734" t="n"/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hidden="1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LIGHT SELECTION</t>
        </is>
      </c>
      <c r="D15" s="741" t="n"/>
      <c r="E15" s="848" t="n"/>
      <c r="F15" s="743" t="n"/>
      <c r="G15" s="744" t="n"/>
      <c r="H15" s="668" t="n"/>
      <c r="I15" s="668" t="n"/>
      <c r="J15" s="736">
        <f>IF(ISNA(C12),0,IF(D15=0,0,IF(C15="FLO",VLOOKUP(E15,'Base Costs'!$M$4:$N$14,2,FALSE),IF(C15="LED STRIP",VLOOKUP(E15,'Base Costs'!$M$4:$N$14,2,FALSE),(VLOOKUP(C15,'Base Costs'!$M$4:$N$14,2,FALSE))))))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hidden="1" outlineLevel="1" ht="15" customHeight="1" s="1085">
      <c r="A16" s="666" t="n">
        <v>234</v>
      </c>
      <c r="B16" s="269" t="inlineStr">
        <is>
          <t>SPECIAL WORKS</t>
        </is>
      </c>
      <c r="C16" s="33" t="inlineStr">
        <is>
          <t>SELECT WORKS</t>
        </is>
      </c>
      <c r="D16" s="735" t="n"/>
      <c r="E16" s="753">
        <f>IF(C16="","",VLOOKUP(C16,CCBASE!$A$53:$D$73,4,FALSE))</f>
        <v/>
      </c>
      <c r="F16" s="754" t="n"/>
      <c r="G16" s="749" t="n"/>
      <c r="H16" s="750" t="n"/>
      <c r="I16" s="755" t="n"/>
      <c r="J16" s="736">
        <f>IF(C16="",0,VLOOKUP(C16,CCBASE!$A$53:$C$73,2,FALSE))</f>
        <v/>
      </c>
      <c r="K16" s="737">
        <f>J16*D16</f>
        <v/>
      </c>
      <c r="L16" s="738" t="n">
        <v>0.44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hidden="1" outlineLevel="1" ht="15" customHeight="1" s="1085">
      <c r="B17" s="269" t="inlineStr">
        <is>
          <t>SPECIAL WORKS</t>
        </is>
      </c>
      <c r="C17" s="752" t="inlineStr">
        <is>
          <t>SELECT WORKS</t>
        </is>
      </c>
      <c r="D17" s="735" t="n"/>
      <c r="E17" s="753">
        <f>IF(C17="","",VLOOKUP(C17,CCBASE!$A$53:$D$73,4,FALSE))</f>
        <v/>
      </c>
      <c r="F17" s="754" t="n"/>
      <c r="G17" s="749" t="n"/>
      <c r="H17" s="750" t="n"/>
      <c r="I17" s="755" t="n"/>
      <c r="J17" s="736">
        <f>IF(C17="",0,VLOOKUP(C17,CCBASE!$A$53:$C$73,2,FALSE))</f>
        <v/>
      </c>
      <c r="K17" s="737">
        <f>J17*D17</f>
        <v/>
      </c>
      <c r="L17" s="738" t="n">
        <v>0.44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hidden="1" outlineLevel="1" ht="15" customHeight="1" s="1085">
      <c r="B18" s="978" t="inlineStr">
        <is>
          <t>SPECIAL WORKS</t>
        </is>
      </c>
      <c r="C18" s="979" t="inlineStr">
        <is>
          <t>BIM/ REVIT per CANOPY</t>
        </is>
      </c>
      <c r="D18" s="980" t="n">
        <v>1</v>
      </c>
      <c r="E18" s="981">
        <f>IF(C18="","",VLOOKUP(C18,CCBASE!$A$53:$D$73,4,FALSE))</f>
        <v/>
      </c>
      <c r="F18" s="982" t="n"/>
      <c r="G18" s="977" t="n"/>
      <c r="H18" s="983" t="n"/>
      <c r="I18" s="984" t="n"/>
      <c r="J18" s="985">
        <f>IF(C18="",0,VLOOKUP(C18,CCBASE!$A$53:$C$73,2,FALSE))</f>
        <v/>
      </c>
      <c r="K18" s="986">
        <f>J18*D18</f>
        <v/>
      </c>
      <c r="L18" s="987" t="n">
        <v>0.44</v>
      </c>
      <c r="M18" s="988">
        <f>K18/(1-L18)*(1+$C$9)</f>
        <v/>
      </c>
      <c r="N18" s="986">
        <f>M18*VLOOKUP($B$9,'Base Costs'!$A$32:$B$37,2,FALSE)</f>
        <v/>
      </c>
      <c r="O18" s="989">
        <f>M18-K18</f>
        <v/>
      </c>
      <c r="P18" s="990" t="inlineStr">
        <is>
          <t>always include</t>
        </is>
      </c>
      <c r="S18" s="694" t="n"/>
      <c r="Y18" s="1095" t="n"/>
    </row>
    <row r="19" hidden="1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SELECT CLADDING</t>
        </is>
      </c>
      <c r="D19" s="756">
        <f>IF(NOT(ISBLANK(C19)), ROUNDUP($F14/1000,0), 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S19" s="694" t="n"/>
      <c r="Y19" s="1095" t="n"/>
    </row>
    <row r="20" hidden="1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hidden="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hidden="1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S22" s="694" t="n"/>
      <c r="Y22" s="1095" t="n"/>
    </row>
    <row r="23" hidden="1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>
        <f>IF(ISNA(D23),0,(VLOOKUP(D23,'Base Costs'!$Q$4:$R$14,2,FALSE)))</f>
        <v/>
      </c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hidden="1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hidden="1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hidden="1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hidden="1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collapsed="1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 xml:space="preserve">ITEM 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68">
        <f>N29-N36</f>
        <v/>
      </c>
      <c r="Q29" s="1095" t="n"/>
      <c r="R29" s="1095" t="n"/>
      <c r="S29" s="713" t="n"/>
      <c r="T29" s="1095" t="n"/>
      <c r="X29" s="1095" t="n"/>
      <c r="Y29" s="1095" t="n"/>
      <c r="Z29" s="1095" t="n"/>
    </row>
    <row r="30" hidden="1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hidden="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hidden="1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hidden="1" outlineLevel="1" ht="15" customHeight="1" s="1085">
      <c r="A33" s="666" t="n">
        <v>234</v>
      </c>
      <c r="B33" s="731" t="inlineStr">
        <is>
          <t>SPECIAL WORKS</t>
        </is>
      </c>
      <c r="C33" s="752" t="inlineStr">
        <is>
          <t>SELECT WORKS</t>
        </is>
      </c>
      <c r="D33" s="735" t="n"/>
      <c r="E33" s="753">
        <f>IF(C33="","",VLOOKUP(C33,CCBASE!$A$53:$D$73,4,FALSE))</f>
        <v/>
      </c>
      <c r="F33" s="754" t="n"/>
      <c r="G33" s="749" t="n"/>
      <c r="H33" s="750" t="n"/>
      <c r="I33" s="755" t="n"/>
      <c r="J33" s="736">
        <f>IF(C33="",0,VLOOKUP(C33,CCBASE!$A$53:$C$73,2,FALSE))</f>
        <v/>
      </c>
      <c r="K33" s="737">
        <f>J33*D33</f>
        <v/>
      </c>
      <c r="L33" s="738" t="n">
        <v>0.44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hidden="1" outlineLevel="1" ht="15" customHeight="1" s="1085">
      <c r="B34" s="731" t="inlineStr">
        <is>
          <t>SPECIAL WORKS</t>
        </is>
      </c>
      <c r="C34" s="752" t="inlineStr">
        <is>
          <t>SELECT WORKS</t>
        </is>
      </c>
      <c r="D34" s="735" t="n"/>
      <c r="E34" s="753">
        <f>IF(C34="","",VLOOKUP(C34,CCBASE!$A$53:$D$73,4,FALSE))</f>
        <v/>
      </c>
      <c r="F34" s="754" t="n"/>
      <c r="G34" s="749" t="n"/>
      <c r="H34" s="750" t="n"/>
      <c r="I34" s="755" t="n"/>
      <c r="J34" s="736">
        <f>IF(C34="",0,VLOOKUP(C34,CCBASE!$A$53:$C$73,2,FALSE))</f>
        <v/>
      </c>
      <c r="K34" s="737">
        <f>J34*D34</f>
        <v/>
      </c>
      <c r="L34" s="738" t="n">
        <v>0.44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hidden="1" outlineLevel="1" ht="15" customHeight="1" s="1085">
      <c r="B35" s="978" t="inlineStr">
        <is>
          <t>SPECIAL WORKS</t>
        </is>
      </c>
      <c r="C35" s="979" t="inlineStr">
        <is>
          <t>BIM/ REVIT per CANOPY</t>
        </is>
      </c>
      <c r="D35" s="980" t="n"/>
      <c r="E35" s="1111" t="n"/>
      <c r="G35" s="977" t="n"/>
      <c r="H35" s="983" t="n"/>
      <c r="I35" s="984" t="n"/>
      <c r="J35" s="985">
        <f>IF(C35="",0,VLOOKUP(C35,CCBASE!$A$53:$C$73,2,FALSE))</f>
        <v/>
      </c>
      <c r="K35" s="986">
        <f>J35*D35</f>
        <v/>
      </c>
      <c r="L35" s="987" t="n">
        <v>0.44</v>
      </c>
      <c r="M35" s="988">
        <f>K35/(1-L35)*(1+$C$9)</f>
        <v/>
      </c>
      <c r="N35" s="986">
        <f>M35*VLOOKUP($B$9,'Base Costs'!$A$32:$B$37,2,FALSE)</f>
        <v/>
      </c>
      <c r="O35" s="989">
        <f>M35-K35</f>
        <v/>
      </c>
      <c r="P35" s="990" t="inlineStr">
        <is>
          <t>always include</t>
        </is>
      </c>
      <c r="S35" s="694" t="n"/>
      <c r="Y35" s="1095" t="n"/>
    </row>
    <row r="36" hidden="1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SELECT CLADDING</t>
        </is>
      </c>
      <c r="D36" s="756">
        <f>IF(NOT(ISBLANK(C36)), ROUNDUP($F31/1000,0), 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Y36" s="1095" t="n"/>
    </row>
    <row r="37" hidden="1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hidden="1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hidden="1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S39" s="694" t="n"/>
      <c r="Y39" s="1095" t="n"/>
    </row>
    <row r="40" hidden="1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>
        <f>IF(ISNA(D40),0,(VLOOKUP(D40,'Base Costs'!$Q$4:$R$13,2,FALSE)))</f>
        <v/>
      </c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hidden="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hidden="1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hidden="1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hidden="1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collapsed="1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68">
        <f>N46-N53</f>
        <v/>
      </c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731" t="inlineStr">
        <is>
          <t>SPECIAL WORKS</t>
        </is>
      </c>
      <c r="C50" s="752" t="inlineStr">
        <is>
          <t>SELECT WORKS</t>
        </is>
      </c>
      <c r="D50" s="735" t="n"/>
      <c r="E50" s="753">
        <f>IF(C50="","",VLOOKUP(C50,CCBASE!$A$53:$D$73,4,FALSE))</f>
        <v/>
      </c>
      <c r="F50" s="754" t="n"/>
      <c r="G50" s="749" t="n"/>
      <c r="H50" s="750" t="n"/>
      <c r="I50" s="755" t="n"/>
      <c r="J50" s="736">
        <f>IF(C50="",0,VLOOKUP(C50,CCBASE!$A$53:$C$73,2,FALSE))</f>
        <v/>
      </c>
      <c r="K50" s="737">
        <f>J50*D50</f>
        <v/>
      </c>
      <c r="L50" s="738" t="n">
        <v>0.44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731" t="inlineStr">
        <is>
          <t>SPECIAL WORKS</t>
        </is>
      </c>
      <c r="C51" s="752" t="inlineStr">
        <is>
          <t>SELECT WORKS</t>
        </is>
      </c>
      <c r="D51" s="735" t="n"/>
      <c r="E51" s="753">
        <f>IF(C51="","",VLOOKUP(C51,CCBASE!$A$53:$D$73,4,FALSE))</f>
        <v/>
      </c>
      <c r="F51" s="754" t="n"/>
      <c r="G51" s="749" t="n"/>
      <c r="H51" s="750" t="n"/>
      <c r="I51" s="755" t="n"/>
      <c r="J51" s="736">
        <f>IF(C51="",0,VLOOKUP(C51,CCBASE!$A$53:$C$73,2,FALSE))</f>
        <v/>
      </c>
      <c r="K51" s="737">
        <f>J51*D51</f>
        <v/>
      </c>
      <c r="L51" s="738" t="n">
        <v>0.44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978" t="inlineStr">
        <is>
          <t>SPECIAL WORKS</t>
        </is>
      </c>
      <c r="C52" s="979" t="inlineStr">
        <is>
          <t>BIM/ REVIT per CANOPY</t>
        </is>
      </c>
      <c r="D52" s="980" t="n"/>
      <c r="E52" s="981">
        <f>IF(C52="","",VLOOKUP(C52,CCBASE!$A$53:$D$73,4,FALSE))</f>
        <v/>
      </c>
      <c r="F52" s="982" t="n"/>
      <c r="G52" s="977" t="n"/>
      <c r="H52" s="983" t="n"/>
      <c r="I52" s="984" t="n"/>
      <c r="J52" s="985">
        <f>IF(C52="",0,VLOOKUP(C52,CCBASE!$A$53:$C$73,2,FALSE))</f>
        <v/>
      </c>
      <c r="K52" s="986">
        <f>J52*D52</f>
        <v/>
      </c>
      <c r="L52" s="987" t="n">
        <v>0.44</v>
      </c>
      <c r="M52" s="988">
        <f>K52/(1-L52)*(1+$C$9)</f>
        <v/>
      </c>
      <c r="N52" s="986">
        <f>M52*VLOOKUP($B$9,'Base Costs'!$A$32:$B$37,2,FALSE)</f>
        <v/>
      </c>
      <c r="O52" s="989">
        <f>M52-K52</f>
        <v/>
      </c>
      <c r="P52" s="990" t="inlineStr">
        <is>
          <t>always include</t>
        </is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SELECT CLADDING</t>
        </is>
      </c>
      <c r="D53" s="756">
        <f>IF(NOT(ISBLANK(C53)), ROUNDUP($F48/1000,0), 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>
        <f>IF(ISNA(D57),0,(VLOOKUP(D57,'Base Costs'!$Q$4:$R$13,2,FALSE)))</f>
        <v/>
      </c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68">
        <f>N63-N70</f>
        <v/>
      </c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731" t="inlineStr">
        <is>
          <t>SPECIAL WORKS</t>
        </is>
      </c>
      <c r="C67" s="752" t="inlineStr">
        <is>
          <t>SELECT WORKS</t>
        </is>
      </c>
      <c r="D67" s="735" t="n"/>
      <c r="E67" s="753">
        <f>IF(C67="","",VLOOKUP(C67,CCBASE!$A$53:$D$73,4,FALSE))</f>
        <v/>
      </c>
      <c r="F67" s="754" t="n"/>
      <c r="G67" s="749" t="n"/>
      <c r="H67" s="750" t="n"/>
      <c r="I67" s="755" t="n"/>
      <c r="J67" s="736">
        <f>IF(C67="",0,VLOOKUP(C67,CCBASE!$A$53:$C$73,2,FALSE))</f>
        <v/>
      </c>
      <c r="K67" s="737">
        <f>J67*D67</f>
        <v/>
      </c>
      <c r="L67" s="738" t="n">
        <v>0.44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731" t="inlineStr">
        <is>
          <t>SPECIAL WORKS</t>
        </is>
      </c>
      <c r="C68" s="752" t="inlineStr">
        <is>
          <t>SELECT WORKS</t>
        </is>
      </c>
      <c r="D68" s="735" t="n"/>
      <c r="E68" s="753">
        <f>IF(C68="","",VLOOKUP(C68,CCBASE!$A$53:$D$73,4,FALSE))</f>
        <v/>
      </c>
      <c r="F68" s="754" t="n"/>
      <c r="G68" s="749" t="n"/>
      <c r="H68" s="750" t="n"/>
      <c r="I68" s="755" t="n"/>
      <c r="J68" s="736">
        <f>IF(C68="",0,VLOOKUP(C68,CCBASE!$A$53:$C$73,2,FALSE))</f>
        <v/>
      </c>
      <c r="K68" s="737">
        <f>J68*D68</f>
        <v/>
      </c>
      <c r="L68" s="738" t="n">
        <v>0.44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978" t="inlineStr">
        <is>
          <t>SPECIAL WORKS</t>
        </is>
      </c>
      <c r="C69" s="979" t="inlineStr">
        <is>
          <t>BIM/ REVIT per CANOPY</t>
        </is>
      </c>
      <c r="D69" s="980" t="n"/>
      <c r="E69" s="981">
        <f>IF(C69="","",VLOOKUP(C69,CCBASE!$A$53:$D$73,4,FALSE))</f>
        <v/>
      </c>
      <c r="F69" s="982" t="n"/>
      <c r="G69" s="977" t="n"/>
      <c r="H69" s="983" t="n"/>
      <c r="I69" s="984" t="n"/>
      <c r="J69" s="985">
        <f>IF(C69="",0,VLOOKUP(C69,CCBASE!$A$53:$C$73,2,FALSE))</f>
        <v/>
      </c>
      <c r="K69" s="986">
        <f>J69*D69</f>
        <v/>
      </c>
      <c r="L69" s="987" t="n">
        <v>0.44</v>
      </c>
      <c r="M69" s="988">
        <f>K69/(1-L69)*(1+$C$9)</f>
        <v/>
      </c>
      <c r="N69" s="986">
        <f>M69*VLOOKUP($B$9,'Base Costs'!$A$32:$B$37,2,FALSE)</f>
        <v/>
      </c>
      <c r="O69" s="989">
        <f>M69-K69</f>
        <v/>
      </c>
      <c r="P69" s="990" t="inlineStr">
        <is>
          <t>always include</t>
        </is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IF(NOT(ISBLANK(C70)), ROUNDUP(F65/1000,0), 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>
        <f>IF(ISNA(D74),0,(VLOOKUP(D74,'Base Costs'!$Q$4:$R$13,2,FALSE)))</f>
        <v/>
      </c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68">
        <f>N80-N87</f>
        <v/>
      </c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731" t="inlineStr">
        <is>
          <t>SPECIAL WORKS</t>
        </is>
      </c>
      <c r="C84" s="752" t="inlineStr">
        <is>
          <t>SELECT WORKS</t>
        </is>
      </c>
      <c r="D84" s="735" t="n"/>
      <c r="E84" s="753">
        <f>IF(C84="","",VLOOKUP(C84,CCBASE!$A$53:$D$73,4,FALSE))</f>
        <v/>
      </c>
      <c r="F84" s="754" t="n"/>
      <c r="G84" s="749" t="n"/>
      <c r="H84" s="750" t="n"/>
      <c r="I84" s="755" t="n"/>
      <c r="J84" s="736">
        <f>IF(C84="",0,VLOOKUP(C84,CCBASE!$A$53:$C$73,2,FALSE))</f>
        <v/>
      </c>
      <c r="K84" s="737">
        <f>J84*D84</f>
        <v/>
      </c>
      <c r="L84" s="738" t="n">
        <v>0.44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SPECIAL WORKS</t>
        </is>
      </c>
      <c r="C85" s="752" t="inlineStr">
        <is>
          <t>SELECT WORKS</t>
        </is>
      </c>
      <c r="D85" s="735" t="n"/>
      <c r="E85" s="753">
        <f>IF(C85="","",VLOOKUP(C85,CCBASE!$A$53:$D$73,4,FALSE))</f>
        <v/>
      </c>
      <c r="F85" s="754" t="n"/>
      <c r="G85" s="749" t="n"/>
      <c r="H85" s="750" t="n"/>
      <c r="I85" s="755" t="n"/>
      <c r="J85" s="736">
        <f>IF(C85="",0,VLOOKUP(C85,CCBASE!$A$53:$C$73,2,FALSE))</f>
        <v/>
      </c>
      <c r="K85" s="737">
        <f>J85*D85</f>
        <v/>
      </c>
      <c r="L85" s="738" t="n">
        <v>0.44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978" t="inlineStr">
        <is>
          <t>SPECIAL WORKS</t>
        </is>
      </c>
      <c r="C86" s="979" t="inlineStr">
        <is>
          <t>BIM/ REVIT per CANOPY</t>
        </is>
      </c>
      <c r="D86" s="980" t="n"/>
      <c r="E86" s="981">
        <f>IF(C86="","",VLOOKUP(C86,CCBASE!$A$53:$D$73,4,FALSE))</f>
        <v/>
      </c>
      <c r="F86" s="982" t="n"/>
      <c r="G86" s="977" t="n"/>
      <c r="H86" s="983" t="n"/>
      <c r="I86" s="984" t="n"/>
      <c r="J86" s="985">
        <f>IF(C86="",0,VLOOKUP(C86,CCBASE!$A$53:$C$73,2,FALSE))</f>
        <v/>
      </c>
      <c r="K86" s="986">
        <f>J86*D86</f>
        <v/>
      </c>
      <c r="L86" s="987" t="n">
        <v>0.44</v>
      </c>
      <c r="M86" s="988">
        <f>K86/(1-L86)*(1+$C$9)</f>
        <v/>
      </c>
      <c r="N86" s="986">
        <f>M86*VLOOKUP($B$9,'Base Costs'!$A$32:$B$37,2,FALSE)</f>
        <v/>
      </c>
      <c r="O86" s="989">
        <f>M86-K86</f>
        <v/>
      </c>
      <c r="P86" s="990" t="inlineStr">
        <is>
          <t>always include</t>
        </is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IF(NOT(ISBLANK(C87)), ROUNDUP(F82/1000,0), 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>
        <f>IF(ISNA(D91),0,(VLOOKUP(D91,'Base Costs'!$Q$4:$R$13,2,FALSE)))</f>
        <v/>
      </c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IF(ISNUMBER(SEARCH("UV",D99)),49.7,71.75)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68">
        <f>N97-N104</f>
        <v/>
      </c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731" t="inlineStr">
        <is>
          <t>SPECIAL WORKS</t>
        </is>
      </c>
      <c r="C101" s="752" t="inlineStr">
        <is>
          <t>SELECT WORKS</t>
        </is>
      </c>
      <c r="D101" s="735" t="n"/>
      <c r="E101" s="753">
        <f>IF(C101="","",VLOOKUP(C101,CCBASE!$A$53:$D$73,4,FALSE))</f>
        <v/>
      </c>
      <c r="F101" s="754" t="n"/>
      <c r="G101" s="749" t="n"/>
      <c r="H101" s="750" t="n"/>
      <c r="I101" s="755" t="n"/>
      <c r="J101" s="736">
        <f>IF(C101="",0,VLOOKUP(C101,CCBASE!$A$53:$C$73,2,FALSE))</f>
        <v/>
      </c>
      <c r="K101" s="737">
        <f>J101*D101</f>
        <v/>
      </c>
      <c r="L101" s="738" t="n">
        <v>0.44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584" t="inlineStr">
        <is>
          <t>SPECIAL WORKS</t>
        </is>
      </c>
      <c r="C102" s="33" t="inlineStr">
        <is>
          <t>SELECT WORKS</t>
        </is>
      </c>
      <c r="D102" s="735" t="n"/>
      <c r="E102" s="753">
        <f>IF(C102="","",VLOOKUP(C102,CCBASE!$A$53:$D$73,4,FALSE))</f>
        <v/>
      </c>
      <c r="F102" s="754" t="n"/>
      <c r="G102" s="749" t="n"/>
      <c r="H102" s="750" t="n"/>
      <c r="I102" s="755" t="n"/>
      <c r="J102" s="736">
        <f>IF(C102="",0,VLOOKUP(C102,CCBASE!$A$53:$C$73,2,FALSE))</f>
        <v/>
      </c>
      <c r="K102" s="737">
        <f>J102*D102</f>
        <v/>
      </c>
      <c r="L102" s="738" t="n">
        <v>0.44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991" t="inlineStr">
        <is>
          <t>SPECIAL WORKS</t>
        </is>
      </c>
      <c r="C103" s="992" t="inlineStr">
        <is>
          <t>BIM/ REVIT per CANOPY</t>
        </is>
      </c>
      <c r="D103" s="980" t="n"/>
      <c r="E103" s="981">
        <f>IF(C103="","",VLOOKUP(C103,CCBASE!$A$53:$D$73,4,FALSE))</f>
        <v/>
      </c>
      <c r="F103" s="982" t="n"/>
      <c r="G103" s="977" t="n"/>
      <c r="H103" s="983" t="n"/>
      <c r="I103" s="984" t="n"/>
      <c r="J103" s="985">
        <f>IF(C103="",0,VLOOKUP(C103,CCBASE!$A$53:$C$73,2,FALSE))</f>
        <v/>
      </c>
      <c r="K103" s="986">
        <f>J103*D103</f>
        <v/>
      </c>
      <c r="L103" s="987" t="n">
        <v>0.44</v>
      </c>
      <c r="M103" s="988">
        <f>K103/(1-L103)*(1+$C$9)</f>
        <v/>
      </c>
      <c r="N103" s="986">
        <f>M103*VLOOKUP($B$9,'Base Costs'!$A$32:$B$37,2,FALSE)</f>
        <v/>
      </c>
      <c r="O103" s="989">
        <f>M103-K103</f>
        <v/>
      </c>
      <c r="P103" s="990" t="inlineStr">
        <is>
          <t>always include</t>
        </is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IF(NOT(ISBLANK(C104)), ROUNDUP(F99/1000,0), 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>
        <f>IF(ISNA(D108),0,(VLOOKUP(D108,'Base Costs'!$Q$4:$R$13,2,FALSE)))</f>
        <v/>
      </c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IF(ISNUMBER(SEARCH("UV",D116)),49.7,71.75)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68">
        <f>N114-N121</f>
        <v/>
      </c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731" t="inlineStr">
        <is>
          <t>SPECIAL WORKS</t>
        </is>
      </c>
      <c r="C118" s="752" t="inlineStr">
        <is>
          <t>SELECT WORKS</t>
        </is>
      </c>
      <c r="D118" s="735" t="n"/>
      <c r="E118" s="753">
        <f>IF(C118="","",VLOOKUP(C118,CCBASE!$A$53:$D$73,4,FALSE))</f>
        <v/>
      </c>
      <c r="F118" s="754" t="n"/>
      <c r="G118" s="749" t="n"/>
      <c r="H118" s="750" t="n"/>
      <c r="I118" s="755" t="n"/>
      <c r="J118" s="736">
        <f>IF(C118="",0,VLOOKUP(C118,CCBASE!$A$53:$C$73,2,FALSE))</f>
        <v/>
      </c>
      <c r="K118" s="737">
        <f>J118*D118</f>
        <v/>
      </c>
      <c r="L118" s="738" t="n">
        <v>0.44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584" t="inlineStr">
        <is>
          <t>SPECIAL WORKS</t>
        </is>
      </c>
      <c r="C119" s="33" t="inlineStr">
        <is>
          <t>SELECT WORKS</t>
        </is>
      </c>
      <c r="D119" s="735" t="n"/>
      <c r="E119" s="753">
        <f>IF(C119="","",VLOOKUP(C119,CCBASE!$A$53:$D$73,4,FALSE))</f>
        <v/>
      </c>
      <c r="F119" s="754" t="n"/>
      <c r="G119" s="749" t="n"/>
      <c r="H119" s="750" t="n"/>
      <c r="I119" s="755" t="n"/>
      <c r="J119" s="736">
        <f>IF(C119="",0,VLOOKUP(C119,CCBASE!$A$53:$C$73,2,FALSE))</f>
        <v/>
      </c>
      <c r="K119" s="737">
        <f>J119*D119</f>
        <v/>
      </c>
      <c r="L119" s="738" t="n">
        <v>0.44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991" t="inlineStr">
        <is>
          <t>SPECIAL WORKS</t>
        </is>
      </c>
      <c r="C120" s="992" t="inlineStr">
        <is>
          <t>BIM/ REVIT per CANOPY</t>
        </is>
      </c>
      <c r="D120" s="980" t="n"/>
      <c r="E120" s="981">
        <f>IF(C120="","",VLOOKUP(C120,CCBASE!$A$53:$D$73,4,FALSE))</f>
        <v/>
      </c>
      <c r="F120" s="982" t="n"/>
      <c r="G120" s="977" t="n"/>
      <c r="H120" s="983" t="n"/>
      <c r="I120" s="984" t="n"/>
      <c r="J120" s="985">
        <f>IF(C120="",0,VLOOKUP(C120,CCBASE!$A$53:$C$73,2,FALSE))</f>
        <v/>
      </c>
      <c r="K120" s="986">
        <f>J120*D120</f>
        <v/>
      </c>
      <c r="L120" s="987" t="n">
        <v>0.44</v>
      </c>
      <c r="M120" s="988">
        <f>K120/(1-L120)*(1+$C$9)</f>
        <v/>
      </c>
      <c r="N120" s="986">
        <f>M120*VLOOKUP($B$9,'Base Costs'!$A$32:$B$37,2,FALSE)</f>
        <v/>
      </c>
      <c r="O120" s="989">
        <f>M120-K120</f>
        <v/>
      </c>
      <c r="P120" s="990" t="inlineStr">
        <is>
          <t>always include</t>
        </is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IF(NOT(ISBLANK(C121)), ROUNDUP(F116/1000,0), 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>
        <f>IF(ISNA(D125),0,(VLOOKUP(D125,'Base Costs'!$Q$4:$R$13,2,FALSE)))</f>
        <v/>
      </c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68">
        <f>N131-N138</f>
        <v/>
      </c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733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731" t="inlineStr">
        <is>
          <t>SPECIAL WORKS</t>
        </is>
      </c>
      <c r="C135" s="752" t="inlineStr">
        <is>
          <t>SELECT WORKS</t>
        </is>
      </c>
      <c r="D135" s="735" t="n"/>
      <c r="E135" s="753">
        <f>IF(C135="","",VLOOKUP(C135,CCBASE!$A$53:$D$73,4,FALSE))</f>
        <v/>
      </c>
      <c r="F135" s="754" t="n"/>
      <c r="G135" s="749" t="n"/>
      <c r="H135" s="750" t="n"/>
      <c r="I135" s="755" t="n"/>
      <c r="J135" s="736">
        <f>IF(C135="",0,VLOOKUP(C135,CCBASE!$A$53:$C$73,2,FALSE))</f>
        <v/>
      </c>
      <c r="K135" s="737">
        <f>J135*D135</f>
        <v/>
      </c>
      <c r="L135" s="738" t="n">
        <v>0.44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584" t="inlineStr">
        <is>
          <t>SPECIAL WORKS</t>
        </is>
      </c>
      <c r="C136" s="33" t="inlineStr">
        <is>
          <t>SELECT WORKS</t>
        </is>
      </c>
      <c r="D136" s="735" t="n"/>
      <c r="E136" s="753">
        <f>IF(C136="","",VLOOKUP(C136,CCBASE!$A$53:$D$73,4,FALSE))</f>
        <v/>
      </c>
      <c r="F136" s="754" t="n"/>
      <c r="G136" s="749" t="n"/>
      <c r="H136" s="750" t="n"/>
      <c r="I136" s="755" t="n"/>
      <c r="J136" s="736">
        <f>IF(C136="",0,VLOOKUP(C136,CCBASE!$A$53:$C$73,2,FALSE))</f>
        <v/>
      </c>
      <c r="K136" s="737">
        <f>J136*D136</f>
        <v/>
      </c>
      <c r="L136" s="738" t="n">
        <v>0.44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991" t="inlineStr">
        <is>
          <t>SPECIAL WORKS</t>
        </is>
      </c>
      <c r="C137" s="992" t="inlineStr">
        <is>
          <t>BIM/ REVIT per CANOPY</t>
        </is>
      </c>
      <c r="D137" s="980" t="n"/>
      <c r="E137" s="981">
        <f>IF(C137="","",VLOOKUP(C137,CCBASE!$A$53:$D$73,4,FALSE))</f>
        <v/>
      </c>
      <c r="F137" s="982" t="n"/>
      <c r="G137" s="977" t="n"/>
      <c r="H137" s="983" t="n"/>
      <c r="I137" s="984" t="n"/>
      <c r="J137" s="985">
        <f>IF(C137="",0,VLOOKUP(C137,CCBASE!$A$53:$C$73,2,FALSE))</f>
        <v/>
      </c>
      <c r="K137" s="986">
        <f>J137*D137</f>
        <v/>
      </c>
      <c r="L137" s="987" t="n">
        <v>0.44</v>
      </c>
      <c r="M137" s="988">
        <f>K137/(1-L137)*(1+$C$9)</f>
        <v/>
      </c>
      <c r="N137" s="986">
        <f>M137*VLOOKUP($B$9,'Base Costs'!$A$32:$B$37,2,FALSE)</f>
        <v/>
      </c>
      <c r="O137" s="989">
        <f>M137-K137</f>
        <v/>
      </c>
      <c r="P137" s="990" t="inlineStr">
        <is>
          <t>always include</t>
        </is>
      </c>
      <c r="S137" s="694" t="n"/>
      <c r="Y137" s="1095" t="n"/>
    </row>
    <row r="138" hidden="1" outlineLevel="1" ht="15" customHeight="1" s="1085">
      <c r="A138" s="666" t="n">
        <v>289</v>
      </c>
      <c r="B138" s="584" t="inlineStr">
        <is>
          <t>WALL CLADDING</t>
        </is>
      </c>
      <c r="C138" s="33" t="inlineStr">
        <is>
          <t>SELECT CLADDING</t>
        </is>
      </c>
      <c r="D138" s="756">
        <f>IF(NOT(ISBLANK(C138)), ROUNDUP(F133/1000,0), 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584" t="inlineStr">
        <is>
          <t>INFILL PANEL</t>
        </is>
      </c>
      <c r="C139" s="752" t="n"/>
      <c r="D139" s="742" t="inlineStr">
        <is>
          <t>m²</t>
        </is>
      </c>
      <c r="E139" s="749" t="n"/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>
        <f>IF(ISNA(D142),0,(VLOOKUP(D142,'Base Costs'!$Q$4:$R$13,2,FALSE)))</f>
        <v/>
      </c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IF(ISNUMBER(SEARCH("UV",D150)),49.7,71.75)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68">
        <f>N148-N155</f>
        <v/>
      </c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731" t="inlineStr">
        <is>
          <t>SPECIAL WORKS</t>
        </is>
      </c>
      <c r="C152" s="752" t="inlineStr">
        <is>
          <t>SELECT WORKS</t>
        </is>
      </c>
      <c r="D152" s="735" t="n"/>
      <c r="E152" s="753">
        <f>IF(C152="","",VLOOKUP(C152,CCBASE!$A$53:$D$73,4,FALSE))</f>
        <v/>
      </c>
      <c r="F152" s="754" t="n"/>
      <c r="G152" s="749" t="n"/>
      <c r="H152" s="750" t="n"/>
      <c r="I152" s="755" t="n"/>
      <c r="J152" s="736">
        <f>IF(C152="",0,VLOOKUP(C152,CCBASE!$A$53:$C$73,2,FALSE))</f>
        <v/>
      </c>
      <c r="K152" s="737">
        <f>J152*D152</f>
        <v/>
      </c>
      <c r="L152" s="738" t="n">
        <v>0.44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584" t="inlineStr">
        <is>
          <t>SPECIAL WORKS</t>
        </is>
      </c>
      <c r="C153" s="33" t="inlineStr">
        <is>
          <t>SELECT WORKS</t>
        </is>
      </c>
      <c r="D153" s="735" t="n"/>
      <c r="E153" s="753">
        <f>IF(C153="","",VLOOKUP(C153,CCBASE!$A$53:$D$73,4,FALSE))</f>
        <v/>
      </c>
      <c r="F153" s="754" t="n"/>
      <c r="G153" s="749" t="n"/>
      <c r="H153" s="750" t="n"/>
      <c r="I153" s="755" t="n"/>
      <c r="J153" s="736">
        <f>IF(C153="",0,VLOOKUP(C153,CCBASE!$A$53:$C$73,2,FALSE))</f>
        <v/>
      </c>
      <c r="K153" s="737">
        <f>J153*D153</f>
        <v/>
      </c>
      <c r="L153" s="738" t="n">
        <v>0.44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991" t="inlineStr">
        <is>
          <t>SPECIAL WORKS</t>
        </is>
      </c>
      <c r="C154" s="992" t="inlineStr">
        <is>
          <t>BIM/ REVIT per CANOPY</t>
        </is>
      </c>
      <c r="D154" s="980" t="n"/>
      <c r="E154" s="981">
        <f>IF(C154="","",VLOOKUP(C154,CCBASE!$A$53:$D$73,4,FALSE))</f>
        <v/>
      </c>
      <c r="F154" s="982" t="n"/>
      <c r="G154" s="977" t="n"/>
      <c r="H154" s="983" t="n"/>
      <c r="I154" s="984" t="n"/>
      <c r="J154" s="985">
        <f>IF(C154="",0,VLOOKUP(C154,CCBASE!$A$53:$C$73,2,FALSE))</f>
        <v/>
      </c>
      <c r="K154" s="986">
        <f>J154*D154</f>
        <v/>
      </c>
      <c r="L154" s="987" t="n">
        <v>0.44</v>
      </c>
      <c r="M154" s="988">
        <f>K154/(1-L154)*(1+$C$9)</f>
        <v/>
      </c>
      <c r="N154" s="986">
        <f>M154*VLOOKUP($B$9,'Base Costs'!$A$32:$B$37,2,FALSE)</f>
        <v/>
      </c>
      <c r="O154" s="989">
        <f>M154-K154</f>
        <v/>
      </c>
      <c r="P154" s="990" t="inlineStr">
        <is>
          <t>always include</t>
        </is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IF(NOT(ISBLANK(C155)), ROUNDUP(F150/1000,0), 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>
        <f>IF(ISNA(D159),0,(VLOOKUP(D159,'Base Costs'!$Q$4:$R$13,2,FALSE)))</f>
        <v/>
      </c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IF(ISNUMBER(SEARCH("UV",D167)),49.7,71.75)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68">
        <f>N165-N172</f>
        <v/>
      </c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731" t="inlineStr">
        <is>
          <t>SPECIAL WORKS</t>
        </is>
      </c>
      <c r="C169" s="752" t="inlineStr">
        <is>
          <t>SELECT WORKS</t>
        </is>
      </c>
      <c r="D169" s="735" t="n"/>
      <c r="E169" s="753">
        <f>IF(C169="","",VLOOKUP(C169,CCBASE!$A$53:$D$73,4,FALSE))</f>
        <v/>
      </c>
      <c r="F169" s="754" t="n"/>
      <c r="G169" s="749" t="n"/>
      <c r="H169" s="750" t="n"/>
      <c r="I169" s="755" t="n"/>
      <c r="J169" s="736">
        <f>IF(C169="",0,VLOOKUP(C169,CCBASE!$A$53:$C$73,2,FALSE))</f>
        <v/>
      </c>
      <c r="K169" s="737">
        <f>J169*D169</f>
        <v/>
      </c>
      <c r="L169" s="738" t="n">
        <v>0.44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584" t="inlineStr">
        <is>
          <t>SPECIAL WORKS</t>
        </is>
      </c>
      <c r="C170" s="33" t="inlineStr">
        <is>
          <t>SELECT WORKS</t>
        </is>
      </c>
      <c r="D170" s="735" t="n"/>
      <c r="E170" s="753">
        <f>IF(C170="","",VLOOKUP(C170,CCBASE!$A$53:$D$73,4,FALSE))</f>
        <v/>
      </c>
      <c r="F170" s="754" t="n"/>
      <c r="G170" s="749" t="n"/>
      <c r="H170" s="750" t="n"/>
      <c r="I170" s="755" t="n"/>
      <c r="J170" s="736">
        <f>IF(C170="",0,VLOOKUP(C170,CCBASE!$A$53:$C$73,2,FALSE))</f>
        <v/>
      </c>
      <c r="K170" s="737">
        <f>J170*D170</f>
        <v/>
      </c>
      <c r="L170" s="738" t="n">
        <v>0.44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991" t="inlineStr">
        <is>
          <t>SPECIAL WORKS</t>
        </is>
      </c>
      <c r="C171" s="992" t="inlineStr">
        <is>
          <t>BIM/ REVIT per CANOPY</t>
        </is>
      </c>
      <c r="D171" s="980" t="n"/>
      <c r="E171" s="981">
        <f>IF(C171="","",VLOOKUP(C171,CCBASE!$A$53:$D$73,4,FALSE))</f>
        <v/>
      </c>
      <c r="F171" s="982" t="n"/>
      <c r="G171" s="977" t="n"/>
      <c r="H171" s="983" t="n"/>
      <c r="I171" s="984" t="n"/>
      <c r="J171" s="985">
        <f>IF(C171="",0,VLOOKUP(C171,CCBASE!$A$53:$C$73,2,FALSE))</f>
        <v/>
      </c>
      <c r="K171" s="986">
        <f>J171*D171</f>
        <v/>
      </c>
      <c r="L171" s="987" t="n">
        <v>0.44</v>
      </c>
      <c r="M171" s="988">
        <f>K171/(1-L171)*(1+$C$9)</f>
        <v/>
      </c>
      <c r="N171" s="986">
        <f>M171*VLOOKUP($B$9,'Base Costs'!$A$32:$B$37,2,FALSE)</f>
        <v/>
      </c>
      <c r="O171" s="989">
        <f>M171-K171</f>
        <v/>
      </c>
      <c r="P171" s="990" t="inlineStr">
        <is>
          <t>always include</t>
        </is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IF(NOT(ISBLANK(C172)), ROUNDUP(F167/1000,0), 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>
        <f>IF(ISNA(D176),0,(VLOOKUP(D176,'Base Costs'!$Q$4:$R$13,2,FALSE)))</f>
        <v/>
      </c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10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P182" s="1068">
        <f>N182-N193</f>
        <v/>
      </c>
      <c r="S182" s="694" t="n"/>
    </row>
    <row r="183" ht="15" customHeight="1" s="1085">
      <c r="A183" s="666" t="n">
        <v>222</v>
      </c>
      <c r="B183" s="589" t="inlineStr">
        <is>
          <t>DELIVERY 1 x 7.5T TAIL LIFT 3200KGS</t>
        </is>
      </c>
      <c r="C183" s="774" t="n"/>
      <c r="D183" s="775" t="inlineStr">
        <is>
          <t>SELECT LOCATION…</t>
        </is>
      </c>
      <c r="E183" s="1111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Q183" s="745" t="n"/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/>
      <c r="D184" s="775" t="inlineStr">
        <is>
          <t>PLANT SELECTION (weekly)</t>
        </is>
      </c>
      <c r="E184" s="1108" t="inlineStr">
        <is>
          <t>Install of 6no Pieces of Canopy Max</t>
        </is>
      </c>
      <c r="G184" s="748" t="n"/>
      <c r="H184" s="748" t="n"/>
      <c r="I184" s="748" t="n"/>
      <c r="J184" s="776">
        <f>VLOOKUP(D184,'Base Costs'!$A$3:$B$15,2,FALSE)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269" t="inlineStr">
        <is>
          <t xml:space="preserve">PLANT HIRE </t>
        </is>
      </c>
      <c r="C185" s="777" t="n"/>
      <c r="D185" s="775" t="inlineStr">
        <is>
          <t>PLANT SELECTION (weekly)</t>
        </is>
      </c>
      <c r="E185" s="1108" t="inlineStr">
        <is>
          <t>Install of 6no Pieces of Canopy Max</t>
        </is>
      </c>
      <c r="G185" s="748" t="n"/>
      <c r="H185" s="748" t="n"/>
      <c r="I185" s="748" t="n"/>
      <c r="J185" s="776">
        <f>VLOOKUP(D185,'Base Costs'!$A$3:$B$15,2,FALSE)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S185" s="694" t="n"/>
    </row>
    <row r="186" ht="15" customHeight="1" s="1085">
      <c r="A186" s="666" t="n">
        <v>222</v>
      </c>
      <c r="B186" s="270" t="n"/>
      <c r="C186" s="946" t="n"/>
      <c r="D186" s="775" t="inlineStr">
        <is>
          <t>SELECT LOCATION…</t>
        </is>
      </c>
      <c r="E186" s="1109" t="n"/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610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>
        <f>ROUNDUP((IF(C14="WALL",(F14/1000),(F14/1000)*2)+IF(C31="WALL",(F31/1000),(F31/1000)*2)+IF(C48="WALL",(F48/1000),(F48/1000)*2)+IF(C65="WALL",(F65/1000),(F65/1000)*2)+IF(C82="WALL",(F82/1000),(F82/1000)*2)+IF(C99="WALL",(F99/1000),(F99/1000)*2)+IF(C116="WALL",(F116/1000),(F116/1000)*2)+IF(C133="WALL",(F133/1000),(F133/1000)*2)+IF(C150="WALL",(F150/1000),(F150/1000)*2)+IF(C167="WALL",(F167/1000),(F167/1000)*2)),0)</f>
        <v/>
      </c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731" t="inlineStr">
        <is>
          <t>INSTALLATION NORMAL HOURS</t>
        </is>
      </c>
      <c r="C189" s="777" t="n"/>
      <c r="D189" s="1102" t="inlineStr">
        <is>
          <t>2 Pieces = 1 Day, 4 Pieces = 1.5 Days, 6 Pieces = 2 Days, 8 Pieces = 2.5 Days (1 Section up to 3m long equals 2 Pieces) + logistics</t>
        </is>
      </c>
      <c r="J189" s="776" t="n">
        <v>610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S189" s="694" t="n"/>
    </row>
    <row r="190" ht="15" customHeight="1" s="1085">
      <c r="A190" s="666" t="n">
        <v>400</v>
      </c>
      <c r="B190" s="731" t="inlineStr">
        <is>
          <t>INSTALLATION AFTER HOURS</t>
        </is>
      </c>
      <c r="C190" s="777" t="n"/>
      <c r="D190" s="1102" t="inlineStr">
        <is>
          <t>2 Pieces = 1 Day, 4 Pieces = 1.5 Days, 6 Pieces = 2 Days, 8 Pieces = 2.5 Days (1 Section up to 3m long equals 2 Pieces) + logistics</t>
        </is>
      </c>
      <c r="J190" s="776" t="n">
        <v>1220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610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220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15" t="inlineStr">
        <is>
          <t>ONE Engineer,  1 day per 4no UV or W/W Sections of Canopy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9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09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20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2">
    <mergeCell ref="B203:O203"/>
    <mergeCell ref="H91:I91"/>
    <mergeCell ref="D189:I189"/>
    <mergeCell ref="E121:F121"/>
    <mergeCell ref="H38:I38"/>
    <mergeCell ref="H125:I125"/>
    <mergeCell ref="B200:O200"/>
    <mergeCell ref="G186:I186"/>
    <mergeCell ref="D194:F194"/>
    <mergeCell ref="C5:D5"/>
    <mergeCell ref="H141:I141"/>
    <mergeCell ref="E185:F185"/>
    <mergeCell ref="D197:F197"/>
    <mergeCell ref="B182:G182"/>
    <mergeCell ref="B202:O202"/>
    <mergeCell ref="H55:I55"/>
    <mergeCell ref="H40:I40"/>
    <mergeCell ref="H74:I74"/>
    <mergeCell ref="H176:I176"/>
    <mergeCell ref="H56:I56"/>
    <mergeCell ref="P7:R7"/>
    <mergeCell ref="E35:F35"/>
    <mergeCell ref="H39:I39"/>
    <mergeCell ref="E87:F87"/>
    <mergeCell ref="G9:J9"/>
    <mergeCell ref="H21:I21"/>
    <mergeCell ref="H73:I73"/>
    <mergeCell ref="H157:I157"/>
    <mergeCell ref="D195:E195"/>
    <mergeCell ref="D193:F193"/>
    <mergeCell ref="E138:F138"/>
    <mergeCell ref="E19:F19"/>
    <mergeCell ref="H142:I142"/>
    <mergeCell ref="E155:F155"/>
    <mergeCell ref="H89:I89"/>
    <mergeCell ref="H123:I123"/>
    <mergeCell ref="G5:J5"/>
    <mergeCell ref="B1:C1"/>
    <mergeCell ref="E9:F9"/>
    <mergeCell ref="H108:I108"/>
    <mergeCell ref="H106:I106"/>
    <mergeCell ref="E186:F186"/>
    <mergeCell ref="G183:I183"/>
    <mergeCell ref="E104:F104"/>
    <mergeCell ref="H72:I72"/>
    <mergeCell ref="H174:I174"/>
    <mergeCell ref="H90:I90"/>
    <mergeCell ref="B205:O205"/>
    <mergeCell ref="H57:I57"/>
    <mergeCell ref="G7:J7"/>
    <mergeCell ref="H159:I159"/>
    <mergeCell ref="E36:F36"/>
    <mergeCell ref="H22:I22"/>
    <mergeCell ref="E70:F70"/>
    <mergeCell ref="H140:I140"/>
    <mergeCell ref="H158:I158"/>
    <mergeCell ref="D196:E196"/>
    <mergeCell ref="E172:F172"/>
    <mergeCell ref="C7:D7"/>
    <mergeCell ref="D190:I190"/>
    <mergeCell ref="G3:J3"/>
    <mergeCell ref="E183:F183"/>
    <mergeCell ref="H124:I124"/>
    <mergeCell ref="B201:O201"/>
    <mergeCell ref="E184:F184"/>
    <mergeCell ref="H107:I107"/>
    <mergeCell ref="E53:F53"/>
    <mergeCell ref="B204:O204"/>
    <mergeCell ref="H23:I23"/>
    <mergeCell ref="C3:D3"/>
    <mergeCell ref="P5:T5"/>
    <mergeCell ref="H175:I175"/>
  </mergeCells>
  <conditionalFormatting sqref="B9">
    <cfRule type="containsText" priority="663" operator="containsText" dxfId="680" text="SELECT">
      <formula>NOT(ISERROR(SEARCH("SELECT",B9)))</formula>
    </cfRule>
    <cfRule type="expression" priority="664" dxfId="680">
      <formula>B9="CURRENCY"</formula>
    </cfRule>
  </conditionalFormatting>
  <conditionalFormatting sqref="B11">
    <cfRule type="expression" priority="626" dxfId="637">
      <formula>$B11&lt;&gt;""</formula>
    </cfRule>
  </conditionalFormatting>
  <conditionalFormatting sqref="B14:B23">
    <cfRule type="expression" priority="618" dxfId="633">
      <formula>$J14&gt;0</formula>
    </cfRule>
  </conditionalFormatting>
  <conditionalFormatting sqref="B24">
    <cfRule type="expression" priority="615" dxfId="633">
      <formula>ISNUMBER(SEARCH("UV",$D14))</formula>
    </cfRule>
    <cfRule type="expression" priority="616" dxfId="358">
      <formula>($D14="CANOPY TYPE")</formula>
    </cfRule>
  </conditionalFormatting>
  <conditionalFormatting sqref="B25:B27">
    <cfRule type="expression" priority="443" dxfId="633">
      <formula>$J25&gt;0</formula>
    </cfRule>
  </conditionalFormatting>
  <conditionalFormatting sqref="B28">
    <cfRule type="expression" priority="624" dxfId="637">
      <formula>$B28&lt;&gt;""</formula>
    </cfRule>
  </conditionalFormatting>
  <conditionalFormatting sqref="B31:B40">
    <cfRule type="expression" priority="388" dxfId="633">
      <formula>$J31&gt;0</formula>
    </cfRule>
  </conditionalFormatting>
  <conditionalFormatting sqref="B41">
    <cfRule type="expression" priority="583" dxfId="633">
      <formula>ISNUMBER(SEARCH("UV",$D31))</formula>
    </cfRule>
    <cfRule type="expression" priority="584" dxfId="358">
      <formula>($D31="CANOPY TYPE")</formula>
    </cfRule>
  </conditionalFormatting>
  <conditionalFormatting sqref="B42:B44">
    <cfRule type="expression" priority="585" dxfId="633">
      <formula>$J42&gt;0</formula>
    </cfRule>
  </conditionalFormatting>
  <conditionalFormatting sqref="B45">
    <cfRule type="expression" priority="623" dxfId="637">
      <formula>$B45&lt;&gt;""</formula>
    </cfRule>
  </conditionalFormatting>
  <conditionalFormatting sqref="B48:B57">
    <cfRule type="expression" priority="103" dxfId="633">
      <formula>$J48&gt;0</formula>
    </cfRule>
  </conditionalFormatting>
  <conditionalFormatting sqref="B58">
    <cfRule type="expression" priority="557" dxfId="358">
      <formula>($D48="CANOPY TYPE")</formula>
    </cfRule>
    <cfRule type="expression" priority="556" dxfId="633">
      <formula>ISNUMBER(SEARCH("UV",$D48))</formula>
    </cfRule>
  </conditionalFormatting>
  <conditionalFormatting sqref="B59:B61">
    <cfRule type="expression" priority="442" dxfId="633">
      <formula>$J59&gt;0</formula>
    </cfRule>
  </conditionalFormatting>
  <conditionalFormatting sqref="B62">
    <cfRule type="expression" priority="622" dxfId="637">
      <formula>$B62&lt;&gt;""</formula>
    </cfRule>
  </conditionalFormatting>
  <conditionalFormatting sqref="B65:B74">
    <cfRule type="expression" priority="89" dxfId="633">
      <formula>$J65&gt;0</formula>
    </cfRule>
  </conditionalFormatting>
  <conditionalFormatting sqref="B75">
    <cfRule type="expression" priority="528" dxfId="633">
      <formula>ISNUMBER(SEARCH("UV",$D65))</formula>
    </cfRule>
    <cfRule type="expression" priority="529" dxfId="358">
      <formula>($D65="CANOPY TYPE")</formula>
    </cfRule>
  </conditionalFormatting>
  <conditionalFormatting sqref="B76:B78">
    <cfRule type="expression" priority="441" dxfId="633">
      <formula>$J76&gt;0</formula>
    </cfRule>
  </conditionalFormatting>
  <conditionalFormatting sqref="B79">
    <cfRule type="expression" priority="621" dxfId="637">
      <formula>$B79&lt;&gt;""</formula>
    </cfRule>
  </conditionalFormatting>
  <conditionalFormatting sqref="B82:B91">
    <cfRule type="expression" priority="75" dxfId="633">
      <formula>$J82&gt;0</formula>
    </cfRule>
  </conditionalFormatting>
  <conditionalFormatting sqref="B92">
    <cfRule type="expression" priority="499" dxfId="633">
      <formula>ISNUMBER(SEARCH("UV",$D82))</formula>
    </cfRule>
    <cfRule type="expression" priority="500" dxfId="358">
      <formula>($D82="CANOPY TYPE")</formula>
    </cfRule>
  </conditionalFormatting>
  <conditionalFormatting sqref="B93:B95">
    <cfRule type="expression" priority="440" dxfId="633">
      <formula>$J93&gt;0</formula>
    </cfRule>
  </conditionalFormatting>
  <conditionalFormatting sqref="B96">
    <cfRule type="expression" priority="620" dxfId="637">
      <formula>$B96&lt;&gt;""</formula>
    </cfRule>
  </conditionalFormatting>
  <conditionalFormatting sqref="B99:B108">
    <cfRule type="expression" priority="61" dxfId="633">
      <formula>$J99&gt;0</formula>
    </cfRule>
  </conditionalFormatting>
  <conditionalFormatting sqref="B109">
    <cfRule type="expression" priority="472" dxfId="358">
      <formula>($D99="CANOPY TYPE")</formula>
    </cfRule>
    <cfRule type="expression" priority="471" dxfId="633">
      <formula>ISNUMBER(SEARCH("UV",$D99))</formula>
    </cfRule>
  </conditionalFormatting>
  <conditionalFormatting sqref="B110:B112 B127:B129 B144:B146 B161:B163 B178:B180">
    <cfRule type="expression" priority="439" dxfId="633">
      <formula>$J110&gt;0</formula>
    </cfRule>
  </conditionalFormatting>
  <conditionalFormatting sqref="B113">
    <cfRule type="expression" priority="320" dxfId="637">
      <formula>$B113&lt;&gt;""</formula>
    </cfRule>
  </conditionalFormatting>
  <conditionalFormatting sqref="B116:B125">
    <cfRule type="expression" priority="47" dxfId="633">
      <formula>$J116&gt;0</formula>
    </cfRule>
  </conditionalFormatting>
  <conditionalFormatting sqref="B126">
    <cfRule type="expression" priority="295" dxfId="633">
      <formula>ISNUMBER(SEARCH("UV",$D116))</formula>
    </cfRule>
    <cfRule type="expression" priority="296" dxfId="358">
      <formula>($D116="CANOPY TYPE")</formula>
    </cfRule>
  </conditionalFormatting>
  <conditionalFormatting sqref="B130">
    <cfRule type="expression" priority="265" dxfId="637">
      <formula>$B130&lt;&gt;""</formula>
    </cfRule>
  </conditionalFormatting>
  <conditionalFormatting sqref="B133:B142">
    <cfRule type="expression" priority="33" dxfId="633">
      <formula>$J133&gt;0</formula>
    </cfRule>
  </conditionalFormatting>
  <conditionalFormatting sqref="B143">
    <cfRule type="expression" priority="241" dxfId="358">
      <formula>($D133="CANOPY TYPE")</formula>
    </cfRule>
    <cfRule type="expression" priority="240" dxfId="633">
      <formula>ISNUMBER(SEARCH("UV",$D133))</formula>
    </cfRule>
  </conditionalFormatting>
  <conditionalFormatting sqref="B147">
    <cfRule type="expression" priority="214" dxfId="637">
      <formula>$B147&lt;&gt;""</formula>
    </cfRule>
  </conditionalFormatting>
  <conditionalFormatting sqref="B150:B159">
    <cfRule type="expression" priority="19" dxfId="633">
      <formula>$J150&gt;0</formula>
    </cfRule>
  </conditionalFormatting>
  <conditionalFormatting sqref="B160">
    <cfRule type="expression" priority="190" dxfId="358">
      <formula>($D150="CANOPY TYPE")</formula>
    </cfRule>
    <cfRule type="expression" priority="189" dxfId="633">
      <formula>ISNUMBER(SEARCH("UV",$D150))</formula>
    </cfRule>
  </conditionalFormatting>
  <conditionalFormatting sqref="B164">
    <cfRule type="expression" priority="163" dxfId="637">
      <formula>$B164&lt;&gt;""</formula>
    </cfRule>
  </conditionalFormatting>
  <conditionalFormatting sqref="B167:B176">
    <cfRule type="expression" priority="5" dxfId="633">
      <formula>$J167&gt;0</formula>
    </cfRule>
  </conditionalFormatting>
  <conditionalFormatting sqref="B177">
    <cfRule type="expression" priority="138" dxfId="633">
      <formula>ISNUMBER(SEARCH("UV",$D167))</formula>
    </cfRule>
    <cfRule type="expression" priority="139" dxfId="358">
      <formula>($D167="CANOPY TYPE")</formula>
    </cfRule>
  </conditionalFormatting>
  <conditionalFormatting sqref="B183:B197">
    <cfRule type="expression" priority="617" dxfId="633">
      <formula>$C183&gt;0</formula>
    </cfRule>
  </conditionalFormatting>
  <conditionalFormatting sqref="C14">
    <cfRule type="containsText" priority="429" operator="containsText" dxfId="204" text="CONFIG">
      <formula>NOT(ISERROR(SEARCH("CONFIG",C14)))</formula>
    </cfRule>
  </conditionalFormatting>
  <conditionalFormatting sqref="C15">
    <cfRule type="containsText" priority="434" operator="containsText" dxfId="561" text="LIGHT SELECTION">
      <formula>NOT(ISERROR(SEARCH("LIGHT SELECTION",C15)))</formula>
    </cfRule>
  </conditionalFormatting>
  <conditionalFormatting sqref="C20:C21">
    <cfRule type="cellIs" priority="669" operator="lessThan" dxfId="561">
      <formula>1</formula>
    </cfRule>
  </conditionalFormatting>
  <conditionalFormatting sqref="C22:C23">
    <cfRule type="expression" priority="409" dxfId="383">
      <formula>D22="WW PODS"</formula>
    </cfRule>
  </conditionalFormatting>
  <conditionalFormatting sqref="C24">
    <cfRule type="expression" priority="686" dxfId="559">
      <formula>ISNUMBER(SEARCH("UV",D14))</formula>
    </cfRule>
  </conditionalFormatting>
  <conditionalFormatting sqref="C25">
    <cfRule type="expression" priority="651" dxfId="472">
      <formula>(ISNUMBER(SEARCH("CMW",D14)))=TRUE</formula>
    </cfRule>
  </conditionalFormatting>
  <conditionalFormatting sqref="C26">
    <cfRule type="expression" priority="650" dxfId="472">
      <formula>(ISNUMBER(SEARCH("CMW",D14)))=TRUE</formula>
    </cfRule>
  </conditionalFormatting>
  <conditionalFormatting sqref="C27">
    <cfRule type="expression" priority="619" dxfId="472">
      <formula>(ISNUMBER(SEARCH("CMW",$D14)))=TRUE</formula>
    </cfRule>
  </conditionalFormatting>
  <conditionalFormatting sqref="C31">
    <cfRule type="containsText" priority="594" operator="containsText" dxfId="204" text="CONFIG">
      <formula>NOT(ISERROR(SEARCH("CONFIG",C31)))</formula>
    </cfRule>
  </conditionalFormatting>
  <conditionalFormatting sqref="C32">
    <cfRule type="containsText" priority="436" operator="containsText" dxfId="561" text="LIGHT SELECTION">
      <formula>NOT(ISERROR(SEARCH("LIGHT SELECTION",C32)))</formula>
    </cfRule>
  </conditionalFormatting>
  <conditionalFormatting sqref="C37:C38">
    <cfRule type="cellIs" priority="593" operator="lessThan" dxfId="561">
      <formula>1</formula>
    </cfRule>
  </conditionalFormatting>
  <conditionalFormatting sqref="C39:C40">
    <cfRule type="expression" priority="387" dxfId="383">
      <formula>D39="WW PODS"</formula>
    </cfRule>
  </conditionalFormatting>
  <conditionalFormatting sqref="C41">
    <cfRule type="expression" priority="608" dxfId="559">
      <formula>ISNUMBER(SEARCH("UV",D31))</formula>
    </cfRule>
  </conditionalFormatting>
  <conditionalFormatting sqref="C42">
    <cfRule type="expression" priority="591" dxfId="472">
      <formula>(ISNUMBER(SEARCH("CMW",D31)))=TRUE</formula>
    </cfRule>
  </conditionalFormatting>
  <conditionalFormatting sqref="C43">
    <cfRule type="expression" priority="468" dxfId="472">
      <formula>(ISNUMBER(SEARCH("CMW",D31)))=TRUE</formula>
    </cfRule>
  </conditionalFormatting>
  <conditionalFormatting sqref="C44">
    <cfRule type="expression" priority="586" dxfId="472">
      <formula>(ISNUMBER(SEARCH("CMW",$D31)))=TRUE</formula>
    </cfRule>
  </conditionalFormatting>
  <conditionalFormatting sqref="C48">
    <cfRule type="containsText" priority="563" operator="containsText" dxfId="204" text="CONFIG">
      <formula>NOT(ISERROR(SEARCH("CONFIG",C48)))</formula>
    </cfRule>
  </conditionalFormatting>
  <conditionalFormatting sqref="C49">
    <cfRule type="containsText" priority="433" operator="containsText" dxfId="561" text="LIGHT SELECTION">
      <formula>NOT(ISERROR(SEARCH("LIGHT SELECTION",C49)))</formula>
    </cfRule>
  </conditionalFormatting>
  <conditionalFormatting sqref="C54:C55">
    <cfRule type="cellIs" priority="562" operator="lessThan" dxfId="561">
      <formula>1</formula>
    </cfRule>
  </conditionalFormatting>
  <conditionalFormatting sqref="C56:C57">
    <cfRule type="expression" priority="368" dxfId="383">
      <formula>D56="WW PODS"</formula>
    </cfRule>
  </conditionalFormatting>
  <conditionalFormatting sqref="C58">
    <cfRule type="expression" priority="576" dxfId="559">
      <formula>ISNUMBER(SEARCH("UV",D48))</formula>
    </cfRule>
  </conditionalFormatting>
  <conditionalFormatting sqref="C59">
    <cfRule type="expression" priority="560" dxfId="472">
      <formula>(ISNUMBER(SEARCH("CMW",D48)))=TRUE</formula>
    </cfRule>
  </conditionalFormatting>
  <conditionalFormatting sqref="C60">
    <cfRule type="expression" priority="467" dxfId="472">
      <formula>(ISNUMBER(SEARCH("CMW",D48)))=TRUE</formula>
    </cfRule>
  </conditionalFormatting>
  <conditionalFormatting sqref="C61">
    <cfRule type="expression" priority="558" dxfId="472">
      <formula>(ISNUMBER(SEARCH("CMW",$D48)))=TRUE</formula>
    </cfRule>
  </conditionalFormatting>
  <conditionalFormatting sqref="C65">
    <cfRule type="containsText" priority="536" operator="containsText" dxfId="204" text="CONFIG">
      <formula>NOT(ISERROR(SEARCH("CONFIG",C65)))</formula>
    </cfRule>
  </conditionalFormatting>
  <conditionalFormatting sqref="C66">
    <cfRule type="containsText" priority="432" operator="containsText" dxfId="561" text="LIGHT SELECTION">
      <formula>NOT(ISERROR(SEARCH("LIGHT SELECTION",C66)))</formula>
    </cfRule>
  </conditionalFormatting>
  <conditionalFormatting sqref="C71:C72">
    <cfRule type="cellIs" priority="535" operator="lessThan" dxfId="561">
      <formula>1</formula>
    </cfRule>
  </conditionalFormatting>
  <conditionalFormatting sqref="C73:C74">
    <cfRule type="expression" priority="353" dxfId="383">
      <formula>D73="WW PODS"</formula>
    </cfRule>
  </conditionalFormatting>
  <conditionalFormatting sqref="C75">
    <cfRule type="expression" priority="549" dxfId="559">
      <formula>ISNUMBER(SEARCH("UV",D65))</formula>
    </cfRule>
  </conditionalFormatting>
  <conditionalFormatting sqref="C76">
    <cfRule type="expression" priority="532" dxfId="472">
      <formula>(ISNUMBER(SEARCH("CMW",D65)))=TRUE</formula>
    </cfRule>
  </conditionalFormatting>
  <conditionalFormatting sqref="C77">
    <cfRule type="expression" priority="466" dxfId="472">
      <formula>(ISNUMBER(SEARCH("CMW",D65)))=TRUE</formula>
    </cfRule>
  </conditionalFormatting>
  <conditionalFormatting sqref="C78">
    <cfRule type="expression" priority="530" dxfId="472">
      <formula>(ISNUMBER(SEARCH("CMW",$D65)))=TRUE</formula>
    </cfRule>
  </conditionalFormatting>
  <conditionalFormatting sqref="C82">
    <cfRule type="containsText" priority="507" operator="containsText" dxfId="204" text="CONFIG">
      <formula>NOT(ISERROR(SEARCH("CONFIG",C82)))</formula>
    </cfRule>
  </conditionalFormatting>
  <conditionalFormatting sqref="C83">
    <cfRule type="containsText" priority="431" operator="containsText" dxfId="561" text="LIGHT SELECTION">
      <formula>NOT(ISERROR(SEARCH("LIGHT SELECTION",C83)))</formula>
    </cfRule>
  </conditionalFormatting>
  <conditionalFormatting sqref="C88:C89">
    <cfRule type="cellIs" priority="506" operator="lessThan" dxfId="561">
      <formula>1</formula>
    </cfRule>
  </conditionalFormatting>
  <conditionalFormatting sqref="C90:C91">
    <cfRule type="expression" priority="338" dxfId="383">
      <formula>D90="WW PODS"</formula>
    </cfRule>
  </conditionalFormatting>
  <conditionalFormatting sqref="C92">
    <cfRule type="expression" priority="521" dxfId="559">
      <formula>ISNUMBER(SEARCH("UV",D82))</formula>
    </cfRule>
  </conditionalFormatting>
  <conditionalFormatting sqref="C93">
    <cfRule type="expression" priority="503" dxfId="472">
      <formula>(ISNUMBER(SEARCH("CMW",D82)))=TRUE</formula>
    </cfRule>
  </conditionalFormatting>
  <conditionalFormatting sqref="C94">
    <cfRule type="expression" priority="465" dxfId="472">
      <formula>(ISNUMBER(SEARCH("CMW",D82)))=TRUE</formula>
    </cfRule>
  </conditionalFormatting>
  <conditionalFormatting sqref="C95">
    <cfRule type="expression" priority="501" dxfId="472">
      <formula>(ISNUMBER(SEARCH("CMW",$D82)))=TRUE</formula>
    </cfRule>
  </conditionalFormatting>
  <conditionalFormatting sqref="C99">
    <cfRule type="containsText" priority="478" operator="containsText" dxfId="204" text="CONFIG">
      <formula>NOT(ISERROR(SEARCH("CONFIG",C99)))</formula>
    </cfRule>
  </conditionalFormatting>
  <conditionalFormatting sqref="C100">
    <cfRule type="containsText" priority="430" operator="containsText" dxfId="561" text="LIGHT SELECTION">
      <formula>NOT(ISERROR(SEARCH("LIGHT SELECTION",C100)))</formula>
    </cfRule>
  </conditionalFormatting>
  <conditionalFormatting sqref="C105:C106">
    <cfRule type="cellIs" priority="477" operator="lessThan" dxfId="561">
      <formula>1</formula>
    </cfRule>
  </conditionalFormatting>
  <conditionalFormatting sqref="C107:C108">
    <cfRule type="expression" priority="323" dxfId="383">
      <formula>D107="WW PODS"</formula>
    </cfRule>
  </conditionalFormatting>
  <conditionalFormatting sqref="C109">
    <cfRule type="expression" priority="492" dxfId="559">
      <formula>ISNUMBER(SEARCH("UV",D99))</formula>
    </cfRule>
  </conditionalFormatting>
  <conditionalFormatting sqref="C110">
    <cfRule type="expression" priority="475" dxfId="472">
      <formula>(ISNUMBER(SEARCH("CMW",D99)))=TRUE</formula>
    </cfRule>
  </conditionalFormatting>
  <conditionalFormatting sqref="C111">
    <cfRule type="expression" priority="464" dxfId="472">
      <formula>(ISNUMBER(SEARCH("CMW",D99)))=TRUE</formula>
    </cfRule>
  </conditionalFormatting>
  <conditionalFormatting sqref="C112 C129 C146 C163 C180">
    <cfRule type="expression" priority="473" dxfId="472">
      <formula>(ISNUMBER(SEARCH("CMW",$D99)))=TRUE</formula>
    </cfRule>
  </conditionalFormatting>
  <conditionalFormatting sqref="C116">
    <cfRule type="containsText" priority="301" operator="containsText" dxfId="204" text="CONFIG">
      <formula>NOT(ISERROR(SEARCH("CONFIG",C116)))</formula>
    </cfRule>
  </conditionalFormatting>
  <conditionalFormatting sqref="C117">
    <cfRule type="containsText" priority="288" operator="containsText" dxfId="561" text="LIGHT SELECTION">
      <formula>NOT(ISERROR(SEARCH("LIGHT SELECTION",C117)))</formula>
    </cfRule>
  </conditionalFormatting>
  <conditionalFormatting sqref="C122:C123">
    <cfRule type="cellIs" priority="300" operator="lessThan" dxfId="561">
      <formula>1</formula>
    </cfRule>
  </conditionalFormatting>
  <conditionalFormatting sqref="C124:C125">
    <cfRule type="expression" priority="272" dxfId="383">
      <formula>D124="WW PODS"</formula>
    </cfRule>
  </conditionalFormatting>
  <conditionalFormatting sqref="C126">
    <cfRule type="expression" priority="315" dxfId="559">
      <formula>ISNUMBER(SEARCH("UV",D116))</formula>
    </cfRule>
  </conditionalFormatting>
  <conditionalFormatting sqref="C127">
    <cfRule type="expression" priority="298" dxfId="472">
      <formula>(ISNUMBER(SEARCH("CMW",D116)))=TRUE</formula>
    </cfRule>
  </conditionalFormatting>
  <conditionalFormatting sqref="C128">
    <cfRule type="expression" priority="293" dxfId="472">
      <formula>(ISNUMBER(SEARCH("CMW",D116)))=TRUE</formula>
    </cfRule>
  </conditionalFormatting>
  <conditionalFormatting sqref="C133">
    <cfRule type="containsText" priority="246" operator="containsText" dxfId="204" text="CONFIG">
      <formula>NOT(ISERROR(SEARCH("CONFIG",C133)))</formula>
    </cfRule>
  </conditionalFormatting>
  <conditionalFormatting sqref="C134">
    <cfRule type="containsText" priority="233" operator="containsText" dxfId="561" text="LIGHT SELECTION">
      <formula>NOT(ISERROR(SEARCH("LIGHT SELECTION",C134)))</formula>
    </cfRule>
  </conditionalFormatting>
  <conditionalFormatting sqref="C139:C140">
    <cfRule type="cellIs" priority="245" operator="lessThan" dxfId="561">
      <formula>1</formula>
    </cfRule>
  </conditionalFormatting>
  <conditionalFormatting sqref="C141:C142">
    <cfRule type="expression" priority="217" dxfId="383">
      <formula>D141="WW PODS"</formula>
    </cfRule>
  </conditionalFormatting>
  <conditionalFormatting sqref="C143">
    <cfRule type="expression" priority="260" dxfId="559">
      <formula>ISNUMBER(SEARCH("UV",D133))</formula>
    </cfRule>
  </conditionalFormatting>
  <conditionalFormatting sqref="C144">
    <cfRule type="expression" priority="243" dxfId="472">
      <formula>(ISNUMBER(SEARCH("CMW",D133)))=TRUE</formula>
    </cfRule>
  </conditionalFormatting>
  <conditionalFormatting sqref="C145">
    <cfRule type="expression" priority="238" dxfId="472">
      <formula>(ISNUMBER(SEARCH("CMW",D133)))=TRUE</formula>
    </cfRule>
  </conditionalFormatting>
  <conditionalFormatting sqref="C150">
    <cfRule type="containsText" priority="195" operator="containsText" dxfId="204" text="CONFIG">
      <formula>NOT(ISERROR(SEARCH("CONFIG",C150)))</formula>
    </cfRule>
  </conditionalFormatting>
  <conditionalFormatting sqref="C151">
    <cfRule type="containsText" priority="182" operator="containsText" dxfId="561" text="LIGHT SELECTION">
      <formula>NOT(ISERROR(SEARCH("LIGHT SELECTION",C151)))</formula>
    </cfRule>
  </conditionalFormatting>
  <conditionalFormatting sqref="C156:C157">
    <cfRule type="cellIs" priority="194" operator="lessThan" dxfId="561">
      <formula>1</formula>
    </cfRule>
  </conditionalFormatting>
  <conditionalFormatting sqref="C158:C159">
    <cfRule type="expression" priority="166" dxfId="383">
      <formula>D158="WW PODS"</formula>
    </cfRule>
  </conditionalFormatting>
  <conditionalFormatting sqref="C160">
    <cfRule type="expression" priority="209" dxfId="559">
      <formula>ISNUMBER(SEARCH("UV",D150))</formula>
    </cfRule>
  </conditionalFormatting>
  <conditionalFormatting sqref="C161">
    <cfRule type="expression" priority="192" dxfId="472">
      <formula>(ISNUMBER(SEARCH("CMW",D150)))=TRUE</formula>
    </cfRule>
  </conditionalFormatting>
  <conditionalFormatting sqref="C162">
    <cfRule type="expression" priority="187" dxfId="472">
      <formula>(ISNUMBER(SEARCH("CMW",D150)))=TRUE</formula>
    </cfRule>
  </conditionalFormatting>
  <conditionalFormatting sqref="C167">
    <cfRule type="containsText" priority="144" operator="containsText" dxfId="204" text="CONFIG">
      <formula>NOT(ISERROR(SEARCH("CONFIG",C167)))</formula>
    </cfRule>
  </conditionalFormatting>
  <conditionalFormatting sqref="C168">
    <cfRule type="containsText" priority="131" operator="containsText" dxfId="561" text="LIGHT SELECTION">
      <formula>NOT(ISERROR(SEARCH("LIGHT SELECTION",C168)))</formula>
    </cfRule>
  </conditionalFormatting>
  <conditionalFormatting sqref="C173:C174">
    <cfRule type="cellIs" priority="143" operator="lessThan" dxfId="561">
      <formula>1</formula>
    </cfRule>
  </conditionalFormatting>
  <conditionalFormatting sqref="C175:C176">
    <cfRule type="expression" priority="115" dxfId="383">
      <formula>D175="WW PODS"</formula>
    </cfRule>
  </conditionalFormatting>
  <conditionalFormatting sqref="C177">
    <cfRule type="expression" priority="158" dxfId="559">
      <formula>ISNUMBER(SEARCH("UV",D167))</formula>
    </cfRule>
  </conditionalFormatting>
  <conditionalFormatting sqref="C178">
    <cfRule type="expression" priority="141" dxfId="472">
      <formula>(ISNUMBER(SEARCH("CMW",D167)))=TRUE</formula>
    </cfRule>
  </conditionalFormatting>
  <conditionalFormatting sqref="C179">
    <cfRule type="expression" priority="136" dxfId="472">
      <formula>(ISNUMBER(SEARCH("CMW",D167)))=TRUE</formula>
    </cfRule>
  </conditionalFormatting>
  <conditionalFormatting sqref="C183:C184">
    <cfRule type="cellIs" priority="671" operator="lessThan" dxfId="554">
      <formula>1</formula>
    </cfRule>
  </conditionalFormatting>
  <conditionalFormatting sqref="C185">
    <cfRule type="cellIs" priority="660" operator="lessThan" dxfId="164">
      <formula>1</formula>
    </cfRule>
  </conditionalFormatting>
  <conditionalFormatting sqref="C186:C197">
    <cfRule type="cellIs" priority="270" operator="lessThan" dxfId="554">
      <formula>1</formula>
    </cfRule>
  </conditionalFormatting>
  <conditionalFormatting sqref="C9:D9">
    <cfRule type="cellIs" priority="661" operator="lessThan" dxfId="207">
      <formula>0</formula>
    </cfRule>
    <cfRule type="cellIs" priority="662" operator="greaterThan" dxfId="552">
      <formula>0</formula>
    </cfRule>
  </conditionalFormatting>
  <conditionalFormatting sqref="D14">
    <cfRule type="containsText" priority="672" operator="containsText" dxfId="164" text="CANOPY TYPE">
      <formula>NOT(ISERROR(SEARCH("CANOPY TYPE",D14)))</formula>
    </cfRule>
  </conditionalFormatting>
  <conditionalFormatting sqref="D15">
    <cfRule type="expression" priority="425" dxfId="206">
      <formula>(C15="LIGHT SELECTION")</formula>
    </cfRule>
  </conditionalFormatting>
  <conditionalFormatting sqref="D16:D18">
    <cfRule type="expression" priority="627" dxfId="206">
      <formula>($C16="SELECT WORKS")</formula>
    </cfRule>
  </conditionalFormatting>
  <conditionalFormatting sqref="D19">
    <cfRule type="expression" priority="269" dxfId="206">
      <formula>$C19="SELECT CLADDING"</formula>
    </cfRule>
  </conditionalFormatting>
  <conditionalFormatting sqref="D22:D23">
    <cfRule type="expression" priority="408" dxfId="358">
      <formula>($D$14="CANOPY TYPE")</formula>
    </cfRule>
  </conditionalFormatting>
  <conditionalFormatting sqref="D24">
    <cfRule type="expression" priority="685" dxfId="474">
      <formula>ISNUMBER(SEARCH("UV",D14))</formula>
    </cfRule>
  </conditionalFormatting>
  <conditionalFormatting sqref="D25">
    <cfRule type="expression" priority="613" dxfId="358">
      <formula>($D$14="CANOPY TYPE")</formula>
    </cfRule>
  </conditionalFormatting>
  <conditionalFormatting sqref="D26">
    <cfRule type="expression" priority="635" dxfId="472">
      <formula>(ISNUMBER(SEARCH("CMW",D14)))=TRUE</formula>
    </cfRule>
  </conditionalFormatting>
  <conditionalFormatting sqref="D31">
    <cfRule type="containsText" priority="595" operator="containsText" dxfId="164" text="CANOPY TYPE">
      <formula>NOT(ISERROR(SEARCH("CANOPY TYPE",D31)))</formula>
    </cfRule>
  </conditionalFormatting>
  <conditionalFormatting sqref="D32">
    <cfRule type="expression" priority="438" dxfId="206">
      <formula>(C32="LIGHT SELECTION")</formula>
    </cfRule>
  </conditionalFormatting>
  <conditionalFormatting sqref="D33:D35">
    <cfRule type="expression" priority="588" dxfId="206">
      <formula>($C33="SELECT WORKS")</formula>
    </cfRule>
  </conditionalFormatting>
  <conditionalFormatting sqref="D36">
    <cfRule type="expression" priority="417" dxfId="206">
      <formula>$C36="SELECT CLADDING"</formula>
    </cfRule>
  </conditionalFormatting>
  <conditionalFormatting sqref="D39:D40">
    <cfRule type="expression" priority="382" dxfId="358">
      <formula>($D$14="CANOPY TYPE")</formula>
    </cfRule>
  </conditionalFormatting>
  <conditionalFormatting sqref="D41">
    <cfRule type="expression" priority="607" dxfId="474">
      <formula>ISNUMBER(SEARCH("UV",D31))</formula>
    </cfRule>
  </conditionalFormatting>
  <conditionalFormatting sqref="D42">
    <cfRule type="expression" priority="581" dxfId="358">
      <formula>($D$14="CANOPY TYPE")</formula>
    </cfRule>
  </conditionalFormatting>
  <conditionalFormatting sqref="D43">
    <cfRule type="expression" priority="590" dxfId="472">
      <formula>(ISNUMBER(SEARCH("CMW",D31)))=TRUE</formula>
    </cfRule>
  </conditionalFormatting>
  <conditionalFormatting sqref="D48">
    <cfRule type="containsText" priority="420" operator="containsText" dxfId="164" text="CANOPY TYPE">
      <formula>NOT(ISERROR(SEARCH("CANOPY TYPE",D48)))</formula>
    </cfRule>
  </conditionalFormatting>
  <conditionalFormatting sqref="D49">
    <cfRule type="expression" priority="435" dxfId="206">
      <formula>(C15="LIGHT SELECTION")</formula>
    </cfRule>
  </conditionalFormatting>
  <conditionalFormatting sqref="D50:D52">
    <cfRule type="expression" priority="111" dxfId="206">
      <formula>($C50="SELECT WORKS")</formula>
    </cfRule>
  </conditionalFormatting>
  <conditionalFormatting sqref="D53">
    <cfRule type="expression" priority="418" dxfId="206">
      <formula>$C53="SELECT CLADDING"</formula>
    </cfRule>
  </conditionalFormatting>
  <conditionalFormatting sqref="D56:D57">
    <cfRule type="expression" priority="367" dxfId="358">
      <formula>($D$14="CANOPY TYPE")</formula>
    </cfRule>
  </conditionalFormatting>
  <conditionalFormatting sqref="D58">
    <cfRule type="expression" priority="575" dxfId="474">
      <formula>ISNUMBER(SEARCH("UV",D48))</formula>
    </cfRule>
  </conditionalFormatting>
  <conditionalFormatting sqref="D59">
    <cfRule type="expression" priority="554" dxfId="358">
      <formula>($D$14="CANOPY TYPE")</formula>
    </cfRule>
  </conditionalFormatting>
  <conditionalFormatting sqref="D60">
    <cfRule type="expression" priority="559" dxfId="472">
      <formula>(ISNUMBER(SEARCH("CMW",D48)))=TRUE</formula>
    </cfRule>
  </conditionalFormatting>
  <conditionalFormatting sqref="D65">
    <cfRule type="containsText" priority="419" operator="containsText" dxfId="164" text="CANOPY TYPE">
      <formula>NOT(ISERROR(SEARCH("CANOPY TYPE",D65)))</formula>
    </cfRule>
  </conditionalFormatting>
  <conditionalFormatting sqref="D66">
    <cfRule type="expression" priority="428" dxfId="206">
      <formula>(C66="LIGHT SELECTION")</formula>
    </cfRule>
  </conditionalFormatting>
  <conditionalFormatting sqref="D67:D69">
    <cfRule type="expression" priority="97" dxfId="206">
      <formula>($C67="SELECT WORKS")</formula>
    </cfRule>
  </conditionalFormatting>
  <conditionalFormatting sqref="D70">
    <cfRule type="expression" priority="533" dxfId="206">
      <formula>$C70="SELECT CLADDING"</formula>
    </cfRule>
  </conditionalFormatting>
  <conditionalFormatting sqref="D73:D74">
    <cfRule type="expression" priority="352" dxfId="358">
      <formula>($D$14="CANOPY TYPE")</formula>
    </cfRule>
  </conditionalFormatting>
  <conditionalFormatting sqref="D75">
    <cfRule type="expression" priority="548" dxfId="474">
      <formula>ISNUMBER(SEARCH("UV",D65))</formula>
    </cfRule>
  </conditionalFormatting>
  <conditionalFormatting sqref="D76">
    <cfRule type="expression" priority="526" dxfId="358">
      <formula>($D$14="CANOPY TYPE")</formula>
    </cfRule>
  </conditionalFormatting>
  <conditionalFormatting sqref="D77">
    <cfRule type="expression" priority="531" dxfId="472">
      <formula>(ISNUMBER(SEARCH("CMW",D65)))=TRUE</formula>
    </cfRule>
  </conditionalFormatting>
  <conditionalFormatting sqref="D82">
    <cfRule type="containsText" priority="508" operator="containsText" dxfId="164" text="CANOPY TYPE">
      <formula>NOT(ISERROR(SEARCH("CANOPY TYPE",D82)))</formula>
    </cfRule>
  </conditionalFormatting>
  <conditionalFormatting sqref="D83">
    <cfRule type="expression" priority="427" dxfId="206">
      <formula>(C83="LIGHT SELECTION")</formula>
    </cfRule>
  </conditionalFormatting>
  <conditionalFormatting sqref="D84:D86">
    <cfRule type="expression" priority="83" dxfId="206">
      <formula>($C84="SELECT WORKS")</formula>
    </cfRule>
  </conditionalFormatting>
  <conditionalFormatting sqref="D87">
    <cfRule type="expression" priority="504" dxfId="206">
      <formula>$C87="SELECT CLADDING"</formula>
    </cfRule>
  </conditionalFormatting>
  <conditionalFormatting sqref="D90:D91">
    <cfRule type="expression" priority="337" dxfId="358">
      <formula>($D$14="CANOPY TYPE")</formula>
    </cfRule>
  </conditionalFormatting>
  <conditionalFormatting sqref="D92">
    <cfRule type="expression" priority="520" dxfId="474">
      <formula>ISNUMBER(SEARCH("UV",D82))</formula>
    </cfRule>
  </conditionalFormatting>
  <conditionalFormatting sqref="D93">
    <cfRule type="expression" priority="497" dxfId="358">
      <formula>($D$14="CANOPY TYPE")</formula>
    </cfRule>
  </conditionalFormatting>
  <conditionalFormatting sqref="D94">
    <cfRule type="expression" priority="502" dxfId="472">
      <formula>(ISNUMBER(SEARCH("CMW",D82)))=TRUE</formula>
    </cfRule>
  </conditionalFormatting>
  <conditionalFormatting sqref="D99">
    <cfRule type="containsText" priority="479" operator="containsText" dxfId="164" text="CANOPY TYPE">
      <formula>NOT(ISERROR(SEARCH("CANOPY TYPE",D99)))</formula>
    </cfRule>
  </conditionalFormatting>
  <conditionalFormatting sqref="D100">
    <cfRule type="expression" priority="426" dxfId="206">
      <formula>(C100="LIGHT SELECTION")</formula>
    </cfRule>
  </conditionalFormatting>
  <conditionalFormatting sqref="D101:D103">
    <cfRule type="expression" priority="69" dxfId="206">
      <formula>($C101="SELECT WORKS")</formula>
    </cfRule>
  </conditionalFormatting>
  <conditionalFormatting sqref="D104">
    <cfRule type="expression" priority="416" dxfId="206">
      <formula>$C104="SELECT CLADDING"</formula>
    </cfRule>
  </conditionalFormatting>
  <conditionalFormatting sqref="D107:D108">
    <cfRule type="expression" priority="322" dxfId="358">
      <formula>($D$14="CANOPY TYPE")</formula>
    </cfRule>
  </conditionalFormatting>
  <conditionalFormatting sqref="D109">
    <cfRule type="expression" priority="491" dxfId="474">
      <formula>ISNUMBER(SEARCH("UV",D99))</formula>
    </cfRule>
  </conditionalFormatting>
  <conditionalFormatting sqref="D110">
    <cfRule type="expression" priority="469" dxfId="358">
      <formula>($D$14="CANOPY TYPE")</formula>
    </cfRule>
  </conditionalFormatting>
  <conditionalFormatting sqref="D111">
    <cfRule type="expression" priority="474" dxfId="472">
      <formula>(ISNUMBER(SEARCH("CMW",D99)))=TRUE</formula>
    </cfRule>
  </conditionalFormatting>
  <conditionalFormatting sqref="D116">
    <cfRule type="containsText" priority="302" operator="containsText" dxfId="164" text="CANOPY TYPE">
      <formula>NOT(ISERROR(SEARCH("CANOPY TYPE",D116)))</formula>
    </cfRule>
  </conditionalFormatting>
  <conditionalFormatting sqref="D117">
    <cfRule type="expression" priority="287" dxfId="206">
      <formula>(C117="LIGHT SELECTION")</formula>
    </cfRule>
  </conditionalFormatting>
  <conditionalFormatting sqref="D118:D120">
    <cfRule type="expression" priority="55" dxfId="206">
      <formula>($C118="SELECT WORKS")</formula>
    </cfRule>
  </conditionalFormatting>
  <conditionalFormatting sqref="D121">
    <cfRule type="expression" priority="286" dxfId="206">
      <formula>$C121="SELECT CLADDING"</formula>
    </cfRule>
  </conditionalFormatting>
  <conditionalFormatting sqref="D124:D125">
    <cfRule type="expression" priority="271" dxfId="358">
      <formula>($D$14="CANOPY TYPE")</formula>
    </cfRule>
  </conditionalFormatting>
  <conditionalFormatting sqref="D126">
    <cfRule type="expression" priority="314" dxfId="474">
      <formula>ISNUMBER(SEARCH("UV",D116))</formula>
    </cfRule>
  </conditionalFormatting>
  <conditionalFormatting sqref="D127">
    <cfRule type="expression" priority="294" dxfId="358">
      <formula>($D$14="CANOPY TYPE")</formula>
    </cfRule>
  </conditionalFormatting>
  <conditionalFormatting sqref="D128">
    <cfRule type="expression" priority="297" dxfId="472">
      <formula>(ISNUMBER(SEARCH("CMW",D116)))=TRUE</formula>
    </cfRule>
  </conditionalFormatting>
  <conditionalFormatting sqref="D133">
    <cfRule type="containsText" priority="247" operator="containsText" dxfId="164" text="CANOPY TYPE">
      <formula>NOT(ISERROR(SEARCH("CANOPY TYPE",D133)))</formula>
    </cfRule>
  </conditionalFormatting>
  <conditionalFormatting sqref="D134">
    <cfRule type="expression" priority="232" dxfId="206">
      <formula>(C134="LIGHT SELECTION")</formula>
    </cfRule>
  </conditionalFormatting>
  <conditionalFormatting sqref="D135:D137">
    <cfRule type="expression" priority="41" dxfId="206">
      <formula>($C135="SELECT WORKS")</formula>
    </cfRule>
  </conditionalFormatting>
  <conditionalFormatting sqref="D138">
    <cfRule type="expression" priority="231" dxfId="206">
      <formula>$C138="SELECT CLADDING"</formula>
    </cfRule>
  </conditionalFormatting>
  <conditionalFormatting sqref="D141:D142">
    <cfRule type="expression" priority="216" dxfId="358">
      <formula>($D$14="CANOPY TYPE")</formula>
    </cfRule>
  </conditionalFormatting>
  <conditionalFormatting sqref="D143">
    <cfRule type="expression" priority="259" dxfId="474">
      <formula>ISNUMBER(SEARCH("UV",D133))</formula>
    </cfRule>
  </conditionalFormatting>
  <conditionalFormatting sqref="D144">
    <cfRule type="expression" priority="239" dxfId="358">
      <formula>($D$14="CANOPY TYPE")</formula>
    </cfRule>
  </conditionalFormatting>
  <conditionalFormatting sqref="D145">
    <cfRule type="expression" priority="242" dxfId="472">
      <formula>(ISNUMBER(SEARCH("CMW",D133)))=TRUE</formula>
    </cfRule>
  </conditionalFormatting>
  <conditionalFormatting sqref="D150">
    <cfRule type="containsText" priority="196" operator="containsText" dxfId="164" text="CANOPY TYPE">
      <formula>NOT(ISERROR(SEARCH("CANOPY TYPE",D150)))</formula>
    </cfRule>
  </conditionalFormatting>
  <conditionalFormatting sqref="D151">
    <cfRule type="expression" priority="181" dxfId="206">
      <formula>(C151="LIGHT SELECTION")</formula>
    </cfRule>
  </conditionalFormatting>
  <conditionalFormatting sqref="D152:D154">
    <cfRule type="expression" priority="27" dxfId="206">
      <formula>($C152="SELECT WORKS")</formula>
    </cfRule>
  </conditionalFormatting>
  <conditionalFormatting sqref="D155">
    <cfRule type="expression" priority="180" dxfId="206">
      <formula>$C155="SELECT CLADDING"</formula>
    </cfRule>
  </conditionalFormatting>
  <conditionalFormatting sqref="D158:D159">
    <cfRule type="expression" priority="165" dxfId="358">
      <formula>($D$14="CANOPY TYPE")</formula>
    </cfRule>
  </conditionalFormatting>
  <conditionalFormatting sqref="D160">
    <cfRule type="expression" priority="208" dxfId="474">
      <formula>ISNUMBER(SEARCH("UV",D150))</formula>
    </cfRule>
  </conditionalFormatting>
  <conditionalFormatting sqref="D161">
    <cfRule type="expression" priority="188" dxfId="358">
      <formula>($D$14="CANOPY TYPE")</formula>
    </cfRule>
  </conditionalFormatting>
  <conditionalFormatting sqref="D162">
    <cfRule type="expression" priority="191" dxfId="472">
      <formula>(ISNUMBER(SEARCH("CMW",D150)))=TRUE</formula>
    </cfRule>
  </conditionalFormatting>
  <conditionalFormatting sqref="D167">
    <cfRule type="containsText" priority="145" operator="containsText" dxfId="164" text="CANOPY TYPE">
      <formula>NOT(ISERROR(SEARCH("CANOPY TYPE",D167)))</formula>
    </cfRule>
  </conditionalFormatting>
  <conditionalFormatting sqref="D168">
    <cfRule type="expression" priority="130" dxfId="206">
      <formula>(C168="LIGHT SELECTION")</formula>
    </cfRule>
  </conditionalFormatting>
  <conditionalFormatting sqref="D169:D171">
    <cfRule type="expression" priority="13" dxfId="206">
      <formula>($C169="SELECT WORKS")</formula>
    </cfRule>
  </conditionalFormatting>
  <conditionalFormatting sqref="D172">
    <cfRule type="expression" priority="129" dxfId="206">
      <formula>$C172="SELECT CLADDING"</formula>
    </cfRule>
  </conditionalFormatting>
  <conditionalFormatting sqref="D175:D176">
    <cfRule type="expression" priority="114" dxfId="358">
      <formula>($D$14="CANOPY TYPE")</formula>
    </cfRule>
  </conditionalFormatting>
  <conditionalFormatting sqref="D177">
    <cfRule type="expression" priority="157" dxfId="474">
      <formula>ISNUMBER(SEARCH("UV",D167))</formula>
    </cfRule>
  </conditionalFormatting>
  <conditionalFormatting sqref="D178">
    <cfRule type="expression" priority="137" dxfId="358">
      <formula>($D$14="CANOPY TYPE")</formula>
    </cfRule>
  </conditionalFormatting>
  <conditionalFormatting sqref="D179">
    <cfRule type="expression" priority="140" dxfId="472">
      <formula>(ISNUMBER(SEARCH("CMW",D167)))=TRUE</formula>
    </cfRule>
  </conditionalFormatting>
  <conditionalFormatting sqref="E12">
    <cfRule type="cellIs" priority="684" operator="greaterThan" dxfId="204">
      <formula>2000</formula>
    </cfRule>
    <cfRule type="expression" priority="683" dxfId="387">
      <formula>ISNUMBER(SEARCH("I-MUAP",$D$14))</formula>
    </cfRule>
    <cfRule type="expression" priority="682" dxfId="386">
      <formula>AND((ISNUMBER(SEARCH("I-MUAP",$D$14))),E12&lt;2500)</formula>
    </cfRule>
  </conditionalFormatting>
  <conditionalFormatting sqref="E15">
    <cfRule type="expression" priority="423" dxfId="315">
      <formula>(C15="LIGHT SELECTION")</formula>
    </cfRule>
  </conditionalFormatting>
  <conditionalFormatting sqref="E16:E18">
    <cfRule type="expression" priority="113" dxfId="381">
      <formula>$C16="SELECT WORKS"</formula>
    </cfRule>
  </conditionalFormatting>
  <conditionalFormatting sqref="E22:E23">
    <cfRule type="expression" priority="665" dxfId="384">
      <formula>D22="WW PODS"</formula>
    </cfRule>
    <cfRule type="expression" priority="666" dxfId="383">
      <formula>D22="FILTER TYPE"</formula>
    </cfRule>
    <cfRule type="expression" priority="667" dxfId="382">
      <formula>D22="KSA"</formula>
    </cfRule>
    <cfRule type="expression" priority="687" dxfId="381">
      <formula>(D14="CANOPY TYPE")</formula>
    </cfRule>
  </conditionalFormatting>
  <conditionalFormatting sqref="E24">
    <cfRule type="containsText" priority="674" operator="containsText" dxfId="380" text="LONG ">
      <formula>NOT(ISERROR(SEARCH("LONG ",E24)))</formula>
    </cfRule>
  </conditionalFormatting>
  <conditionalFormatting sqref="E29">
    <cfRule type="expression" priority="604" dxfId="386">
      <formula>AND((ISNUMBER(SEARCH("I-MUAP",$D$14))),E29&lt;2500)</formula>
    </cfRule>
    <cfRule type="expression" priority="605" dxfId="387">
      <formula>ISNUMBER(SEARCH("I-MUAP",$D$14))</formula>
    </cfRule>
    <cfRule type="cellIs" priority="606" operator="greaterThan" dxfId="204">
      <formula>2000</formula>
    </cfRule>
  </conditionalFormatting>
  <conditionalFormatting sqref="E33:E34">
    <cfRule type="expression" priority="587" dxfId="381">
      <formula>$C33="SELECT WORKS"</formula>
    </cfRule>
  </conditionalFormatting>
  <conditionalFormatting sqref="E39:E40">
    <cfRule type="expression" priority="397" dxfId="382">
      <formula>D39="KSA"</formula>
    </cfRule>
    <cfRule type="expression" priority="398" dxfId="381">
      <formula>(D31="CANOPY TYPE")</formula>
    </cfRule>
    <cfRule type="expression" priority="396" dxfId="383">
      <formula>D39="FILTER TYPE"</formula>
    </cfRule>
    <cfRule type="expression" priority="395" dxfId="384">
      <formula>D39="WW PODS"</formula>
    </cfRule>
  </conditionalFormatting>
  <conditionalFormatting sqref="E41">
    <cfRule type="containsText" priority="597" operator="containsText" dxfId="380" text="LONG ">
      <formula>NOT(ISERROR(SEARCH("LONG ",E41)))</formula>
    </cfRule>
  </conditionalFormatting>
  <conditionalFormatting sqref="E46">
    <cfRule type="cellIs" priority="574" operator="greaterThan" dxfId="204">
      <formula>2000</formula>
    </cfRule>
    <cfRule type="expression" priority="573" dxfId="387">
      <formula>ISNUMBER(SEARCH("I-MUAP",$D$14))</formula>
    </cfRule>
    <cfRule type="expression" priority="572" dxfId="386">
      <formula>AND((ISNUMBER(SEARCH("I-MUAP",$D$14))),E46&lt;2500)</formula>
    </cfRule>
  </conditionalFormatting>
  <conditionalFormatting sqref="E49">
    <cfRule type="expression" priority="437" dxfId="315">
      <formula>(C49="LIGHT SELECTION")</formula>
    </cfRule>
  </conditionalFormatting>
  <conditionalFormatting sqref="E50:E52">
    <cfRule type="expression" priority="110" dxfId="381">
      <formula>$C50="SELECT WORKS"</formula>
    </cfRule>
  </conditionalFormatting>
  <conditionalFormatting sqref="E56:E57">
    <cfRule type="expression" priority="369" dxfId="384">
      <formula>D56="WW PODS"</formula>
    </cfRule>
    <cfRule type="expression" priority="370" dxfId="383">
      <formula>D56="FILTER TYPE"</formula>
    </cfRule>
    <cfRule type="expression" priority="372" dxfId="381">
      <formula>(D48="CANOPY TYPE")</formula>
    </cfRule>
    <cfRule type="expression" priority="371" dxfId="382">
      <formula>D56="KSA"</formula>
    </cfRule>
  </conditionalFormatting>
  <conditionalFormatting sqref="E58">
    <cfRule type="containsText" priority="565" operator="containsText" dxfId="380" text="LONG ">
      <formula>NOT(ISERROR(SEARCH("LONG ",E58)))</formula>
    </cfRule>
  </conditionalFormatting>
  <conditionalFormatting sqref="E63">
    <cfRule type="cellIs" priority="547" operator="greaterThan" dxfId="204">
      <formula>2000</formula>
    </cfRule>
    <cfRule type="expression" priority="546" dxfId="387">
      <formula>ISNUMBER(SEARCH("I-MUAP",$D$14))</formula>
    </cfRule>
    <cfRule type="expression" priority="545" dxfId="386">
      <formula>AND((ISNUMBER(SEARCH("I-MUAP",$D$14))),E63&lt;2500)</formula>
    </cfRule>
  </conditionalFormatting>
  <conditionalFormatting sqref="E67:E69">
    <cfRule type="expression" priority="96" dxfId="381">
      <formula>$C67="SELECT WORKS"</formula>
    </cfRule>
  </conditionalFormatting>
  <conditionalFormatting sqref="E73:E74">
    <cfRule type="expression" priority="354" dxfId="384">
      <formula>D73="WW PODS"</formula>
    </cfRule>
    <cfRule type="expression" priority="356" dxfId="382">
      <formula>D73="KSA"</formula>
    </cfRule>
    <cfRule type="expression" priority="357" dxfId="381">
      <formula>(D65="CANOPY TYPE")</formula>
    </cfRule>
    <cfRule type="expression" priority="355" dxfId="383">
      <formula>D73="FILTER TYPE"</formula>
    </cfRule>
  </conditionalFormatting>
  <conditionalFormatting sqref="E75">
    <cfRule type="containsText" priority="538" operator="containsText" dxfId="380" text="LONG ">
      <formula>NOT(ISERROR(SEARCH("LONG ",E75)))</formula>
    </cfRule>
  </conditionalFormatting>
  <conditionalFormatting sqref="E80">
    <cfRule type="cellIs" priority="519" operator="greaterThan" dxfId="204">
      <formula>2000</formula>
    </cfRule>
    <cfRule type="expression" priority="517" dxfId="386">
      <formula>AND((ISNUMBER(SEARCH("I-MUAP",$D$14))),E80&lt;2500)</formula>
    </cfRule>
    <cfRule type="expression" priority="518" dxfId="387">
      <formula>ISNUMBER(SEARCH("I-MUAP",$D$14))</formula>
    </cfRule>
  </conditionalFormatting>
  <conditionalFormatting sqref="E84:E86">
    <cfRule type="expression" priority="82" dxfId="381">
      <formula>$C84="SELECT WORKS"</formula>
    </cfRule>
  </conditionalFormatting>
  <conditionalFormatting sqref="E90:E91">
    <cfRule type="expression" priority="342" dxfId="381">
      <formula>(D82="CANOPY TYPE")</formula>
    </cfRule>
    <cfRule type="expression" priority="339" dxfId="384">
      <formula>D90="WW PODS"</formula>
    </cfRule>
    <cfRule type="expression" priority="340" dxfId="383">
      <formula>D90="FILTER TYPE"</formula>
    </cfRule>
    <cfRule type="expression" priority="341" dxfId="382">
      <formula>D90="KSA"</formula>
    </cfRule>
  </conditionalFormatting>
  <conditionalFormatting sqref="E92">
    <cfRule type="containsText" priority="510" operator="containsText" dxfId="380" text="LONG ">
      <formula>NOT(ISERROR(SEARCH("LONG ",E92)))</formula>
    </cfRule>
  </conditionalFormatting>
  <conditionalFormatting sqref="E97">
    <cfRule type="expression" priority="489" dxfId="387">
      <formula>ISNUMBER(SEARCH("I-MUAP",$D$14))</formula>
    </cfRule>
    <cfRule type="cellIs" priority="490" operator="greaterThan" dxfId="204">
      <formula>2000</formula>
    </cfRule>
    <cfRule type="expression" priority="488" dxfId="386">
      <formula>AND((ISNUMBER(SEARCH("I-MUAP",$D$14))),E97&lt;2500)</formula>
    </cfRule>
  </conditionalFormatting>
  <conditionalFormatting sqref="E101:E103">
    <cfRule type="expression" priority="68" dxfId="381">
      <formula>$C101="SELECT WORKS"</formula>
    </cfRule>
  </conditionalFormatting>
  <conditionalFormatting sqref="E107:E108">
    <cfRule type="expression" priority="324" dxfId="384">
      <formula>D107="WW PODS"</formula>
    </cfRule>
    <cfRule type="expression" priority="325" dxfId="383">
      <formula>D107="FILTER TYPE"</formula>
    </cfRule>
    <cfRule type="expression" priority="326" dxfId="382">
      <formula>D107="KSA"</formula>
    </cfRule>
    <cfRule type="expression" priority="327" dxfId="381">
      <formula>(D99="CANOPY TYPE")</formula>
    </cfRule>
  </conditionalFormatting>
  <conditionalFormatting sqref="E109">
    <cfRule type="containsText" priority="481" operator="containsText" dxfId="380" text="LONG ">
      <formula>NOT(ISERROR(SEARCH("LONG ",E109)))</formula>
    </cfRule>
  </conditionalFormatting>
  <conditionalFormatting sqref="E114">
    <cfRule type="cellIs" priority="313" operator="greaterThan" dxfId="204">
      <formula>2000</formula>
    </cfRule>
    <cfRule type="expression" priority="312" dxfId="387">
      <formula>ISNUMBER(SEARCH("I-MUAP",$D$14))</formula>
    </cfRule>
    <cfRule type="expression" priority="311" dxfId="386">
      <formula>AND((ISNUMBER(SEARCH("I-MUAP",$D$14))),E114&lt;2500)</formula>
    </cfRule>
  </conditionalFormatting>
  <conditionalFormatting sqref="E118:E120">
    <cfRule type="expression" priority="54" dxfId="381">
      <formula>$C118="SELECT WORKS"</formula>
    </cfRule>
  </conditionalFormatting>
  <conditionalFormatting sqref="E124:E125">
    <cfRule type="expression" priority="273" dxfId="384">
      <formula>D124="WW PODS"</formula>
    </cfRule>
    <cfRule type="expression" priority="276" dxfId="381">
      <formula>(D116="CANOPY TYPE")</formula>
    </cfRule>
    <cfRule type="expression" priority="275" dxfId="382">
      <formula>D124="KSA"</formula>
    </cfRule>
    <cfRule type="expression" priority="274" dxfId="383">
      <formula>D124="FILTER TYPE"</formula>
    </cfRule>
  </conditionalFormatting>
  <conditionalFormatting sqref="E126">
    <cfRule type="containsText" priority="304" operator="containsText" dxfId="380" text="LONG ">
      <formula>NOT(ISERROR(SEARCH("LONG ",E126)))</formula>
    </cfRule>
  </conditionalFormatting>
  <conditionalFormatting sqref="E131">
    <cfRule type="expression" priority="257" dxfId="387">
      <formula>ISNUMBER(SEARCH("I-MUAP",$D$14))</formula>
    </cfRule>
    <cfRule type="cellIs" priority="258" operator="greaterThan" dxfId="204">
      <formula>2000</formula>
    </cfRule>
    <cfRule type="expression" priority="256" dxfId="386">
      <formula>AND((ISNUMBER(SEARCH("I-MUAP",$D$14))),E131&lt;2500)</formula>
    </cfRule>
  </conditionalFormatting>
  <conditionalFormatting sqref="E135:E137">
    <cfRule type="expression" priority="40" dxfId="381">
      <formula>$C135="SELECT WORKS"</formula>
    </cfRule>
  </conditionalFormatting>
  <conditionalFormatting sqref="E141:E142">
    <cfRule type="expression" priority="221" dxfId="381">
      <formula>(D133="CANOPY TYPE")</formula>
    </cfRule>
    <cfRule type="expression" priority="220" dxfId="382">
      <formula>D141="KSA"</formula>
    </cfRule>
    <cfRule type="expression" priority="218" dxfId="384">
      <formula>D141="WW PODS"</formula>
    </cfRule>
    <cfRule type="expression" priority="219" dxfId="383">
      <formula>D141="FILTER TYPE"</formula>
    </cfRule>
  </conditionalFormatting>
  <conditionalFormatting sqref="E143">
    <cfRule type="containsText" priority="249" operator="containsText" dxfId="380" text="LONG ">
      <formula>NOT(ISERROR(SEARCH("LONG ",E143)))</formula>
    </cfRule>
  </conditionalFormatting>
  <conditionalFormatting sqref="E148">
    <cfRule type="cellIs" priority="207" operator="greaterThan" dxfId="204">
      <formula>2000</formula>
    </cfRule>
    <cfRule type="expression" priority="206" dxfId="387">
      <formula>ISNUMBER(SEARCH("I-MUAP",$D$14))</formula>
    </cfRule>
    <cfRule type="expression" priority="205" dxfId="386">
      <formula>AND((ISNUMBER(SEARCH("I-MUAP",$D$14))),E148&lt;2500)</formula>
    </cfRule>
  </conditionalFormatting>
  <conditionalFormatting sqref="E152:E154">
    <cfRule type="expression" priority="26" dxfId="381">
      <formula>$C152="SELECT WORKS"</formula>
    </cfRule>
  </conditionalFormatting>
  <conditionalFormatting sqref="E158:E159">
    <cfRule type="expression" priority="169" dxfId="382">
      <formula>D158="KSA"</formula>
    </cfRule>
    <cfRule type="expression" priority="167" dxfId="384">
      <formula>D158="WW PODS"</formula>
    </cfRule>
    <cfRule type="expression" priority="168" dxfId="383">
      <formula>D158="FILTER TYPE"</formula>
    </cfRule>
    <cfRule type="expression" priority="170" dxfId="381">
      <formula>(D150="CANOPY TYPE")</formula>
    </cfRule>
  </conditionalFormatting>
  <conditionalFormatting sqref="E160">
    <cfRule type="containsText" priority="198" operator="containsText" dxfId="380" text="LONG ">
      <formula>NOT(ISERROR(SEARCH("LONG ",E160)))</formula>
    </cfRule>
  </conditionalFormatting>
  <conditionalFormatting sqref="E165">
    <cfRule type="cellIs" priority="156" operator="greaterThan" dxfId="204">
      <formula>2000</formula>
    </cfRule>
    <cfRule type="expression" priority="155" dxfId="387">
      <formula>ISNUMBER(SEARCH("I-MUAP",$D$14))</formula>
    </cfRule>
    <cfRule type="expression" priority="154" dxfId="386">
      <formula>AND((ISNUMBER(SEARCH("I-MUAP",$D$14))),E165&lt;2500)</formula>
    </cfRule>
  </conditionalFormatting>
  <conditionalFormatting sqref="E169:E171">
    <cfRule type="expression" priority="12" dxfId="381">
      <formula>$C169="SELECT WORKS"</formula>
    </cfRule>
  </conditionalFormatting>
  <conditionalFormatting sqref="E175:E176">
    <cfRule type="expression" priority="116" dxfId="384">
      <formula>D175="WW PODS"</formula>
    </cfRule>
    <cfRule type="expression" priority="117" dxfId="383">
      <formula>D175="FILTER TYPE"</formula>
    </cfRule>
    <cfRule type="expression" priority="118" dxfId="382">
      <formula>D175="KSA"</formula>
    </cfRule>
    <cfRule type="expression" priority="119" dxfId="381">
      <formula>(D167="CANOPY TYPE")</formula>
    </cfRule>
  </conditionalFormatting>
  <conditionalFormatting sqref="E177">
    <cfRule type="containsText" priority="147" operator="containsText" dxfId="380" text="LONG ">
      <formula>NOT(ISERROR(SEARCH("LONG ",E177)))</formula>
    </cfRule>
  </conditionalFormatting>
  <conditionalFormatting sqref="E12:F12">
    <cfRule type="cellIs" priority="678" operator="lessThan" dxfId="204">
      <formula>1000</formula>
    </cfRule>
  </conditionalFormatting>
  <conditionalFormatting sqref="E14:F14">
    <cfRule type="cellIs" priority="675" operator="lessThan" dxfId="164">
      <formula>1000</formula>
    </cfRule>
  </conditionalFormatting>
  <conditionalFormatting sqref="E25:F27">
    <cfRule type="expression" priority="614" dxfId="358">
      <formula>($D$14="CANOPY TYPE")</formula>
    </cfRule>
  </conditionalFormatting>
  <conditionalFormatting sqref="E29:F29">
    <cfRule type="cellIs" priority="601" operator="lessThan" dxfId="204">
      <formula>1000</formula>
    </cfRule>
  </conditionalFormatting>
  <conditionalFormatting sqref="E31:F31">
    <cfRule type="cellIs" priority="598" operator="lessThan" dxfId="164">
      <formula>1000</formula>
    </cfRule>
  </conditionalFormatting>
  <conditionalFormatting sqref="E32:F32">
    <cfRule type="expression" priority="461" dxfId="315">
      <formula>(C32="LIGHT SELECTION")</formula>
    </cfRule>
  </conditionalFormatting>
  <conditionalFormatting sqref="E42:F44">
    <cfRule type="expression" priority="582" dxfId="358">
      <formula>($D$14="CANOPY TYPE")</formula>
    </cfRule>
  </conditionalFormatting>
  <conditionalFormatting sqref="E46:F46">
    <cfRule type="cellIs" priority="569" operator="lessThan" dxfId="204">
      <formula>1000</formula>
    </cfRule>
  </conditionalFormatting>
  <conditionalFormatting sqref="E48:F48">
    <cfRule type="cellIs" priority="566" operator="lessThan" dxfId="164">
      <formula>1000</formula>
    </cfRule>
  </conditionalFormatting>
  <conditionalFormatting sqref="E59:F61">
    <cfRule type="expression" priority="555" dxfId="358">
      <formula>($D$14="CANOPY TYPE")</formula>
    </cfRule>
  </conditionalFormatting>
  <conditionalFormatting sqref="E63:F63">
    <cfRule type="cellIs" priority="542" operator="lessThan" dxfId="204">
      <formula>1000</formula>
    </cfRule>
  </conditionalFormatting>
  <conditionalFormatting sqref="E65:F65">
    <cfRule type="cellIs" priority="539" operator="lessThan" dxfId="164">
      <formula>1000</formula>
    </cfRule>
  </conditionalFormatting>
  <conditionalFormatting sqref="E66:F66">
    <cfRule type="expression" priority="454" dxfId="315">
      <formula>(C66="LIGHT SELECTION")</formula>
    </cfRule>
  </conditionalFormatting>
  <conditionalFormatting sqref="E76:F78">
    <cfRule type="expression" priority="527" dxfId="358">
      <formula>($D$14="CANOPY TYPE")</formula>
    </cfRule>
  </conditionalFormatting>
  <conditionalFormatting sqref="E80:F80">
    <cfRule type="cellIs" priority="514" operator="lessThan" dxfId="204">
      <formula>1000</formula>
    </cfRule>
  </conditionalFormatting>
  <conditionalFormatting sqref="E82:F82">
    <cfRule type="cellIs" priority="511" operator="lessThan" dxfId="164">
      <formula>1000</formula>
    </cfRule>
  </conditionalFormatting>
  <conditionalFormatting sqref="E83:F83">
    <cfRule type="expression" priority="450" dxfId="315">
      <formula>(C83="LIGHT SELECTION")</formula>
    </cfRule>
  </conditionalFormatting>
  <conditionalFormatting sqref="E93:F95">
    <cfRule type="expression" priority="498" dxfId="358">
      <formula>($D$14="CANOPY TYPE")</formula>
    </cfRule>
  </conditionalFormatting>
  <conditionalFormatting sqref="E97:F97">
    <cfRule type="cellIs" priority="485" operator="lessThan" dxfId="204">
      <formula>1000</formula>
    </cfRule>
  </conditionalFormatting>
  <conditionalFormatting sqref="E99:F99">
    <cfRule type="cellIs" priority="482" operator="lessThan" dxfId="164">
      <formula>1000</formula>
    </cfRule>
  </conditionalFormatting>
  <conditionalFormatting sqref="E100:F100">
    <cfRule type="expression" priority="446" dxfId="315">
      <formula>(C100="LIGHT SELECTION")</formula>
    </cfRule>
  </conditionalFormatting>
  <conditionalFormatting sqref="E110:F112 E127:F129 E144:F146 E161:F163 E178:F180">
    <cfRule type="expression" priority="470" dxfId="358">
      <formula>($D$14="CANOPY TYPE")</formula>
    </cfRule>
  </conditionalFormatting>
  <conditionalFormatting sqref="E114:F114">
    <cfRule type="cellIs" priority="308" operator="lessThan" dxfId="204">
      <formula>1000</formula>
    </cfRule>
  </conditionalFormatting>
  <conditionalFormatting sqref="E116:F116">
    <cfRule type="cellIs" priority="305" operator="lessThan" dxfId="164">
      <formula>1000</formula>
    </cfRule>
  </conditionalFormatting>
  <conditionalFormatting sqref="E117:F117">
    <cfRule type="expression" priority="291" dxfId="315">
      <formula>(C117="LIGHT SELECTION")</formula>
    </cfRule>
  </conditionalFormatting>
  <conditionalFormatting sqref="E131:F131">
    <cfRule type="cellIs" priority="253" operator="lessThan" dxfId="204">
      <formula>1000</formula>
    </cfRule>
  </conditionalFormatting>
  <conditionalFormatting sqref="E133:F133">
    <cfRule type="cellIs" priority="250" operator="lessThan" dxfId="164">
      <formula>1000</formula>
    </cfRule>
  </conditionalFormatting>
  <conditionalFormatting sqref="E134:F134">
    <cfRule type="expression" priority="236" dxfId="315">
      <formula>(C134="LIGHT SELECTION")</formula>
    </cfRule>
  </conditionalFormatting>
  <conditionalFormatting sqref="E148:F148">
    <cfRule type="cellIs" priority="202" operator="lessThan" dxfId="204">
      <formula>1000</formula>
    </cfRule>
  </conditionalFormatting>
  <conditionalFormatting sqref="E150:F150">
    <cfRule type="cellIs" priority="199" operator="lessThan" dxfId="164">
      <formula>1000</formula>
    </cfRule>
  </conditionalFormatting>
  <conditionalFormatting sqref="E151:F151">
    <cfRule type="expression" priority="185" dxfId="315">
      <formula>(C151="LIGHT SELECTION")</formula>
    </cfRule>
  </conditionalFormatting>
  <conditionalFormatting sqref="E165:F165">
    <cfRule type="cellIs" priority="151" operator="lessThan" dxfId="204">
      <formula>1000</formula>
    </cfRule>
  </conditionalFormatting>
  <conditionalFormatting sqref="E167:F167">
    <cfRule type="cellIs" priority="148" operator="lessThan" dxfId="164">
      <formula>1000</formula>
    </cfRule>
  </conditionalFormatting>
  <conditionalFormatting sqref="E168:F168">
    <cfRule type="expression" priority="134" dxfId="315">
      <formula>(C168="LIGHT SELECTION")</formula>
    </cfRule>
  </conditionalFormatting>
  <conditionalFormatting sqref="F12">
    <cfRule type="cellIs" priority="679" operator="greaterThan" dxfId="204">
      <formula>3001</formula>
    </cfRule>
  </conditionalFormatting>
  <conditionalFormatting sqref="F15">
    <cfRule type="expression" priority="668" dxfId="215">
      <formula>(C15="LIGHT SELECTION")</formula>
    </cfRule>
    <cfRule type="expression" priority="670" dxfId="216">
      <formula>(C15="FLO")</formula>
    </cfRule>
    <cfRule type="expression" priority="463" dxfId="214">
      <formula>(C15="LED STRIP")</formula>
    </cfRule>
    <cfRule type="expression" priority="701" dxfId="315">
      <formula>(D49="LIGHT SELECTION")</formula>
    </cfRule>
  </conditionalFormatting>
  <conditionalFormatting sqref="F22:F23">
    <cfRule type="expression" priority="700" dxfId="205">
      <formula>D22="KSA"</formula>
    </cfRule>
    <cfRule type="expression" priority="692" dxfId="206">
      <formula>D22="NF"</formula>
    </cfRule>
    <cfRule type="expression" priority="693" dxfId="208">
      <formula>D22="WW PODS"</formula>
    </cfRule>
    <cfRule type="expression" priority="694" dxfId="206">
      <formula>D22="GRILLE"</formula>
    </cfRule>
    <cfRule type="expression" priority="695" dxfId="206">
      <formula>D22="CENTREX"</formula>
    </cfRule>
    <cfRule type="expression" priority="696" dxfId="206" stopIfTrue="1">
      <formula>D14="canopy type"</formula>
    </cfRule>
    <cfRule type="expression" priority="697" dxfId="207">
      <formula>(((I14*3600)/(C22*I11))^2+20)&gt;300</formula>
    </cfRule>
    <cfRule type="expression" priority="698" dxfId="205" stopIfTrue="1">
      <formula>(ISNUMBER(SEARCH("UV",D14)))</formula>
    </cfRule>
    <cfRule type="expression" priority="699" dxfId="207">
      <formula>(((I14*3600)/(C22*I11))^2+20)&gt;180</formula>
    </cfRule>
  </conditionalFormatting>
  <conditionalFormatting sqref="F24">
    <cfRule type="cellIs" priority="673" operator="lessThan" dxfId="204">
      <formula>2100</formula>
    </cfRule>
  </conditionalFormatting>
  <conditionalFormatting sqref="F29">
    <cfRule type="cellIs" priority="602" operator="greaterThan" dxfId="204">
      <formula>3001</formula>
    </cfRule>
  </conditionalFormatting>
  <conditionalFormatting sqref="F32">
    <cfRule type="expression" priority="462" dxfId="216">
      <formula>(C32="FLO")</formula>
    </cfRule>
    <cfRule type="expression" priority="460" dxfId="215">
      <formula>(C32="LIGHT SELECTION")</formula>
    </cfRule>
    <cfRule type="expression" priority="459" dxfId="214">
      <formula>(C32="LED STRIP")</formula>
    </cfRule>
  </conditionalFormatting>
  <conditionalFormatting sqref="F39:F40">
    <cfRule type="expression" priority="406" dxfId="207">
      <formula>(((I31*3600)/(C39*I28))^2+20)&gt;180</formula>
    </cfRule>
    <cfRule type="expression" priority="407" dxfId="205">
      <formula>D39="KSA"</formula>
    </cfRule>
    <cfRule type="expression" priority="399" dxfId="206">
      <formula>D39="NF"</formula>
    </cfRule>
    <cfRule type="expression" priority="400" dxfId="208">
      <formula>D39="WW PODS"</formula>
    </cfRule>
    <cfRule type="expression" priority="401" dxfId="206">
      <formula>D39="GRILLE"</formula>
    </cfRule>
    <cfRule type="expression" priority="402" dxfId="206">
      <formula>D39="CENTREX"</formula>
    </cfRule>
    <cfRule type="expression" priority="403" dxfId="206" stopIfTrue="1">
      <formula>D31="canopy type"</formula>
    </cfRule>
    <cfRule type="expression" priority="404" dxfId="207">
      <formula>(((I31*3600)/(C39*I28))^2+20)&gt;300</formula>
    </cfRule>
    <cfRule type="expression" priority="405" dxfId="205" stopIfTrue="1">
      <formula>(ISNUMBER(SEARCH("UV",D31)))</formula>
    </cfRule>
  </conditionalFormatting>
  <conditionalFormatting sqref="F41">
    <cfRule type="cellIs" priority="596" operator="lessThan" dxfId="204">
      <formula>2100</formula>
    </cfRule>
  </conditionalFormatting>
  <conditionalFormatting sqref="F46">
    <cfRule type="cellIs" priority="570" operator="greaterThan" dxfId="204">
      <formula>3001</formula>
    </cfRule>
  </conditionalFormatting>
  <conditionalFormatting sqref="F49">
    <cfRule type="expression" priority="702" dxfId="315">
      <formula>(#REF!="LIGHT SELECTION")</formula>
    </cfRule>
    <cfRule type="expression" priority="458" dxfId="216">
      <formula>(C49="FLO")</formula>
    </cfRule>
    <cfRule type="expression" priority="457" dxfId="215">
      <formula>(C49="LIGHT SELECTION")</formula>
    </cfRule>
    <cfRule type="expression" priority="456" dxfId="214">
      <formula>(C49="LED STRIP")</formula>
    </cfRule>
  </conditionalFormatting>
  <conditionalFormatting sqref="F56:F57">
    <cfRule type="expression" priority="379" dxfId="205" stopIfTrue="1">
      <formula>(ISNUMBER(SEARCH("UV",D48)))</formula>
    </cfRule>
    <cfRule type="expression" priority="380" dxfId="207">
      <formula>(((I48*3600)/(C56*I45))^2+20)&gt;180</formula>
    </cfRule>
    <cfRule type="expression" priority="378" dxfId="207">
      <formula>(((I48*3600)/(C56*I45))^2+20)&gt;300</formula>
    </cfRule>
    <cfRule type="expression" priority="377" dxfId="206" stopIfTrue="1">
      <formula>D48="canopy type"</formula>
    </cfRule>
    <cfRule type="expression" priority="376" dxfId="206">
      <formula>D56="CENTREX"</formula>
    </cfRule>
    <cfRule type="expression" priority="375" dxfId="206">
      <formula>D56="GRILLE"</formula>
    </cfRule>
    <cfRule type="expression" priority="374" dxfId="208">
      <formula>D56="WW PODS"</formula>
    </cfRule>
    <cfRule type="expression" priority="373" dxfId="206">
      <formula>D56="NF"</formula>
    </cfRule>
    <cfRule type="expression" priority="381" dxfId="205">
      <formula>D56="KSA"</formula>
    </cfRule>
  </conditionalFormatting>
  <conditionalFormatting sqref="F58">
    <cfRule type="cellIs" priority="564" operator="lessThan" dxfId="204">
      <formula>2100</formula>
    </cfRule>
  </conditionalFormatting>
  <conditionalFormatting sqref="F63">
    <cfRule type="cellIs" priority="543" operator="greaterThan" dxfId="204">
      <formula>3001</formula>
    </cfRule>
  </conditionalFormatting>
  <conditionalFormatting sqref="F66">
    <cfRule type="expression" priority="452" dxfId="214">
      <formula>(C66="LED STRIP")</formula>
    </cfRule>
    <cfRule type="expression" priority="453" dxfId="215">
      <formula>(C66="LIGHT SELECTION")</formula>
    </cfRule>
    <cfRule type="expression" priority="455" dxfId="216">
      <formula>(C66="FLO")</formula>
    </cfRule>
  </conditionalFormatting>
  <conditionalFormatting sqref="F73:F74">
    <cfRule type="expression" priority="358" dxfId="206">
      <formula>D73="NF"</formula>
    </cfRule>
    <cfRule type="expression" priority="359" dxfId="208">
      <formula>D73="WW PODS"</formula>
    </cfRule>
    <cfRule type="expression" priority="360" dxfId="206">
      <formula>D73="GRILLE"</formula>
    </cfRule>
    <cfRule type="expression" priority="361" dxfId="206">
      <formula>D73="CENTREX"</formula>
    </cfRule>
    <cfRule type="expression" priority="362" dxfId="206" stopIfTrue="1">
      <formula>D65="canopy type"</formula>
    </cfRule>
    <cfRule type="expression" priority="363" dxfId="207">
      <formula>(((I65*3600)/(C73*I62))^2+20)&gt;300</formula>
    </cfRule>
    <cfRule type="expression" priority="364" dxfId="205" stopIfTrue="1">
      <formula>(ISNUMBER(SEARCH("UV",D65)))</formula>
    </cfRule>
    <cfRule type="expression" priority="365" dxfId="207">
      <formula>(((I65*3600)/(C73*I62))^2+20)&gt;180</formula>
    </cfRule>
    <cfRule type="expression" priority="366" dxfId="205">
      <formula>D73="KSA"</formula>
    </cfRule>
  </conditionalFormatting>
  <conditionalFormatting sqref="F75">
    <cfRule type="cellIs" priority="537" operator="lessThan" dxfId="204">
      <formula>2100</formula>
    </cfRule>
  </conditionalFormatting>
  <conditionalFormatting sqref="F80">
    <cfRule type="cellIs" priority="515" operator="greaterThan" dxfId="204">
      <formula>3001</formula>
    </cfRule>
  </conditionalFormatting>
  <conditionalFormatting sqref="F83">
    <cfRule type="expression" priority="448" dxfId="214">
      <formula>(C83="LED STRIP")</formula>
    </cfRule>
    <cfRule type="expression" priority="451" dxfId="216">
      <formula>(C83="FLO")</formula>
    </cfRule>
    <cfRule type="expression" priority="449" dxfId="215">
      <formula>(C83="LIGHT SELECTION")</formula>
    </cfRule>
  </conditionalFormatting>
  <conditionalFormatting sqref="F90:F91">
    <cfRule type="expression" priority="343" dxfId="206">
      <formula>D90="NF"</formula>
    </cfRule>
    <cfRule type="expression" priority="344" dxfId="208">
      <formula>D90="WW PODS"</formula>
    </cfRule>
    <cfRule type="expression" priority="345" dxfId="206">
      <formula>D90="GRILLE"</formula>
    </cfRule>
    <cfRule type="expression" priority="346" dxfId="206">
      <formula>D90="CENTREX"</formula>
    </cfRule>
    <cfRule type="expression" priority="347" dxfId="206" stopIfTrue="1">
      <formula>D82="canopy type"</formula>
    </cfRule>
    <cfRule type="expression" priority="348" dxfId="207">
      <formula>(((I82*3600)/(C90*I79))^2+20)&gt;300</formula>
    </cfRule>
    <cfRule type="expression" priority="349" dxfId="205" stopIfTrue="1">
      <formula>(ISNUMBER(SEARCH("UV",D82)))</formula>
    </cfRule>
    <cfRule type="expression" priority="351" dxfId="205">
      <formula>D90="KSA"</formula>
    </cfRule>
    <cfRule type="expression" priority="350" dxfId="207">
      <formula>(((I82*3600)/(C90*I79))^2+20)&gt;180</formula>
    </cfRule>
  </conditionalFormatting>
  <conditionalFormatting sqref="F92">
    <cfRule type="cellIs" priority="509" operator="lessThan" dxfId="204">
      <formula>2100</formula>
    </cfRule>
  </conditionalFormatting>
  <conditionalFormatting sqref="F97">
    <cfRule type="cellIs" priority="486" operator="greaterThan" dxfId="204">
      <formula>3001</formula>
    </cfRule>
  </conditionalFormatting>
  <conditionalFormatting sqref="F100">
    <cfRule type="expression" priority="447" dxfId="216">
      <formula>(C100="FLO")</formula>
    </cfRule>
    <cfRule type="expression" priority="444" dxfId="214">
      <formula>(C100="LED STRIP")</formula>
    </cfRule>
    <cfRule type="expression" priority="445" dxfId="215">
      <formula>(C100="LIGHT SELECTION")</formula>
    </cfRule>
  </conditionalFormatting>
  <conditionalFormatting sqref="F107:F108">
    <cfRule type="expression" priority="329" dxfId="208">
      <formula>D107="WW PODS"</formula>
    </cfRule>
    <cfRule type="expression" priority="330" dxfId="206">
      <formula>D107="GRILLE"</formula>
    </cfRule>
    <cfRule type="expression" priority="334" dxfId="205" stopIfTrue="1">
      <formula>(ISNUMBER(SEARCH("UV",D99)))</formula>
    </cfRule>
    <cfRule type="expression" priority="333" dxfId="207">
      <formula>(((I99*3600)/(C107*I96))^2+20)&gt;300</formula>
    </cfRule>
    <cfRule type="expression" priority="335" dxfId="207">
      <formula>(((I99*3600)/(C107*I96))^2+20)&gt;180</formula>
    </cfRule>
    <cfRule type="expression" priority="332" dxfId="206" stopIfTrue="1">
      <formula>D99="canopy type"</formula>
    </cfRule>
    <cfRule type="expression" priority="331" dxfId="206">
      <formula>D107="CENTREX"</formula>
    </cfRule>
    <cfRule type="expression" priority="336" dxfId="205">
      <formula>D107="KSA"</formula>
    </cfRule>
    <cfRule type="expression" priority="328" dxfId="206">
      <formula>D107="NF"</formula>
    </cfRule>
  </conditionalFormatting>
  <conditionalFormatting sqref="F109">
    <cfRule type="cellIs" priority="480" operator="lessThan" dxfId="204">
      <formula>2100</formula>
    </cfRule>
  </conditionalFormatting>
  <conditionalFormatting sqref="F114">
    <cfRule type="cellIs" priority="309" operator="greaterThan" dxfId="204">
      <formula>3001</formula>
    </cfRule>
  </conditionalFormatting>
  <conditionalFormatting sqref="F117">
    <cfRule type="expression" priority="292" dxfId="216">
      <formula>(C117="FLO")</formula>
    </cfRule>
    <cfRule type="expression" priority="290" dxfId="215">
      <formula>(C117="LIGHT SELECTION")</formula>
    </cfRule>
    <cfRule type="expression" priority="289" dxfId="214">
      <formula>(C117="LED STRIP")</formula>
    </cfRule>
  </conditionalFormatting>
  <conditionalFormatting sqref="F124:F125">
    <cfRule type="expression" priority="279" dxfId="206">
      <formula>D124="GRILLE"</formula>
    </cfRule>
    <cfRule type="expression" priority="278" dxfId="208">
      <formula>D124="WW PODS"</formula>
    </cfRule>
    <cfRule type="expression" priority="277" dxfId="206">
      <formula>D124="NF"</formula>
    </cfRule>
    <cfRule type="expression" priority="281" dxfId="206" stopIfTrue="1">
      <formula>D116="canopy type"</formula>
    </cfRule>
    <cfRule type="expression" priority="282" dxfId="207">
      <formula>(((I116*3600)/(C124*I113))^2+20)&gt;300</formula>
    </cfRule>
    <cfRule type="expression" priority="283" dxfId="205" stopIfTrue="1">
      <formula>(ISNUMBER(SEARCH("UV",D116)))</formula>
    </cfRule>
    <cfRule type="expression" priority="284" dxfId="207">
      <formula>(((I116*3600)/(C124*I113))^2+20)&gt;180</formula>
    </cfRule>
    <cfRule type="expression" priority="285" dxfId="205">
      <formula>D124="KSA"</formula>
    </cfRule>
    <cfRule type="expression" priority="280" dxfId="206">
      <formula>D124="CENTREX"</formula>
    </cfRule>
  </conditionalFormatting>
  <conditionalFormatting sqref="F126">
    <cfRule type="cellIs" priority="303" operator="lessThan" dxfId="204">
      <formula>2100</formula>
    </cfRule>
  </conditionalFormatting>
  <conditionalFormatting sqref="F131">
    <cfRule type="cellIs" priority="254" operator="greaterThan" dxfId="204">
      <formula>3001</formula>
    </cfRule>
  </conditionalFormatting>
  <conditionalFormatting sqref="F134">
    <cfRule type="expression" priority="234" dxfId="214">
      <formula>(C134="LED STRIP")</formula>
    </cfRule>
    <cfRule type="expression" priority="237" dxfId="216">
      <formula>(C134="FLO")</formula>
    </cfRule>
    <cfRule type="expression" priority="235" dxfId="215">
      <formula>(C134="LIGHT SELECTION")</formula>
    </cfRule>
  </conditionalFormatting>
  <conditionalFormatting sqref="F141:F142">
    <cfRule type="expression" priority="223" dxfId="208">
      <formula>D141="WW PODS"</formula>
    </cfRule>
    <cfRule type="expression" priority="224" dxfId="206">
      <formula>D141="GRILLE"</formula>
    </cfRule>
    <cfRule type="expression" priority="225" dxfId="206">
      <formula>D141="CENTREX"</formula>
    </cfRule>
    <cfRule type="expression" priority="222" dxfId="206">
      <formula>D141="NF"</formula>
    </cfRule>
    <cfRule type="expression" priority="226" dxfId="206" stopIfTrue="1">
      <formula>D133="canopy type"</formula>
    </cfRule>
    <cfRule type="expression" priority="227" dxfId="207">
      <formula>(((I133*3600)/(C141*I130))^2+20)&gt;300</formula>
    </cfRule>
    <cfRule type="expression" priority="228" dxfId="205" stopIfTrue="1">
      <formula>(ISNUMBER(SEARCH("UV",D133)))</formula>
    </cfRule>
    <cfRule type="expression" priority="229" dxfId="207">
      <formula>(((I133*3600)/(C141*I130))^2+20)&gt;180</formula>
    </cfRule>
    <cfRule type="expression" priority="230" dxfId="205">
      <formula>D141="KSA"</formula>
    </cfRule>
  </conditionalFormatting>
  <conditionalFormatting sqref="F143">
    <cfRule type="cellIs" priority="248" operator="lessThan" dxfId="204">
      <formula>2100</formula>
    </cfRule>
  </conditionalFormatting>
  <conditionalFormatting sqref="F148">
    <cfRule type="cellIs" priority="203" operator="greaterThan" dxfId="204">
      <formula>3001</formula>
    </cfRule>
  </conditionalFormatting>
  <conditionalFormatting sqref="F151">
    <cfRule type="expression" priority="183" dxfId="214">
      <formula>(C151="LED STRIP")</formula>
    </cfRule>
    <cfRule type="expression" priority="184" dxfId="215">
      <formula>(C151="LIGHT SELECTION")</formula>
    </cfRule>
    <cfRule type="expression" priority="186" dxfId="216">
      <formula>(C151="FLO")</formula>
    </cfRule>
  </conditionalFormatting>
  <conditionalFormatting sqref="F158:F159">
    <cfRule type="expression" priority="178" dxfId="207">
      <formula>(((I150*3600)/(C158*I147))^2+20)&gt;180</formula>
    </cfRule>
    <cfRule type="expression" priority="171" dxfId="206">
      <formula>D158="NF"</formula>
    </cfRule>
    <cfRule type="expression" priority="172" dxfId="208">
      <formula>D158="WW PODS"</formula>
    </cfRule>
    <cfRule type="expression" priority="173" dxfId="206">
      <formula>D158="GRILLE"</formula>
    </cfRule>
    <cfRule type="expression" priority="174" dxfId="206">
      <formula>D158="CENTREX"</formula>
    </cfRule>
    <cfRule type="expression" priority="175" dxfId="206" stopIfTrue="1">
      <formula>D150="canopy type"</formula>
    </cfRule>
    <cfRule type="expression" priority="176" dxfId="207">
      <formula>(((I150*3600)/(C158*I147))^2+20)&gt;300</formula>
    </cfRule>
    <cfRule type="expression" priority="179" dxfId="205">
      <formula>D158="KSA"</formula>
    </cfRule>
    <cfRule type="expression" priority="177" dxfId="205" stopIfTrue="1">
      <formula>(ISNUMBER(SEARCH("UV",D150)))</formula>
    </cfRule>
  </conditionalFormatting>
  <conditionalFormatting sqref="F160">
    <cfRule type="cellIs" priority="197" operator="lessThan" dxfId="204">
      <formula>2100</formula>
    </cfRule>
  </conditionalFormatting>
  <conditionalFormatting sqref="F165">
    <cfRule type="cellIs" priority="152" operator="greaterThan" dxfId="204">
      <formula>3001</formula>
    </cfRule>
  </conditionalFormatting>
  <conditionalFormatting sqref="F168">
    <cfRule type="expression" priority="135" dxfId="216">
      <formula>(C168="FLO")</formula>
    </cfRule>
    <cfRule type="expression" priority="133" dxfId="215">
      <formula>(C168="LIGHT SELECTION")</formula>
    </cfRule>
    <cfRule type="expression" priority="132" dxfId="214">
      <formula>(C168="LED STRIP")</formula>
    </cfRule>
  </conditionalFormatting>
  <conditionalFormatting sqref="F175:F176">
    <cfRule type="expression" priority="126" dxfId="205" stopIfTrue="1">
      <formula>(ISNUMBER(SEARCH("UV",D167)))</formula>
    </cfRule>
    <cfRule type="expression" priority="125" dxfId="207">
      <formula>(((I167*3600)/(C175*I164))^2+20)&gt;300</formula>
    </cfRule>
    <cfRule type="expression" priority="124" dxfId="206" stopIfTrue="1">
      <formula>D167="canopy type"</formula>
    </cfRule>
    <cfRule type="expression" priority="123" dxfId="206">
      <formula>D175="CENTREX"</formula>
    </cfRule>
    <cfRule type="expression" priority="122" dxfId="206">
      <formula>D175="GRILLE"</formula>
    </cfRule>
    <cfRule type="expression" priority="121" dxfId="208">
      <formula>D175="WW PODS"</formula>
    </cfRule>
    <cfRule type="expression" priority="127" dxfId="207">
      <formula>(((I167*3600)/(C175*I164))^2+20)&gt;180</formula>
    </cfRule>
    <cfRule type="expression" priority="120" dxfId="206">
      <formula>D175="NF"</formula>
    </cfRule>
    <cfRule type="expression" priority="128" dxfId="205">
      <formula>D175="KSA"</formula>
    </cfRule>
  </conditionalFormatting>
  <conditionalFormatting sqref="F177">
    <cfRule type="cellIs" priority="146" operator="lessThan" dxfId="204">
      <formula>2100</formula>
    </cfRule>
  </conditionalFormatting>
  <conditionalFormatting sqref="G11">
    <cfRule type="expression" priority="681" dxfId="176">
      <formula>((F14-50)/H14)&lt;950</formula>
    </cfRule>
  </conditionalFormatting>
  <conditionalFormatting sqref="G12">
    <cfRule type="expression" priority="680" dxfId="175">
      <formula>((F14-50)/H14)&lt;950</formula>
    </cfRule>
  </conditionalFormatting>
  <conditionalFormatting sqref="G14">
    <cfRule type="cellIs" priority="676" operator="lessThan" dxfId="164">
      <formula>400</formula>
    </cfRule>
  </conditionalFormatting>
  <conditionalFormatting sqref="G28">
    <cfRule type="expression" priority="625" dxfId="176">
      <formula>((F31-50)/H31)&lt;950</formula>
    </cfRule>
  </conditionalFormatting>
  <conditionalFormatting sqref="G29">
    <cfRule type="expression" priority="603" dxfId="175">
      <formula>((F31-50)/H31)&lt;950</formula>
    </cfRule>
  </conditionalFormatting>
  <conditionalFormatting sqref="G31">
    <cfRule type="cellIs" priority="599" operator="lessThan" dxfId="164">
      <formula>400</formula>
    </cfRule>
  </conditionalFormatting>
  <conditionalFormatting sqref="G45">
    <cfRule type="expression" priority="641" dxfId="176">
      <formula>((F48-50)/H48)&lt;950</formula>
    </cfRule>
  </conditionalFormatting>
  <conditionalFormatting sqref="G46">
    <cfRule type="expression" priority="571" dxfId="175">
      <formula>((F48-50)/H48)&lt;950</formula>
    </cfRule>
  </conditionalFormatting>
  <conditionalFormatting sqref="G48">
    <cfRule type="cellIs" priority="567" operator="lessThan" dxfId="164">
      <formula>400</formula>
    </cfRule>
  </conditionalFormatting>
  <conditionalFormatting sqref="G62">
    <cfRule type="expression" priority="642" dxfId="176">
      <formula>((F65-50)/H65)&lt;950</formula>
    </cfRule>
  </conditionalFormatting>
  <conditionalFormatting sqref="G63">
    <cfRule type="expression" priority="544" dxfId="175">
      <formula>((F65-50)/H65)&lt;950</formula>
    </cfRule>
  </conditionalFormatting>
  <conditionalFormatting sqref="G65">
    <cfRule type="cellIs" priority="540" operator="lessThan" dxfId="164">
      <formula>400</formula>
    </cfRule>
  </conditionalFormatting>
  <conditionalFormatting sqref="G79">
    <cfRule type="expression" priority="643" dxfId="176">
      <formula>((F82-50)/H82)&lt;950</formula>
    </cfRule>
  </conditionalFormatting>
  <conditionalFormatting sqref="G80">
    <cfRule type="expression" priority="516" dxfId="175">
      <formula>((F82-50)/H82)&lt;950</formula>
    </cfRule>
  </conditionalFormatting>
  <conditionalFormatting sqref="G82">
    <cfRule type="cellIs" priority="512" operator="lessThan" dxfId="164">
      <formula>400</formula>
    </cfRule>
  </conditionalFormatting>
  <conditionalFormatting sqref="G96">
    <cfRule type="expression" priority="653" dxfId="176">
      <formula>((F99-50)/H99)&lt;950</formula>
    </cfRule>
  </conditionalFormatting>
  <conditionalFormatting sqref="G97">
    <cfRule type="expression" priority="487" dxfId="175">
      <formula>((F99-50)/H99)&lt;950</formula>
    </cfRule>
  </conditionalFormatting>
  <conditionalFormatting sqref="G99">
    <cfRule type="cellIs" priority="483" operator="lessThan" dxfId="164">
      <formula>400</formula>
    </cfRule>
  </conditionalFormatting>
  <conditionalFormatting sqref="G113">
    <cfRule type="expression" priority="321" dxfId="176">
      <formula>((F116-50)/H116)&lt;950</formula>
    </cfRule>
  </conditionalFormatting>
  <conditionalFormatting sqref="G114">
    <cfRule type="expression" priority="310" dxfId="175">
      <formula>((F116-50)/H116)&lt;950</formula>
    </cfRule>
  </conditionalFormatting>
  <conditionalFormatting sqref="G116">
    <cfRule type="cellIs" priority="306" operator="lessThan" dxfId="164">
      <formula>400</formula>
    </cfRule>
  </conditionalFormatting>
  <conditionalFormatting sqref="G130">
    <cfRule type="expression" priority="266" dxfId="176">
      <formula>((F133-50)/H133)&lt;950</formula>
    </cfRule>
  </conditionalFormatting>
  <conditionalFormatting sqref="G131">
    <cfRule type="expression" priority="255" dxfId="175">
      <formula>((F133-50)/H133)&lt;950</formula>
    </cfRule>
  </conditionalFormatting>
  <conditionalFormatting sqref="G133">
    <cfRule type="cellIs" priority="251" operator="lessThan" dxfId="164">
      <formula>400</formula>
    </cfRule>
  </conditionalFormatting>
  <conditionalFormatting sqref="G147">
    <cfRule type="expression" priority="215" dxfId="176">
      <formula>((F150-50)/H150)&lt;950</formula>
    </cfRule>
  </conditionalFormatting>
  <conditionalFormatting sqref="G148">
    <cfRule type="expression" priority="204" dxfId="175">
      <formula>((F150-50)/H150)&lt;950</formula>
    </cfRule>
  </conditionalFormatting>
  <conditionalFormatting sqref="G150">
    <cfRule type="cellIs" priority="200" operator="lessThan" dxfId="164">
      <formula>400</formula>
    </cfRule>
  </conditionalFormatting>
  <conditionalFormatting sqref="G164">
    <cfRule type="expression" priority="164" dxfId="176">
      <formula>((F167-50)/H167)&lt;950</formula>
    </cfRule>
  </conditionalFormatting>
  <conditionalFormatting sqref="G165">
    <cfRule type="expression" priority="153" dxfId="175">
      <formula>((F167-50)/H167)&lt;950</formula>
    </cfRule>
  </conditionalFormatting>
  <conditionalFormatting sqref="G167">
    <cfRule type="cellIs" priority="149" operator="lessThan" dxfId="164">
      <formula>400</formula>
    </cfRule>
  </conditionalFormatting>
  <conditionalFormatting sqref="I14">
    <cfRule type="cellIs" priority="677" operator="lessThan" dxfId="164">
      <formula>0.1</formula>
    </cfRule>
  </conditionalFormatting>
  <conditionalFormatting sqref="I31">
    <cfRule type="cellIs" priority="600" operator="lessThan" dxfId="164">
      <formula>0.1</formula>
    </cfRule>
  </conditionalFormatting>
  <conditionalFormatting sqref="I48">
    <cfRule type="cellIs" priority="568" operator="lessThan" dxfId="164">
      <formula>0.1</formula>
    </cfRule>
  </conditionalFormatting>
  <conditionalFormatting sqref="I65">
    <cfRule type="cellIs" priority="541" operator="lessThan" dxfId="164">
      <formula>0.1</formula>
    </cfRule>
  </conditionalFormatting>
  <conditionalFormatting sqref="I82">
    <cfRule type="cellIs" priority="513" operator="lessThan" dxfId="164">
      <formula>0.1</formula>
    </cfRule>
  </conditionalFormatting>
  <conditionalFormatting sqref="I99">
    <cfRule type="cellIs" priority="484" operator="lessThan" dxfId="164">
      <formula>0.1</formula>
    </cfRule>
  </conditionalFormatting>
  <conditionalFormatting sqref="I116">
    <cfRule type="cellIs" priority="307" operator="lessThan" dxfId="164">
      <formula>0.1</formula>
    </cfRule>
  </conditionalFormatting>
  <conditionalFormatting sqref="I133">
    <cfRule type="cellIs" priority="252" operator="lessThan" dxfId="164">
      <formula>0.1</formula>
    </cfRule>
  </conditionalFormatting>
  <conditionalFormatting sqref="I150">
    <cfRule type="cellIs" priority="201" operator="lessThan" dxfId="164">
      <formula>0.1</formula>
    </cfRule>
  </conditionalFormatting>
  <conditionalFormatting sqref="I167">
    <cfRule type="cellIs" priority="150" operator="lessThan" dxfId="164">
      <formula>0.1</formula>
    </cfRule>
  </conditionalFormatting>
  <conditionalFormatting sqref="J14:J27">
    <cfRule type="cellIs" priority="410" operator="greaterThan" dxfId="153">
      <formula>0</formula>
    </cfRule>
  </conditionalFormatting>
  <conditionalFormatting sqref="J31:J44">
    <cfRule type="cellIs" priority="383" operator="greaterThan" dxfId="153">
      <formula>0</formula>
    </cfRule>
  </conditionalFormatting>
  <conditionalFormatting sqref="J48:J61">
    <cfRule type="cellIs" priority="99" operator="greaterThan" dxfId="153">
      <formula>0</formula>
    </cfRule>
  </conditionalFormatting>
  <conditionalFormatting sqref="J65:J78">
    <cfRule type="cellIs" priority="85" operator="greaterThan" dxfId="153">
      <formula>0</formula>
    </cfRule>
  </conditionalFormatting>
  <conditionalFormatting sqref="J82:J95">
    <cfRule type="cellIs" priority="71" operator="greaterThan" dxfId="153">
      <formula>0</formula>
    </cfRule>
  </conditionalFormatting>
  <conditionalFormatting sqref="J99:J112">
    <cfRule type="cellIs" priority="57" operator="greaterThan" dxfId="153">
      <formula>0</formula>
    </cfRule>
  </conditionalFormatting>
  <conditionalFormatting sqref="J116:J129">
    <cfRule type="cellIs" priority="43" operator="greaterThan" dxfId="153">
      <formula>0</formula>
    </cfRule>
  </conditionalFormatting>
  <conditionalFormatting sqref="J133:J146">
    <cfRule type="cellIs" priority="29" operator="greaterThan" dxfId="153">
      <formula>0</formula>
    </cfRule>
  </conditionalFormatting>
  <conditionalFormatting sqref="J150:J163">
    <cfRule type="cellIs" priority="15" operator="greaterThan" dxfId="153">
      <formula>0</formula>
    </cfRule>
  </conditionalFormatting>
  <conditionalFormatting sqref="J167:J180">
    <cfRule type="cellIs" priority="1" operator="greaterThan" dxfId="153">
      <formula>0</formula>
    </cfRule>
  </conditionalFormatting>
  <conditionalFormatting sqref="J183:J197">
    <cfRule type="expression" priority="267" dxfId="153">
      <formula>C183&gt;0</formula>
    </cfRule>
  </conditionalFormatting>
  <conditionalFormatting sqref="J199">
    <cfRule type="expression" priority="658" dxfId="2">
      <formula>#REF!="EURO"</formula>
    </cfRule>
  </conditionalFormatting>
  <conditionalFormatting sqref="K14:K27">
    <cfRule type="cellIs" priority="424" operator="greaterThan" dxfId="141">
      <formula>0</formula>
    </cfRule>
  </conditionalFormatting>
  <conditionalFormatting sqref="K31:K44">
    <cfRule type="cellIs" priority="386" operator="greaterThan" dxfId="141">
      <formula>0</formula>
    </cfRule>
  </conditionalFormatting>
  <conditionalFormatting sqref="K48:K61">
    <cfRule type="cellIs" priority="102" operator="greaterThan" dxfId="141">
      <formula>0</formula>
    </cfRule>
  </conditionalFormatting>
  <conditionalFormatting sqref="K65:K78">
    <cfRule type="cellIs" priority="88" operator="greaterThan" dxfId="141">
      <formula>0</formula>
    </cfRule>
  </conditionalFormatting>
  <conditionalFormatting sqref="K82:K95">
    <cfRule type="cellIs" priority="74" operator="greaterThan" dxfId="141">
      <formula>0</formula>
    </cfRule>
  </conditionalFormatting>
  <conditionalFormatting sqref="K99:K112">
    <cfRule type="cellIs" priority="60" operator="greaterThan" dxfId="141">
      <formula>0</formula>
    </cfRule>
  </conditionalFormatting>
  <conditionalFormatting sqref="K116:K129">
    <cfRule type="cellIs" priority="46" operator="greaterThan" dxfId="141">
      <formula>0</formula>
    </cfRule>
  </conditionalFormatting>
  <conditionalFormatting sqref="K133:K146">
    <cfRule type="cellIs" priority="32" operator="greaterThan" dxfId="141">
      <formula>0</formula>
    </cfRule>
  </conditionalFormatting>
  <conditionalFormatting sqref="K150:K163">
    <cfRule type="cellIs" priority="18" operator="greaterThan" dxfId="141">
      <formula>0</formula>
    </cfRule>
  </conditionalFormatting>
  <conditionalFormatting sqref="K167:K180">
    <cfRule type="cellIs" priority="4" operator="greaterThan" dxfId="141">
      <formula>0</formula>
    </cfRule>
  </conditionalFormatting>
  <conditionalFormatting sqref="K183:K197">
    <cfRule type="cellIs" priority="268" operator="greaterThan" dxfId="141">
      <formula>0</formula>
    </cfRule>
  </conditionalFormatting>
  <conditionalFormatting sqref="K199">
    <cfRule type="expression" priority="657" dxfId="2">
      <formula>$B$9="EURO"</formula>
    </cfRule>
    <cfRule type="expression" priority="656" dxfId="3">
      <formula>$B$9="USD"</formula>
    </cfRule>
    <cfRule type="expression" priority="655" dxfId="0">
      <formula>$B$9="CZK"</formula>
    </cfRule>
    <cfRule type="expression" priority="654" dxfId="4">
      <formula>$B$9="PLN"</formula>
    </cfRule>
  </conditionalFormatting>
  <conditionalFormatting sqref="L14:L27">
    <cfRule type="expression" priority="421" dxfId="116">
      <formula>$C$9&lt;0</formula>
    </cfRule>
    <cfRule type="expression" priority="422" dxfId="115">
      <formula>$C$9&gt;0</formula>
    </cfRule>
  </conditionalFormatting>
  <conditionalFormatting sqref="L31:L44">
    <cfRule type="expression" priority="385" dxfId="115">
      <formula>$C$9&gt;0</formula>
    </cfRule>
    <cfRule type="expression" priority="384" dxfId="116">
      <formula>$C$9&lt;0</formula>
    </cfRule>
  </conditionalFormatting>
  <conditionalFormatting sqref="L48:L61">
    <cfRule type="expression" priority="100" dxfId="116">
      <formula>$C$9&lt;0</formula>
    </cfRule>
    <cfRule type="expression" priority="101" dxfId="115">
      <formula>$C$9&gt;0</formula>
    </cfRule>
  </conditionalFormatting>
  <conditionalFormatting sqref="L65:L78">
    <cfRule type="expression" priority="86" dxfId="116">
      <formula>$C$9&lt;0</formula>
    </cfRule>
    <cfRule type="expression" priority="87" dxfId="115">
      <formula>$C$9&gt;0</formula>
    </cfRule>
  </conditionalFormatting>
  <conditionalFormatting sqref="L82:L95">
    <cfRule type="expression" priority="72" dxfId="116">
      <formula>$C$9&lt;0</formula>
    </cfRule>
    <cfRule type="expression" priority="73" dxfId="115">
      <formula>$C$9&gt;0</formula>
    </cfRule>
  </conditionalFormatting>
  <conditionalFormatting sqref="L99:L112">
    <cfRule type="expression" priority="58" dxfId="116">
      <formula>$C$9&lt;0</formula>
    </cfRule>
    <cfRule type="expression" priority="59" dxfId="115">
      <formula>$C$9&gt;0</formula>
    </cfRule>
  </conditionalFormatting>
  <conditionalFormatting sqref="L116:L129">
    <cfRule type="expression" priority="44" dxfId="116">
      <formula>$C$9&lt;0</formula>
    </cfRule>
    <cfRule type="expression" priority="45" dxfId="115">
      <formula>$C$9&gt;0</formula>
    </cfRule>
  </conditionalFormatting>
  <conditionalFormatting sqref="L133:L146">
    <cfRule type="expression" priority="31" dxfId="115">
      <formula>$C$9&gt;0</formula>
    </cfRule>
    <cfRule type="expression" priority="30" dxfId="116">
      <formula>$C$9&lt;0</formula>
    </cfRule>
  </conditionalFormatting>
  <conditionalFormatting sqref="L150:L163">
    <cfRule type="expression" priority="17" dxfId="115">
      <formula>$C$9&gt;0</formula>
    </cfRule>
    <cfRule type="expression" priority="16" dxfId="116">
      <formula>$C$9&lt;0</formula>
    </cfRule>
  </conditionalFormatting>
  <conditionalFormatting sqref="L167:L180">
    <cfRule type="expression" priority="3" dxfId="115">
      <formula>$C$9&gt;0</formula>
    </cfRule>
    <cfRule type="expression" priority="2" dxfId="116">
      <formula>$C$9&lt;0</formula>
    </cfRule>
  </conditionalFormatting>
  <conditionalFormatting sqref="L183:L197">
    <cfRule type="expression" priority="644" dxfId="116">
      <formula>$C$9&lt;0</formula>
    </cfRule>
    <cfRule type="expression" priority="645" dxfId="115">
      <formula>$C$9&gt;0</formula>
    </cfRule>
  </conditionalFormatting>
  <conditionalFormatting sqref="N9 N12">
    <cfRule type="expression" priority="688" dxfId="4">
      <formula>$B$9="PLN"</formula>
    </cfRule>
    <cfRule type="expression" priority="689" dxfId="0">
      <formula>$B$9="CZK"</formula>
    </cfRule>
    <cfRule type="expression" priority="690" dxfId="3">
      <formula>$B$9="USD"</formula>
    </cfRule>
    <cfRule type="expression" priority="691" dxfId="2">
      <formula>$B$9="EURO"</formula>
    </cfRule>
  </conditionalFormatting>
  <conditionalFormatting sqref="N14:N27">
    <cfRule type="expression" priority="630" dxfId="3">
      <formula>$B$9="USD"</formula>
    </cfRule>
    <cfRule type="expression" priority="629" dxfId="2">
      <formula>$B$9="EURO"</formula>
    </cfRule>
    <cfRule type="cellIs" priority="628" operator="greaterThan" dxfId="1">
      <formula>0</formula>
    </cfRule>
    <cfRule type="expression" priority="632" dxfId="0">
      <formula>$B$9="CZK"</formula>
    </cfRule>
    <cfRule type="expression" priority="631" dxfId="4">
      <formula>$B$9="PLN"</formula>
    </cfRule>
  </conditionalFormatting>
  <conditionalFormatting sqref="N29">
    <cfRule type="expression" priority="609" dxfId="4">
      <formula>$B$9="PLN"</formula>
    </cfRule>
    <cfRule type="expression" priority="612" dxfId="2">
      <formula>$B$9="EURO"</formula>
    </cfRule>
    <cfRule type="expression" priority="611" dxfId="3">
      <formula>$B$9="USD"</formula>
    </cfRule>
    <cfRule type="expression" priority="610" dxfId="0">
      <formula>$B$9="CZK"</formula>
    </cfRule>
  </conditionalFormatting>
  <conditionalFormatting sqref="N31:N44">
    <cfRule type="cellIs" priority="389" operator="greaterThan" dxfId="1">
      <formula>0</formula>
    </cfRule>
    <cfRule type="expression" priority="390" dxfId="2">
      <formula>$B$9="EURO"</formula>
    </cfRule>
    <cfRule type="expression" priority="391" dxfId="3">
      <formula>$B$9="USD"</formula>
    </cfRule>
    <cfRule type="expression" priority="392" dxfId="4">
      <formula>$B$9="PLN"</formula>
    </cfRule>
    <cfRule type="expression" priority="393" dxfId="0">
      <formula>$B$9="CZK"</formula>
    </cfRule>
  </conditionalFormatting>
  <conditionalFormatting sqref="N46">
    <cfRule type="expression" priority="577" dxfId="4">
      <formula>$B$9="PLN"</formula>
    </cfRule>
    <cfRule type="expression" priority="579" dxfId="3">
      <formula>$B$9="USD"</formula>
    </cfRule>
    <cfRule type="expression" priority="580" dxfId="2">
      <formula>$B$9="EURO"</formula>
    </cfRule>
    <cfRule type="expression" priority="578" dxfId="0">
      <formula>$B$9="CZK"</formula>
    </cfRule>
  </conditionalFormatting>
  <conditionalFormatting sqref="N48:N61">
    <cfRule type="expression" priority="105" dxfId="2">
      <formula>$B$9="EURO"</formula>
    </cfRule>
    <cfRule type="cellIs" priority="104" operator="greaterThan" dxfId="1">
      <formula>0</formula>
    </cfRule>
    <cfRule type="expression" priority="108" dxfId="0">
      <formula>$B$9="CZK"</formula>
    </cfRule>
    <cfRule type="expression" priority="107" dxfId="4">
      <formula>$B$9="PLN"</formula>
    </cfRule>
    <cfRule type="expression" priority="106" dxfId="3">
      <formula>$B$9="USD"</formula>
    </cfRule>
  </conditionalFormatting>
  <conditionalFormatting sqref="N63">
    <cfRule type="expression" priority="550" dxfId="4">
      <formula>$B$9="PLN"</formula>
    </cfRule>
    <cfRule type="expression" priority="551" dxfId="0">
      <formula>$B$9="CZK"</formula>
    </cfRule>
    <cfRule type="expression" priority="552" dxfId="3">
      <formula>$B$9="USD"</formula>
    </cfRule>
    <cfRule type="expression" priority="553" dxfId="2">
      <formula>$B$9="EURO"</formula>
    </cfRule>
  </conditionalFormatting>
  <conditionalFormatting sqref="N65:N78">
    <cfRule type="expression" priority="93" dxfId="4">
      <formula>$B$9="PLN"</formula>
    </cfRule>
    <cfRule type="expression" priority="94" dxfId="0">
      <formula>$B$9="CZK"</formula>
    </cfRule>
    <cfRule type="expression" priority="92" dxfId="3">
      <formula>$B$9="USD"</formula>
    </cfRule>
    <cfRule type="expression" priority="91" dxfId="2">
      <formula>$B$9="EURO"</formula>
    </cfRule>
    <cfRule type="cellIs" priority="90" operator="greaterThan" dxfId="1">
      <formula>0</formula>
    </cfRule>
  </conditionalFormatting>
  <conditionalFormatting sqref="N80">
    <cfRule type="expression" priority="523" dxfId="0">
      <formula>$B$9="CZK"</formula>
    </cfRule>
    <cfRule type="expression" priority="524" dxfId="3">
      <formula>$B$9="USD"</formula>
    </cfRule>
    <cfRule type="expression" priority="522" dxfId="4">
      <formula>$B$9="PLN"</formula>
    </cfRule>
    <cfRule type="expression" priority="525" dxfId="2">
      <formula>$B$9="EURO"</formula>
    </cfRule>
  </conditionalFormatting>
  <conditionalFormatting sqref="N82:N95">
    <cfRule type="expression" priority="79" dxfId="4">
      <formula>$B$9="PLN"</formula>
    </cfRule>
    <cfRule type="expression" priority="78" dxfId="3">
      <formula>$B$9="USD"</formula>
    </cfRule>
    <cfRule type="expression" priority="80" dxfId="0">
      <formula>$B$9="CZK"</formula>
    </cfRule>
    <cfRule type="cellIs" priority="76" operator="greaterThan" dxfId="1">
      <formula>0</formula>
    </cfRule>
    <cfRule type="expression" priority="77" dxfId="2">
      <formula>$B$9="EURO"</formula>
    </cfRule>
  </conditionalFormatting>
  <conditionalFormatting sqref="N97">
    <cfRule type="expression" priority="494" dxfId="0">
      <formula>$B$9="CZK"</formula>
    </cfRule>
    <cfRule type="expression" priority="493" dxfId="4">
      <formula>$B$9="PLN"</formula>
    </cfRule>
    <cfRule type="expression" priority="496" dxfId="2">
      <formula>$B$9="EURO"</formula>
    </cfRule>
    <cfRule type="expression" priority="495" dxfId="3">
      <formula>$B$9="USD"</formula>
    </cfRule>
  </conditionalFormatting>
  <conditionalFormatting sqref="N99:N112">
    <cfRule type="cellIs" priority="62" operator="greaterThan" dxfId="1">
      <formula>0</formula>
    </cfRule>
    <cfRule type="expression" priority="63" dxfId="2">
      <formula>$B$9="EURO"</formula>
    </cfRule>
    <cfRule type="expression" priority="64" dxfId="3">
      <formula>$B$9="USD"</formula>
    </cfRule>
    <cfRule type="expression" priority="65" dxfId="4">
      <formula>$B$9="PLN"</formula>
    </cfRule>
    <cfRule type="expression" priority="66" dxfId="0">
      <formula>$B$9="CZK"</formula>
    </cfRule>
  </conditionalFormatting>
  <conditionalFormatting sqref="N114">
    <cfRule type="expression" priority="317" dxfId="0">
      <formula>$B$9="CZK"</formula>
    </cfRule>
    <cfRule type="expression" priority="318" dxfId="3">
      <formula>$B$9="USD"</formula>
    </cfRule>
    <cfRule type="expression" priority="319" dxfId="2">
      <formula>$B$9="EURO"</formula>
    </cfRule>
    <cfRule type="expression" priority="316" dxfId="4">
      <formula>$B$9="PLN"</formula>
    </cfRule>
  </conditionalFormatting>
  <conditionalFormatting sqref="N116:N129">
    <cfRule type="cellIs" priority="48" operator="greaterThan" dxfId="1">
      <formula>0</formula>
    </cfRule>
    <cfRule type="expression" priority="52" dxfId="0">
      <formula>$B$9="CZK"</formula>
    </cfRule>
    <cfRule type="expression" priority="51" dxfId="4">
      <formula>$B$9="PLN"</formula>
    </cfRule>
    <cfRule type="expression" priority="50" dxfId="3">
      <formula>$B$9="USD"</formula>
    </cfRule>
    <cfRule type="expression" priority="49" dxfId="2">
      <formula>$B$9="EURO"</formula>
    </cfRule>
  </conditionalFormatting>
  <conditionalFormatting sqref="N131">
    <cfRule type="expression" priority="261" dxfId="4">
      <formula>$B$9="PLN"</formula>
    </cfRule>
    <cfRule type="expression" priority="262" dxfId="0">
      <formula>$B$9="CZK"</formula>
    </cfRule>
    <cfRule type="expression" priority="263" dxfId="3">
      <formula>$B$9="USD"</formula>
    </cfRule>
    <cfRule type="expression" priority="264" dxfId="2">
      <formula>$B$9="EURO"</formula>
    </cfRule>
  </conditionalFormatting>
  <conditionalFormatting sqref="N133:N146">
    <cfRule type="expression" priority="37" dxfId="4">
      <formula>$B$9="PLN"</formula>
    </cfRule>
    <cfRule type="expression" priority="36" dxfId="3">
      <formula>$B$9="USD"</formula>
    </cfRule>
    <cfRule type="expression" priority="38" dxfId="0">
      <formula>$B$9="CZK"</formula>
    </cfRule>
    <cfRule type="expression" priority="35" dxfId="2">
      <formula>$B$9="EURO"</formula>
    </cfRule>
    <cfRule type="cellIs" priority="34" operator="greaterThan" dxfId="1">
      <formula>0</formula>
    </cfRule>
  </conditionalFormatting>
  <conditionalFormatting sqref="N148">
    <cfRule type="expression" priority="213" dxfId="2">
      <formula>$B$9="EURO"</formula>
    </cfRule>
    <cfRule type="expression" priority="211" dxfId="0">
      <formula>$B$9="CZK"</formula>
    </cfRule>
    <cfRule type="expression" priority="210" dxfId="4">
      <formula>$B$9="PLN"</formula>
    </cfRule>
    <cfRule type="expression" priority="212" dxfId="3">
      <formula>$B$9="USD"</formula>
    </cfRule>
  </conditionalFormatting>
  <conditionalFormatting sqref="N150:N163">
    <cfRule type="expression" priority="22" dxfId="3">
      <formula>$B$9="USD"</formula>
    </cfRule>
    <cfRule type="cellIs" priority="20" operator="greaterThan" dxfId="1">
      <formula>0</formula>
    </cfRule>
    <cfRule type="expression" priority="21" dxfId="2">
      <formula>$B$9="EURO"</formula>
    </cfRule>
    <cfRule type="expression" priority="24" dxfId="0">
      <formula>$B$9="CZK"</formula>
    </cfRule>
    <cfRule type="expression" priority="23" dxfId="4">
      <formula>$B$9="PLN"</formula>
    </cfRule>
  </conditionalFormatting>
  <conditionalFormatting sqref="N165">
    <cfRule type="expression" priority="161" dxfId="3">
      <formula>$B$9="USD"</formula>
    </cfRule>
    <cfRule type="expression" priority="160" dxfId="0">
      <formula>$B$9="CZK"</formula>
    </cfRule>
    <cfRule type="expression" priority="162" dxfId="2">
      <formula>$B$9="EURO"</formula>
    </cfRule>
    <cfRule type="expression" priority="159" dxfId="4">
      <formula>$B$9="PLN"</formula>
    </cfRule>
  </conditionalFormatting>
  <conditionalFormatting sqref="N167:N180">
    <cfRule type="expression" priority="10" dxfId="0">
      <formula>$B$9="CZK"</formula>
    </cfRule>
    <cfRule type="expression" priority="7" dxfId="2">
      <formula>$B$9="EURO"</formula>
    </cfRule>
    <cfRule type="cellIs" priority="6" operator="greaterThan" dxfId="1">
      <formula>0</formula>
    </cfRule>
    <cfRule type="expression" priority="8" dxfId="3">
      <formula>$B$9="USD"</formula>
    </cfRule>
    <cfRule type="expression" priority="9" dxfId="4">
      <formula>$B$9="PLN"</formula>
    </cfRule>
  </conditionalFormatting>
  <conditionalFormatting sqref="N183:N197">
    <cfRule type="expression" priority="640" dxfId="0">
      <formula>$B$9="CZK"</formula>
    </cfRule>
    <cfRule type="expression" priority="639" dxfId="4">
      <formula>$B$9="PLN"</formula>
    </cfRule>
    <cfRule type="expression" priority="638" dxfId="3">
      <formula>$B$9="USD"</formula>
    </cfRule>
    <cfRule type="expression" priority="637" dxfId="2">
      <formula>$B$9="EURO"</formula>
    </cfRule>
    <cfRule type="cellIs" priority="636" operator="greaterThan" dxfId="1">
      <formula>0</formula>
    </cfRule>
  </conditionalFormatting>
  <conditionalFormatting sqref="N182:O182">
    <cfRule type="expression" priority="647" dxfId="0">
      <formula>$B$9="CZK"</formula>
    </cfRule>
    <cfRule type="expression" priority="646" dxfId="4">
      <formula>$B$9="PLN"</formula>
    </cfRule>
    <cfRule type="expression" priority="649" dxfId="2">
      <formula>$B$9="EURO"</formula>
    </cfRule>
    <cfRule type="expression" priority="648" dxfId="3">
      <formula>$B$9="USD"</formula>
    </cfRule>
  </conditionalFormatting>
  <conditionalFormatting sqref="O14:O27">
    <cfRule type="cellIs" priority="633" operator="greaterThan" dxfId="5">
      <formula>0</formula>
    </cfRule>
  </conditionalFormatting>
  <conditionalFormatting sqref="O31:O44">
    <cfRule type="cellIs" priority="394" operator="greaterThan" dxfId="5">
      <formula>0</formula>
    </cfRule>
  </conditionalFormatting>
  <conditionalFormatting sqref="O48:O61">
    <cfRule type="cellIs" priority="109" operator="greaterThan" dxfId="5">
      <formula>0</formula>
    </cfRule>
  </conditionalFormatting>
  <conditionalFormatting sqref="O65:O78">
    <cfRule type="cellIs" priority="95" operator="greaterThan" dxfId="5">
      <formula>0</formula>
    </cfRule>
  </conditionalFormatting>
  <conditionalFormatting sqref="O82:O95">
    <cfRule type="cellIs" priority="81" operator="greaterThan" dxfId="5">
      <formula>0</formula>
    </cfRule>
  </conditionalFormatting>
  <conditionalFormatting sqref="O99:O112">
    <cfRule type="cellIs" priority="67" operator="greaterThan" dxfId="5">
      <formula>0</formula>
    </cfRule>
  </conditionalFormatting>
  <conditionalFormatting sqref="O116:O129">
    <cfRule type="cellIs" priority="53" operator="greaterThan" dxfId="5">
      <formula>0</formula>
    </cfRule>
  </conditionalFormatting>
  <conditionalFormatting sqref="O133:O146">
    <cfRule type="cellIs" priority="39" operator="greaterThan" dxfId="5">
      <formula>0</formula>
    </cfRule>
  </conditionalFormatting>
  <conditionalFormatting sqref="O150:O163">
    <cfRule type="cellIs" priority="25" operator="greaterThan" dxfId="5">
      <formula>0</formula>
    </cfRule>
  </conditionalFormatting>
  <conditionalFormatting sqref="O167:O180">
    <cfRule type="cellIs" priority="11" operator="greaterThan" dxfId="5">
      <formula>0</formula>
    </cfRule>
  </conditionalFormatting>
  <conditionalFormatting sqref="O183:O197">
    <cfRule type="cellIs" priority="659" operator="greaterThan" dxfId="5">
      <formula>0</formula>
    </cfRule>
  </conditionalFormatting>
  <conditionalFormatting sqref="Q16">
    <cfRule type="expression" priority="414" dxfId="4">
      <formula>$B$9="PLN"</formula>
    </cfRule>
    <cfRule type="expression" priority="413" dxfId="3">
      <formula>$B$9="USD"</formula>
    </cfRule>
    <cfRule type="expression" priority="412" dxfId="2">
      <formula>$B$9="EURO"</formula>
    </cfRule>
    <cfRule type="cellIs" priority="411" operator="greaterThan" dxfId="1">
      <formula>0</formula>
    </cfRule>
    <cfRule type="expression" priority="415" dxfId="0">
      <formula>$B$9="CZK"</formula>
    </cfRule>
  </conditionalFormatting>
  <dataValidations count="16">
    <dataValidation sqref="D26 D43 D60 D77 D94 D111 D128 D145 D162 D179" showDropDown="0" showInputMessage="1" showErrorMessage="1" allowBlank="1" type="list">
      <formula1>"0,1,2,3,4,5,6,7,8,9,10"</formula1>
    </dataValidation>
    <dataValidation sqref="G181" showDropDown="0" showInputMessage="1" showErrorMessage="1" allowBlank="1" type="list">
      <formula1>#REF!</formula1>
    </dataValidation>
    <dataValidation sqref="C14 C31 C48 C65 C82 C99 C116 C133 C150 C167" showDropDown="0" showInputMessage="1" showErrorMessage="1" allowBlank="1" type="list">
      <formula1>"WALL, ISLAND"</formula1>
    </dataValidation>
    <dataValidation sqref="E14 E31 E48 E65 E82 E99 E116 E133 E150 E167" showDropDown="0" showInputMessage="1" showErrorMessage="1" allowBlank="1" operator="greaterThan"/>
    <dataValidation sqref="C20:C21 C37:C38 C54:C55 C71:C72 C88:C89 C105:C106 C122:C123 C139:C140 C156:C157 C173:C174" showDropDown="0" showInputMessage="1" showErrorMessage="1" allowBlank="1" type="list">
      <formula1>"0,1,2,3,4,5,6,7,8,9,10,11,12,13,14,15,16,17,18,19,20"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7 C44 C61 C78 C95 C112 C129 C146 C163 C180" showDropDown="0" showInputMessage="1" showErrorMessage="1" allowBlank="1" type="list">
      <formula1>"0,0.5,1,1.5,2,2.5,3,3.5,4,4.5,5"</formula1>
    </dataValidation>
    <dataValidation sqref="C15 C32 C49 C66 C83 C100 C117 C134 C151 C168 C185 C202 C219 C236 C253 C270 C287 C304" showDropDown="0" showInputMessage="0" showErrorMessage="0" allowBlank="1" type="list">
      <formula1>Lists!$A$1:$A$5</formula1>
    </dataValidation>
    <dataValidation sqref="C16 C33 C50 C67 C84 C101 C118 C135 C152 C169 C186 C203 C220 C237 C254 C271 C288 C305" showDropDown="0" showInputMessage="0" showErrorMessage="0" allowBlank="1" type="list">
      <formula1>Lists!$B$1:$B$17</formula1>
    </dataValidation>
    <dataValidation sqref="C17 C34 C51 C68 C85 C102 C119 C136 C153 C170 C187 C204 C221 C238 C255 C272 C289 C306" showDropDown="0" showInputMessage="0" showErrorMessage="0" allowBlank="1" type="list">
      <formula1>Lists!$B$1:$B$18</formula1>
    </dataValidation>
    <dataValidation sqref="C19 C36 C53 C70 C87 C104 C121 C138 C155 C172 C189 C206 C223 C240 C257 C274 C291 C308" showDropDown="0" showInputMessage="0" showErrorMessage="0" allowBlank="1" type="list">
      <formula1>Lists!$C$1:$C$2</formula1>
    </dataValidation>
    <dataValidation sqref="C25 C42 C59 C76 C93 C110 C127 C144 C161 C178 C195 C212 C229 C246 C263 C280 C297" showDropDown="0" showInputMessage="0" showErrorMessage="0" allowBlank="1" type="list">
      <formula1>Lists!$D$1:$D$4</formula1>
    </dataValidation>
    <dataValidation sqref="C26 C43 C60 C77 C94 C111 C128 C145 C162 C179 C196 C213 C230 C247 C264 C281 C298" showDropDown="0" showInputMessage="0" showErrorMessage="0" allowBlank="1" type="list">
      <formula1>Lists!$E$1:$E$10</formula1>
    </dataValidation>
    <dataValidation sqref="D183" showDropDown="0" showInputMessage="0" showErrorMessage="0" allowBlank="1" type="list">
      <formula1>Lists!$F$1:$F$193</formula1>
    </dataValidation>
    <dataValidation sqref="D184" showDropDown="0" showInputMessage="0" showErrorMessage="0" allowBlank="1" type="list">
      <formula1>Lists!$G$1:$G$12</formula1>
    </dataValidation>
    <dataValidation sqref="D185" showDropDown="0" showInputMessage="0" showErrorMessage="0" allowBlank="1" type="list">
      <formula1>Lists!$G$1:$G$12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1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 codeName="Sheet34">
    <tabColor theme="8" tint="0.7999816888943144"/>
    <outlinePr summaryBelow="1" summaryRight="1"/>
    <pageSetUpPr fitToPage="1"/>
  </sheetPr>
  <dimension ref="A1:Z310"/>
  <sheetViews>
    <sheetView showGridLines="0" topLeftCell="G2" zoomScale="106" zoomScaleNormal="80" zoomScaleSheetLayoutView="50" workbookViewId="0">
      <selection activeCell="P182" sqref="P182"/>
    </sheetView>
  </sheetViews>
  <sheetFormatPr baseColWidth="10" defaultColWidth="8.83203125" defaultRowHeight="15" customHeight="1" outlineLevelRow="1"/>
  <cols>
    <col width="2" customWidth="1" style="666" min="1" max="1"/>
    <col width="29.6640625" customWidth="1" style="1095" min="2" max="2"/>
    <col width="24.6640625" customWidth="1" style="1095" min="3" max="3"/>
    <col width="27.1640625" customWidth="1" style="1095" min="4" max="4"/>
    <col width="26.6640625" customWidth="1" style="1095" min="5" max="5"/>
    <col width="18.83203125" customWidth="1" style="1095" min="6" max="6"/>
    <col width="22.6640625" customWidth="1" style="1095" min="7" max="7"/>
    <col width="10" bestFit="1" customWidth="1" style="1096" min="8" max="8"/>
    <col width="11.6640625" bestFit="1" customWidth="1" style="1096" min="9" max="9"/>
    <col width="12.33203125" customWidth="1" style="1097" min="10" max="10"/>
    <col width="15" customWidth="1" style="1098" min="11" max="11"/>
    <col width="7.6640625" bestFit="1" customWidth="1" style="1098" min="12" max="12"/>
    <col hidden="1" width="12.33203125" customWidth="1" style="1099" min="13" max="13"/>
    <col width="12.8320312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8"/>
    <col width="8.83203125" customWidth="1" style="1095" min="99" max="16384"/>
  </cols>
  <sheetData>
    <row r="1" ht="15" customHeight="1" s="1085">
      <c r="B1" s="1116" t="inlineStr">
        <is>
          <t>F24 - 19  CANOPY COST SHEET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 t="n"/>
      <c r="F3" s="690" t="inlineStr">
        <is>
          <t>Project Name</t>
        </is>
      </c>
      <c r="G3" s="1071" t="n"/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 t="n"/>
      <c r="F5" s="690" t="inlineStr">
        <is>
          <t>Location</t>
        </is>
      </c>
      <c r="G5" s="1071" t="n"/>
      <c r="M5" s="684" t="n"/>
      <c r="N5" s="685" t="n"/>
      <c r="P5" s="1118" t="inlineStr">
        <is>
          <t>RECO CANOPIES MUST HAVE COALESCERS</t>
        </is>
      </c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 t="n"/>
      <c r="F7" s="690" t="inlineStr">
        <is>
          <t>Date</t>
        </is>
      </c>
      <c r="G7" s="1075" t="n"/>
      <c r="N7" s="699" t="inlineStr">
        <is>
          <t>Revision No</t>
        </is>
      </c>
      <c r="O7" s="809" t="inlineStr">
        <is>
          <t>B</t>
        </is>
      </c>
      <c r="P7" s="1091" t="inlineStr">
        <is>
          <t>GP SHOULD BE MINIMUM 44%</t>
        </is>
      </c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47" t="n"/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8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 xml:space="preserve">ITEM 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68">
        <f>N12-N19</f>
        <v/>
      </c>
      <c r="Q12" s="1095" t="n"/>
      <c r="R12" s="1095" t="n"/>
      <c r="S12" s="713" t="n"/>
      <c r="T12" s="1095" t="n"/>
      <c r="X12" s="1095" t="n"/>
      <c r="Y12" s="1095" t="n"/>
      <c r="Z12" s="1095" t="n"/>
    </row>
    <row r="13" hidden="1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hidden="1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CANOPY TYPE</t>
        </is>
      </c>
      <c r="E14" s="734" t="n"/>
      <c r="F14" s="734" t="n"/>
      <c r="G14" s="734" t="n"/>
      <c r="H14" s="735" t="n"/>
      <c r="I14" s="734" t="n"/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hidden="1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LIGHT SELECTION</t>
        </is>
      </c>
      <c r="D15" s="741" t="n"/>
      <c r="E15" s="848" t="n"/>
      <c r="F15" s="743" t="n"/>
      <c r="G15" s="744" t="n"/>
      <c r="H15" s="668" t="n"/>
      <c r="I15" s="668" t="n"/>
      <c r="J15" s="736">
        <f>IF(ISNA(C12),0,IF(D15=0,0,IF(C15="FLO",VLOOKUP(E15,'Base Costs'!$M$4:$N$14,2,FALSE),IF(C15="LED STRIP",VLOOKUP(E15,'Base Costs'!$M$4:$N$14,2,FALSE),(VLOOKUP(C15,'Base Costs'!$M$4:$N$14,2,FALSE))))))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hidden="1" outlineLevel="1" ht="15" customHeight="1" s="1085">
      <c r="A16" s="666" t="n">
        <v>234</v>
      </c>
      <c r="B16" s="269" t="inlineStr">
        <is>
          <t>SPECIAL WORKS</t>
        </is>
      </c>
      <c r="C16" s="33" t="inlineStr">
        <is>
          <t>SELECT WORKS</t>
        </is>
      </c>
      <c r="D16" s="735" t="n"/>
      <c r="E16" s="753">
        <f>IF(C16="","",VLOOKUP(C16,CCBASE!$A$53:$D$73,4,FALSE))</f>
        <v/>
      </c>
      <c r="F16" s="754" t="n"/>
      <c r="G16" s="749" t="n"/>
      <c r="H16" s="750" t="n"/>
      <c r="I16" s="755" t="n"/>
      <c r="J16" s="736">
        <f>IF(C16="",0,VLOOKUP(C16,CCBASE!$A$53:$C$73,2,FALSE))</f>
        <v/>
      </c>
      <c r="K16" s="737">
        <f>J16*D16</f>
        <v/>
      </c>
      <c r="L16" s="738" t="n">
        <v>0.44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hidden="1" outlineLevel="1" ht="15" customHeight="1" s="1085">
      <c r="B17" s="269" t="inlineStr">
        <is>
          <t>SPECIAL WORKS</t>
        </is>
      </c>
      <c r="C17" s="752" t="inlineStr">
        <is>
          <t>SELECT WORKS</t>
        </is>
      </c>
      <c r="D17" s="735" t="n"/>
      <c r="E17" s="753">
        <f>IF(C17="","",VLOOKUP(C17,CCBASE!$A$53:$D$73,4,FALSE))</f>
        <v/>
      </c>
      <c r="F17" s="754" t="n"/>
      <c r="G17" s="749" t="n"/>
      <c r="H17" s="750" t="n"/>
      <c r="I17" s="755" t="n"/>
      <c r="J17" s="736">
        <f>IF(C17="",0,VLOOKUP(C17,CCBASE!$A$53:$C$73,2,FALSE))</f>
        <v/>
      </c>
      <c r="K17" s="737">
        <f>J17*D17</f>
        <v/>
      </c>
      <c r="L17" s="738" t="n">
        <v>0.44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hidden="1" outlineLevel="1" ht="15" customHeight="1" s="1085">
      <c r="B18" s="978" t="inlineStr">
        <is>
          <t>SPECIAL WORKS</t>
        </is>
      </c>
      <c r="C18" s="979" t="inlineStr">
        <is>
          <t>BIM/ REVIT per CANOPY</t>
        </is>
      </c>
      <c r="D18" s="980" t="n">
        <v>1</v>
      </c>
      <c r="E18" s="981">
        <f>IF(C18="","",VLOOKUP(C18,CCBASE!$A$53:$D$73,4,FALSE))</f>
        <v/>
      </c>
      <c r="F18" s="982" t="n"/>
      <c r="G18" s="977" t="n"/>
      <c r="H18" s="983" t="n"/>
      <c r="I18" s="984" t="n"/>
      <c r="J18" s="985">
        <f>IF(C18="",0,VLOOKUP(C18,CCBASE!$A$53:$C$73,2,FALSE))</f>
        <v/>
      </c>
      <c r="K18" s="986">
        <f>J18*D18</f>
        <v/>
      </c>
      <c r="L18" s="987" t="n">
        <v>0.44</v>
      </c>
      <c r="M18" s="988">
        <f>K18/(1-L18)*(1+$C$9)</f>
        <v/>
      </c>
      <c r="N18" s="986">
        <f>M18*VLOOKUP($B$9,'Base Costs'!$A$32:$B$37,2,FALSE)</f>
        <v/>
      </c>
      <c r="O18" s="989">
        <f>M18-K18</f>
        <v/>
      </c>
      <c r="P18" s="990" t="inlineStr">
        <is>
          <t>always include</t>
        </is>
      </c>
      <c r="S18" s="694" t="n"/>
      <c r="Y18" s="1095" t="n"/>
    </row>
    <row r="19" hidden="1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SELECT CLADDING</t>
        </is>
      </c>
      <c r="D19" s="756">
        <f>IF(NOT(ISBLANK(C19)), ROUNDUP($F14/1000,0), 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S19" s="694" t="n"/>
      <c r="Y19" s="1095" t="n"/>
    </row>
    <row r="20" hidden="1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hidden="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hidden="1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S22" s="694" t="n"/>
      <c r="Y22" s="1095" t="n"/>
    </row>
    <row r="23" hidden="1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>
        <f>IF(ISNA(D23),0,(VLOOKUP(D23,'Base Costs'!$Q$4:$R$14,2,FALSE)))</f>
        <v/>
      </c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hidden="1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hidden="1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hidden="1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hidden="1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collapsed="1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 xml:space="preserve">ITEM 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68">
        <f>N29-N36</f>
        <v/>
      </c>
      <c r="Q29" s="1095" t="n"/>
      <c r="R29" s="1095" t="n"/>
      <c r="S29" s="713" t="n"/>
      <c r="T29" s="1095" t="n"/>
      <c r="X29" s="1095" t="n"/>
      <c r="Y29" s="1095" t="n"/>
      <c r="Z29" s="1095" t="n"/>
    </row>
    <row r="30" hidden="1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hidden="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hidden="1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hidden="1" outlineLevel="1" ht="15" customHeight="1" s="1085">
      <c r="A33" s="666" t="n">
        <v>234</v>
      </c>
      <c r="B33" s="731" t="inlineStr">
        <is>
          <t>SPECIAL WORKS</t>
        </is>
      </c>
      <c r="C33" s="752" t="inlineStr">
        <is>
          <t>SELECT WORKS</t>
        </is>
      </c>
      <c r="D33" s="735" t="n"/>
      <c r="E33" s="753">
        <f>IF(C33="","",VLOOKUP(C33,CCBASE!$A$53:$D$73,4,FALSE))</f>
        <v/>
      </c>
      <c r="F33" s="754" t="n"/>
      <c r="G33" s="749" t="n"/>
      <c r="H33" s="750" t="n"/>
      <c r="I33" s="755" t="n"/>
      <c r="J33" s="736">
        <f>IF(C33="",0,VLOOKUP(C33,CCBASE!$A$53:$C$73,2,FALSE))</f>
        <v/>
      </c>
      <c r="K33" s="737">
        <f>J33*D33</f>
        <v/>
      </c>
      <c r="L33" s="738" t="n">
        <v>0.44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hidden="1" outlineLevel="1" ht="15" customHeight="1" s="1085">
      <c r="B34" s="731" t="inlineStr">
        <is>
          <t>SPECIAL WORKS</t>
        </is>
      </c>
      <c r="C34" s="752" t="inlineStr">
        <is>
          <t>SELECT WORKS</t>
        </is>
      </c>
      <c r="D34" s="735" t="n"/>
      <c r="E34" s="753">
        <f>IF(C34="","",VLOOKUP(C34,CCBASE!$A$53:$D$73,4,FALSE))</f>
        <v/>
      </c>
      <c r="F34" s="754" t="n"/>
      <c r="G34" s="749" t="n"/>
      <c r="H34" s="750" t="n"/>
      <c r="I34" s="755" t="n"/>
      <c r="J34" s="736">
        <f>IF(C34="",0,VLOOKUP(C34,CCBASE!$A$53:$C$73,2,FALSE))</f>
        <v/>
      </c>
      <c r="K34" s="737">
        <f>J34*D34</f>
        <v/>
      </c>
      <c r="L34" s="738" t="n">
        <v>0.44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hidden="1" outlineLevel="1" ht="15" customHeight="1" s="1085">
      <c r="B35" s="978" t="inlineStr">
        <is>
          <t>SPECIAL WORKS</t>
        </is>
      </c>
      <c r="C35" s="979" t="inlineStr">
        <is>
          <t>BIM/ REVIT per CANOPY</t>
        </is>
      </c>
      <c r="D35" s="980" t="n"/>
      <c r="E35" s="1111" t="n"/>
      <c r="G35" s="977" t="n"/>
      <c r="H35" s="983" t="n"/>
      <c r="I35" s="984" t="n"/>
      <c r="J35" s="985">
        <f>IF(C35="",0,VLOOKUP(C35,CCBASE!$A$53:$C$73,2,FALSE))</f>
        <v/>
      </c>
      <c r="K35" s="986">
        <f>J35*D35</f>
        <v/>
      </c>
      <c r="L35" s="987" t="n">
        <v>0.44</v>
      </c>
      <c r="M35" s="988">
        <f>K35/(1-L35)*(1+$C$9)</f>
        <v/>
      </c>
      <c r="N35" s="986">
        <f>M35*VLOOKUP($B$9,'Base Costs'!$A$32:$B$37,2,FALSE)</f>
        <v/>
      </c>
      <c r="O35" s="989">
        <f>M35-K35</f>
        <v/>
      </c>
      <c r="P35" s="990" t="inlineStr">
        <is>
          <t>always include</t>
        </is>
      </c>
      <c r="S35" s="694" t="n"/>
      <c r="Y35" s="1095" t="n"/>
    </row>
    <row r="36" hidden="1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SELECT CLADDING</t>
        </is>
      </c>
      <c r="D36" s="756">
        <f>IF(NOT(ISBLANK(C36)), ROUNDUP($F31/1000,0), 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Y36" s="1095" t="n"/>
    </row>
    <row r="37" hidden="1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hidden="1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hidden="1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S39" s="694" t="n"/>
      <c r="Y39" s="1095" t="n"/>
    </row>
    <row r="40" hidden="1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>
        <f>IF(ISNA(D40),0,(VLOOKUP(D40,'Base Costs'!$Q$4:$R$13,2,FALSE)))</f>
        <v/>
      </c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hidden="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hidden="1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hidden="1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hidden="1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collapsed="1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68">
        <f>N46-N53</f>
        <v/>
      </c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731" t="inlineStr">
        <is>
          <t>SPECIAL WORKS</t>
        </is>
      </c>
      <c r="C50" s="752" t="inlineStr">
        <is>
          <t>SELECT WORKS</t>
        </is>
      </c>
      <c r="D50" s="735" t="n"/>
      <c r="E50" s="753">
        <f>IF(C50="","",VLOOKUP(C50,CCBASE!$A$53:$D$73,4,FALSE))</f>
        <v/>
      </c>
      <c r="F50" s="754" t="n"/>
      <c r="G50" s="749" t="n"/>
      <c r="H50" s="750" t="n"/>
      <c r="I50" s="755" t="n"/>
      <c r="J50" s="736">
        <f>IF(C50="",0,VLOOKUP(C50,CCBASE!$A$53:$C$73,2,FALSE))</f>
        <v/>
      </c>
      <c r="K50" s="737">
        <f>J50*D50</f>
        <v/>
      </c>
      <c r="L50" s="738" t="n">
        <v>0.44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731" t="inlineStr">
        <is>
          <t>SPECIAL WORKS</t>
        </is>
      </c>
      <c r="C51" s="752" t="inlineStr">
        <is>
          <t>SELECT WORKS</t>
        </is>
      </c>
      <c r="D51" s="735" t="n"/>
      <c r="E51" s="753">
        <f>IF(C51="","",VLOOKUP(C51,CCBASE!$A$53:$D$73,4,FALSE))</f>
        <v/>
      </c>
      <c r="F51" s="754" t="n"/>
      <c r="G51" s="749" t="n"/>
      <c r="H51" s="750" t="n"/>
      <c r="I51" s="755" t="n"/>
      <c r="J51" s="736">
        <f>IF(C51="",0,VLOOKUP(C51,CCBASE!$A$53:$C$73,2,FALSE))</f>
        <v/>
      </c>
      <c r="K51" s="737">
        <f>J51*D51</f>
        <v/>
      </c>
      <c r="L51" s="738" t="n">
        <v>0.44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978" t="inlineStr">
        <is>
          <t>SPECIAL WORKS</t>
        </is>
      </c>
      <c r="C52" s="979" t="inlineStr">
        <is>
          <t>BIM/ REVIT per CANOPY</t>
        </is>
      </c>
      <c r="D52" s="980" t="n"/>
      <c r="E52" s="981">
        <f>IF(C52="","",VLOOKUP(C52,CCBASE!$A$53:$D$73,4,FALSE))</f>
        <v/>
      </c>
      <c r="F52" s="982" t="n"/>
      <c r="G52" s="977" t="n"/>
      <c r="H52" s="983" t="n"/>
      <c r="I52" s="984" t="n"/>
      <c r="J52" s="985">
        <f>IF(C52="",0,VLOOKUP(C52,CCBASE!$A$53:$C$73,2,FALSE))</f>
        <v/>
      </c>
      <c r="K52" s="986">
        <f>J52*D52</f>
        <v/>
      </c>
      <c r="L52" s="987" t="n">
        <v>0.44</v>
      </c>
      <c r="M52" s="988">
        <f>K52/(1-L52)*(1+$C$9)</f>
        <v/>
      </c>
      <c r="N52" s="986">
        <f>M52*VLOOKUP($B$9,'Base Costs'!$A$32:$B$37,2,FALSE)</f>
        <v/>
      </c>
      <c r="O52" s="989">
        <f>M52-K52</f>
        <v/>
      </c>
      <c r="P52" s="990" t="inlineStr">
        <is>
          <t>always include</t>
        </is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SELECT CLADDING</t>
        </is>
      </c>
      <c r="D53" s="756">
        <f>IF(NOT(ISBLANK(C53)), ROUNDUP($F48/1000,0), 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>
        <f>IF(ISNA(D57),0,(VLOOKUP(D57,'Base Costs'!$Q$4:$R$13,2,FALSE)))</f>
        <v/>
      </c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68">
        <f>N63-N70</f>
        <v/>
      </c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731" t="inlineStr">
        <is>
          <t>SPECIAL WORKS</t>
        </is>
      </c>
      <c r="C67" s="752" t="inlineStr">
        <is>
          <t>SELECT WORKS</t>
        </is>
      </c>
      <c r="D67" s="735" t="n"/>
      <c r="E67" s="753">
        <f>IF(C67="","",VLOOKUP(C67,CCBASE!$A$53:$D$73,4,FALSE))</f>
        <v/>
      </c>
      <c r="F67" s="754" t="n"/>
      <c r="G67" s="749" t="n"/>
      <c r="H67" s="750" t="n"/>
      <c r="I67" s="755" t="n"/>
      <c r="J67" s="736">
        <f>IF(C67="",0,VLOOKUP(C67,CCBASE!$A$53:$C$73,2,FALSE))</f>
        <v/>
      </c>
      <c r="K67" s="737">
        <f>J67*D67</f>
        <v/>
      </c>
      <c r="L67" s="738" t="n">
        <v>0.44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731" t="inlineStr">
        <is>
          <t>SPECIAL WORKS</t>
        </is>
      </c>
      <c r="C68" s="752" t="inlineStr">
        <is>
          <t>SELECT WORKS</t>
        </is>
      </c>
      <c r="D68" s="735" t="n"/>
      <c r="E68" s="753">
        <f>IF(C68="","",VLOOKUP(C68,CCBASE!$A$53:$D$73,4,FALSE))</f>
        <v/>
      </c>
      <c r="F68" s="754" t="n"/>
      <c r="G68" s="749" t="n"/>
      <c r="H68" s="750" t="n"/>
      <c r="I68" s="755" t="n"/>
      <c r="J68" s="736">
        <f>IF(C68="",0,VLOOKUP(C68,CCBASE!$A$53:$C$73,2,FALSE))</f>
        <v/>
      </c>
      <c r="K68" s="737">
        <f>J68*D68</f>
        <v/>
      </c>
      <c r="L68" s="738" t="n">
        <v>0.44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978" t="inlineStr">
        <is>
          <t>SPECIAL WORKS</t>
        </is>
      </c>
      <c r="C69" s="979" t="inlineStr">
        <is>
          <t>BIM/ REVIT per CANOPY</t>
        </is>
      </c>
      <c r="D69" s="980" t="n"/>
      <c r="E69" s="981">
        <f>IF(C69="","",VLOOKUP(C69,CCBASE!$A$53:$D$73,4,FALSE))</f>
        <v/>
      </c>
      <c r="F69" s="982" t="n"/>
      <c r="G69" s="977" t="n"/>
      <c r="H69" s="983" t="n"/>
      <c r="I69" s="984" t="n"/>
      <c r="J69" s="985">
        <f>IF(C69="",0,VLOOKUP(C69,CCBASE!$A$53:$C$73,2,FALSE))</f>
        <v/>
      </c>
      <c r="K69" s="986">
        <f>J69*D69</f>
        <v/>
      </c>
      <c r="L69" s="987" t="n">
        <v>0.44</v>
      </c>
      <c r="M69" s="988">
        <f>K69/(1-L69)*(1+$C$9)</f>
        <v/>
      </c>
      <c r="N69" s="986">
        <f>M69*VLOOKUP($B$9,'Base Costs'!$A$32:$B$37,2,FALSE)</f>
        <v/>
      </c>
      <c r="O69" s="989">
        <f>M69-K69</f>
        <v/>
      </c>
      <c r="P69" s="990" t="inlineStr">
        <is>
          <t>always include</t>
        </is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IF(NOT(ISBLANK(C70)), ROUNDUP(F65/1000,0), 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>
        <f>IF(ISNA(D74),0,(VLOOKUP(D74,'Base Costs'!$Q$4:$R$13,2,FALSE)))</f>
        <v/>
      </c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68">
        <f>N80-N87</f>
        <v/>
      </c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731" t="inlineStr">
        <is>
          <t>SPECIAL WORKS</t>
        </is>
      </c>
      <c r="C84" s="752" t="inlineStr">
        <is>
          <t>SELECT WORKS</t>
        </is>
      </c>
      <c r="D84" s="735" t="n"/>
      <c r="E84" s="753">
        <f>IF(C84="","",VLOOKUP(C84,CCBASE!$A$53:$D$73,4,FALSE))</f>
        <v/>
      </c>
      <c r="F84" s="754" t="n"/>
      <c r="G84" s="749" t="n"/>
      <c r="H84" s="750" t="n"/>
      <c r="I84" s="755" t="n"/>
      <c r="J84" s="736">
        <f>IF(C84="",0,VLOOKUP(C84,CCBASE!$A$53:$C$73,2,FALSE))</f>
        <v/>
      </c>
      <c r="K84" s="737">
        <f>J84*D84</f>
        <v/>
      </c>
      <c r="L84" s="738" t="n">
        <v>0.44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SPECIAL WORKS</t>
        </is>
      </c>
      <c r="C85" s="752" t="inlineStr">
        <is>
          <t>SELECT WORKS</t>
        </is>
      </c>
      <c r="D85" s="735" t="n"/>
      <c r="E85" s="753">
        <f>IF(C85="","",VLOOKUP(C85,CCBASE!$A$53:$D$73,4,FALSE))</f>
        <v/>
      </c>
      <c r="F85" s="754" t="n"/>
      <c r="G85" s="749" t="n"/>
      <c r="H85" s="750" t="n"/>
      <c r="I85" s="755" t="n"/>
      <c r="J85" s="736">
        <f>IF(C85="",0,VLOOKUP(C85,CCBASE!$A$53:$C$73,2,FALSE))</f>
        <v/>
      </c>
      <c r="K85" s="737">
        <f>J85*D85</f>
        <v/>
      </c>
      <c r="L85" s="738" t="n">
        <v>0.44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978" t="inlineStr">
        <is>
          <t>SPECIAL WORKS</t>
        </is>
      </c>
      <c r="C86" s="979" t="inlineStr">
        <is>
          <t>BIM/ REVIT per CANOPY</t>
        </is>
      </c>
      <c r="D86" s="980" t="n"/>
      <c r="E86" s="981">
        <f>IF(C86="","",VLOOKUP(C86,CCBASE!$A$53:$D$73,4,FALSE))</f>
        <v/>
      </c>
      <c r="F86" s="982" t="n"/>
      <c r="G86" s="977" t="n"/>
      <c r="H86" s="983" t="n"/>
      <c r="I86" s="984" t="n"/>
      <c r="J86" s="985">
        <f>IF(C86="",0,VLOOKUP(C86,CCBASE!$A$53:$C$73,2,FALSE))</f>
        <v/>
      </c>
      <c r="K86" s="986">
        <f>J86*D86</f>
        <v/>
      </c>
      <c r="L86" s="987" t="n">
        <v>0.44</v>
      </c>
      <c r="M86" s="988">
        <f>K86/(1-L86)*(1+$C$9)</f>
        <v/>
      </c>
      <c r="N86" s="986">
        <f>M86*VLOOKUP($B$9,'Base Costs'!$A$32:$B$37,2,FALSE)</f>
        <v/>
      </c>
      <c r="O86" s="989">
        <f>M86-K86</f>
        <v/>
      </c>
      <c r="P86" s="990" t="inlineStr">
        <is>
          <t>always include</t>
        </is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IF(NOT(ISBLANK(C87)), ROUNDUP(F82/1000,0), 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>
        <f>IF(ISNA(D91),0,(VLOOKUP(D91,'Base Costs'!$Q$4:$R$13,2,FALSE)))</f>
        <v/>
      </c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IF(ISNUMBER(SEARCH("UV",D99)),49.7,71.75)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68">
        <f>N97-N104</f>
        <v/>
      </c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731" t="inlineStr">
        <is>
          <t>SPECIAL WORKS</t>
        </is>
      </c>
      <c r="C101" s="752" t="inlineStr">
        <is>
          <t>SELECT WORKS</t>
        </is>
      </c>
      <c r="D101" s="735" t="n"/>
      <c r="E101" s="753">
        <f>IF(C101="","",VLOOKUP(C101,CCBASE!$A$53:$D$73,4,FALSE))</f>
        <v/>
      </c>
      <c r="F101" s="754" t="n"/>
      <c r="G101" s="749" t="n"/>
      <c r="H101" s="750" t="n"/>
      <c r="I101" s="755" t="n"/>
      <c r="J101" s="736">
        <f>IF(C101="",0,VLOOKUP(C101,CCBASE!$A$53:$C$73,2,FALSE))</f>
        <v/>
      </c>
      <c r="K101" s="737">
        <f>J101*D101</f>
        <v/>
      </c>
      <c r="L101" s="738" t="n">
        <v>0.44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584" t="inlineStr">
        <is>
          <t>SPECIAL WORKS</t>
        </is>
      </c>
      <c r="C102" s="33" t="inlineStr">
        <is>
          <t>SELECT WORKS</t>
        </is>
      </c>
      <c r="D102" s="735" t="n"/>
      <c r="E102" s="753">
        <f>IF(C102="","",VLOOKUP(C102,CCBASE!$A$53:$D$73,4,FALSE))</f>
        <v/>
      </c>
      <c r="F102" s="754" t="n"/>
      <c r="G102" s="749" t="n"/>
      <c r="H102" s="750" t="n"/>
      <c r="I102" s="755" t="n"/>
      <c r="J102" s="736">
        <f>IF(C102="",0,VLOOKUP(C102,CCBASE!$A$53:$C$73,2,FALSE))</f>
        <v/>
      </c>
      <c r="K102" s="737">
        <f>J102*D102</f>
        <v/>
      </c>
      <c r="L102" s="738" t="n">
        <v>0.44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991" t="inlineStr">
        <is>
          <t>SPECIAL WORKS</t>
        </is>
      </c>
      <c r="C103" s="992" t="inlineStr">
        <is>
          <t>BIM/ REVIT per CANOPY</t>
        </is>
      </c>
      <c r="D103" s="980" t="n"/>
      <c r="E103" s="981">
        <f>IF(C103="","",VLOOKUP(C103,CCBASE!$A$53:$D$73,4,FALSE))</f>
        <v/>
      </c>
      <c r="F103" s="982" t="n"/>
      <c r="G103" s="977" t="n"/>
      <c r="H103" s="983" t="n"/>
      <c r="I103" s="984" t="n"/>
      <c r="J103" s="985">
        <f>IF(C103="",0,VLOOKUP(C103,CCBASE!$A$53:$C$73,2,FALSE))</f>
        <v/>
      </c>
      <c r="K103" s="986">
        <f>J103*D103</f>
        <v/>
      </c>
      <c r="L103" s="987" t="n">
        <v>0.44</v>
      </c>
      <c r="M103" s="988">
        <f>K103/(1-L103)*(1+$C$9)</f>
        <v/>
      </c>
      <c r="N103" s="986">
        <f>M103*VLOOKUP($B$9,'Base Costs'!$A$32:$B$37,2,FALSE)</f>
        <v/>
      </c>
      <c r="O103" s="989">
        <f>M103-K103</f>
        <v/>
      </c>
      <c r="P103" s="990" t="inlineStr">
        <is>
          <t>always include</t>
        </is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IF(NOT(ISBLANK(C104)), ROUNDUP(F99/1000,0), 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>
        <f>IF(ISNA(D108),0,(VLOOKUP(D108,'Base Costs'!$Q$4:$R$13,2,FALSE)))</f>
        <v/>
      </c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IF(ISNUMBER(SEARCH("UV",D116)),49.7,71.75)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68">
        <f>N114-N121</f>
        <v/>
      </c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731" t="inlineStr">
        <is>
          <t>SPECIAL WORKS</t>
        </is>
      </c>
      <c r="C118" s="752" t="inlineStr">
        <is>
          <t>SELECT WORKS</t>
        </is>
      </c>
      <c r="D118" s="735" t="n"/>
      <c r="E118" s="753">
        <f>IF(C118="","",VLOOKUP(C118,CCBASE!$A$53:$D$73,4,FALSE))</f>
        <v/>
      </c>
      <c r="F118" s="754" t="n"/>
      <c r="G118" s="749" t="n"/>
      <c r="H118" s="750" t="n"/>
      <c r="I118" s="755" t="n"/>
      <c r="J118" s="736">
        <f>IF(C118="",0,VLOOKUP(C118,CCBASE!$A$53:$C$73,2,FALSE))</f>
        <v/>
      </c>
      <c r="K118" s="737">
        <f>J118*D118</f>
        <v/>
      </c>
      <c r="L118" s="738" t="n">
        <v>0.44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584" t="inlineStr">
        <is>
          <t>SPECIAL WORKS</t>
        </is>
      </c>
      <c r="C119" s="33" t="inlineStr">
        <is>
          <t>SELECT WORKS</t>
        </is>
      </c>
      <c r="D119" s="735" t="n"/>
      <c r="E119" s="753">
        <f>IF(C119="","",VLOOKUP(C119,CCBASE!$A$53:$D$73,4,FALSE))</f>
        <v/>
      </c>
      <c r="F119" s="754" t="n"/>
      <c r="G119" s="749" t="n"/>
      <c r="H119" s="750" t="n"/>
      <c r="I119" s="755" t="n"/>
      <c r="J119" s="736">
        <f>IF(C119="",0,VLOOKUP(C119,CCBASE!$A$53:$C$73,2,FALSE))</f>
        <v/>
      </c>
      <c r="K119" s="737">
        <f>J119*D119</f>
        <v/>
      </c>
      <c r="L119" s="738" t="n">
        <v>0.44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991" t="inlineStr">
        <is>
          <t>SPECIAL WORKS</t>
        </is>
      </c>
      <c r="C120" s="992" t="inlineStr">
        <is>
          <t>BIM/ REVIT per CANOPY</t>
        </is>
      </c>
      <c r="D120" s="980" t="n"/>
      <c r="E120" s="981">
        <f>IF(C120="","",VLOOKUP(C120,CCBASE!$A$53:$D$73,4,FALSE))</f>
        <v/>
      </c>
      <c r="F120" s="982" t="n"/>
      <c r="G120" s="977" t="n"/>
      <c r="H120" s="983" t="n"/>
      <c r="I120" s="984" t="n"/>
      <c r="J120" s="985">
        <f>IF(C120="",0,VLOOKUP(C120,CCBASE!$A$53:$C$73,2,FALSE))</f>
        <v/>
      </c>
      <c r="K120" s="986">
        <f>J120*D120</f>
        <v/>
      </c>
      <c r="L120" s="987" t="n">
        <v>0.44</v>
      </c>
      <c r="M120" s="988">
        <f>K120/(1-L120)*(1+$C$9)</f>
        <v/>
      </c>
      <c r="N120" s="986">
        <f>M120*VLOOKUP($B$9,'Base Costs'!$A$32:$B$37,2,FALSE)</f>
        <v/>
      </c>
      <c r="O120" s="989">
        <f>M120-K120</f>
        <v/>
      </c>
      <c r="P120" s="990" t="inlineStr">
        <is>
          <t>always include</t>
        </is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IF(NOT(ISBLANK(C121)), ROUNDUP(F116/1000,0), 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>
        <f>IF(ISNA(D125),0,(VLOOKUP(D125,'Base Costs'!$Q$4:$R$13,2,FALSE)))</f>
        <v/>
      </c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68">
        <f>N131-N138</f>
        <v/>
      </c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733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731" t="inlineStr">
        <is>
          <t>SPECIAL WORKS</t>
        </is>
      </c>
      <c r="C135" s="752" t="inlineStr">
        <is>
          <t>SELECT WORKS</t>
        </is>
      </c>
      <c r="D135" s="735" t="n"/>
      <c r="E135" s="753">
        <f>IF(C135="","",VLOOKUP(C135,CCBASE!$A$53:$D$73,4,FALSE))</f>
        <v/>
      </c>
      <c r="F135" s="754" t="n"/>
      <c r="G135" s="749" t="n"/>
      <c r="H135" s="750" t="n"/>
      <c r="I135" s="755" t="n"/>
      <c r="J135" s="736">
        <f>IF(C135="",0,VLOOKUP(C135,CCBASE!$A$53:$C$73,2,FALSE))</f>
        <v/>
      </c>
      <c r="K135" s="737">
        <f>J135*D135</f>
        <v/>
      </c>
      <c r="L135" s="738" t="n">
        <v>0.44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584" t="inlineStr">
        <is>
          <t>SPECIAL WORKS</t>
        </is>
      </c>
      <c r="C136" s="33" t="inlineStr">
        <is>
          <t>SELECT WORKS</t>
        </is>
      </c>
      <c r="D136" s="735" t="n"/>
      <c r="E136" s="753">
        <f>IF(C136="","",VLOOKUP(C136,CCBASE!$A$53:$D$73,4,FALSE))</f>
        <v/>
      </c>
      <c r="F136" s="754" t="n"/>
      <c r="G136" s="749" t="n"/>
      <c r="H136" s="750" t="n"/>
      <c r="I136" s="755" t="n"/>
      <c r="J136" s="736">
        <f>IF(C136="",0,VLOOKUP(C136,CCBASE!$A$53:$C$73,2,FALSE))</f>
        <v/>
      </c>
      <c r="K136" s="737">
        <f>J136*D136</f>
        <v/>
      </c>
      <c r="L136" s="738" t="n">
        <v>0.44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991" t="inlineStr">
        <is>
          <t>SPECIAL WORKS</t>
        </is>
      </c>
      <c r="C137" s="992" t="inlineStr">
        <is>
          <t>BIM/ REVIT per CANOPY</t>
        </is>
      </c>
      <c r="D137" s="980" t="n"/>
      <c r="E137" s="981">
        <f>IF(C137="","",VLOOKUP(C137,CCBASE!$A$53:$D$73,4,FALSE))</f>
        <v/>
      </c>
      <c r="F137" s="982" t="n"/>
      <c r="G137" s="977" t="n"/>
      <c r="H137" s="983" t="n"/>
      <c r="I137" s="984" t="n"/>
      <c r="J137" s="985">
        <f>IF(C137="",0,VLOOKUP(C137,CCBASE!$A$53:$C$73,2,FALSE))</f>
        <v/>
      </c>
      <c r="K137" s="986">
        <f>J137*D137</f>
        <v/>
      </c>
      <c r="L137" s="987" t="n">
        <v>0.44</v>
      </c>
      <c r="M137" s="988">
        <f>K137/(1-L137)*(1+$C$9)</f>
        <v/>
      </c>
      <c r="N137" s="986">
        <f>M137*VLOOKUP($B$9,'Base Costs'!$A$32:$B$37,2,FALSE)</f>
        <v/>
      </c>
      <c r="O137" s="989">
        <f>M137-K137</f>
        <v/>
      </c>
      <c r="P137" s="990" t="inlineStr">
        <is>
          <t>always include</t>
        </is>
      </c>
      <c r="S137" s="694" t="n"/>
      <c r="Y137" s="1095" t="n"/>
    </row>
    <row r="138" hidden="1" outlineLevel="1" ht="15" customHeight="1" s="1085">
      <c r="A138" s="666" t="n">
        <v>289</v>
      </c>
      <c r="B138" s="584" t="inlineStr">
        <is>
          <t>WALL CLADDING</t>
        </is>
      </c>
      <c r="C138" s="33" t="inlineStr">
        <is>
          <t>SELECT CLADDING</t>
        </is>
      </c>
      <c r="D138" s="756">
        <f>IF(NOT(ISBLANK(C138)), ROUNDUP(F133/1000,0), 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584" t="inlineStr">
        <is>
          <t>INFILL PANEL</t>
        </is>
      </c>
      <c r="C139" s="752" t="n"/>
      <c r="D139" s="742" t="inlineStr">
        <is>
          <t>m²</t>
        </is>
      </c>
      <c r="E139" s="749" t="n"/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>
        <f>IF(ISNA(D142),0,(VLOOKUP(D142,'Base Costs'!$Q$4:$R$13,2,FALSE)))</f>
        <v/>
      </c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IF(ISNUMBER(SEARCH("UV",D150)),49.7,71.75)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68">
        <f>N148-N155</f>
        <v/>
      </c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731" t="inlineStr">
        <is>
          <t>SPECIAL WORKS</t>
        </is>
      </c>
      <c r="C152" s="752" t="inlineStr">
        <is>
          <t>SELECT WORKS</t>
        </is>
      </c>
      <c r="D152" s="735" t="n"/>
      <c r="E152" s="753">
        <f>IF(C152="","",VLOOKUP(C152,CCBASE!$A$53:$D$73,4,FALSE))</f>
        <v/>
      </c>
      <c r="F152" s="754" t="n"/>
      <c r="G152" s="749" t="n"/>
      <c r="H152" s="750" t="n"/>
      <c r="I152" s="755" t="n"/>
      <c r="J152" s="736">
        <f>IF(C152="",0,VLOOKUP(C152,CCBASE!$A$53:$C$73,2,FALSE))</f>
        <v/>
      </c>
      <c r="K152" s="737">
        <f>J152*D152</f>
        <v/>
      </c>
      <c r="L152" s="738" t="n">
        <v>0.44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584" t="inlineStr">
        <is>
          <t>SPECIAL WORKS</t>
        </is>
      </c>
      <c r="C153" s="33" t="inlineStr">
        <is>
          <t>SELECT WORKS</t>
        </is>
      </c>
      <c r="D153" s="735" t="n"/>
      <c r="E153" s="753">
        <f>IF(C153="","",VLOOKUP(C153,CCBASE!$A$53:$D$73,4,FALSE))</f>
        <v/>
      </c>
      <c r="F153" s="754" t="n"/>
      <c r="G153" s="749" t="n"/>
      <c r="H153" s="750" t="n"/>
      <c r="I153" s="755" t="n"/>
      <c r="J153" s="736">
        <f>IF(C153="",0,VLOOKUP(C153,CCBASE!$A$53:$C$73,2,FALSE))</f>
        <v/>
      </c>
      <c r="K153" s="737">
        <f>J153*D153</f>
        <v/>
      </c>
      <c r="L153" s="738" t="n">
        <v>0.44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991" t="inlineStr">
        <is>
          <t>SPECIAL WORKS</t>
        </is>
      </c>
      <c r="C154" s="992" t="inlineStr">
        <is>
          <t>BIM/ REVIT per CANOPY</t>
        </is>
      </c>
      <c r="D154" s="980" t="n"/>
      <c r="E154" s="981">
        <f>IF(C154="","",VLOOKUP(C154,CCBASE!$A$53:$D$73,4,FALSE))</f>
        <v/>
      </c>
      <c r="F154" s="982" t="n"/>
      <c r="G154" s="977" t="n"/>
      <c r="H154" s="983" t="n"/>
      <c r="I154" s="984" t="n"/>
      <c r="J154" s="985">
        <f>IF(C154="",0,VLOOKUP(C154,CCBASE!$A$53:$C$73,2,FALSE))</f>
        <v/>
      </c>
      <c r="K154" s="986">
        <f>J154*D154</f>
        <v/>
      </c>
      <c r="L154" s="987" t="n">
        <v>0.44</v>
      </c>
      <c r="M154" s="988">
        <f>K154/(1-L154)*(1+$C$9)</f>
        <v/>
      </c>
      <c r="N154" s="986">
        <f>M154*VLOOKUP($B$9,'Base Costs'!$A$32:$B$37,2,FALSE)</f>
        <v/>
      </c>
      <c r="O154" s="989">
        <f>M154-K154</f>
        <v/>
      </c>
      <c r="P154" s="990" t="inlineStr">
        <is>
          <t>always include</t>
        </is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IF(NOT(ISBLANK(C155)), ROUNDUP(F150/1000,0), 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>
        <f>IF(ISNA(D159),0,(VLOOKUP(D159,'Base Costs'!$Q$4:$R$13,2,FALSE)))</f>
        <v/>
      </c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IF(ISNUMBER(SEARCH("UV",D167)),49.7,71.75)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68">
        <f>N165-N172</f>
        <v/>
      </c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731" t="inlineStr">
        <is>
          <t>SPECIAL WORKS</t>
        </is>
      </c>
      <c r="C169" s="752" t="inlineStr">
        <is>
          <t>SELECT WORKS</t>
        </is>
      </c>
      <c r="D169" s="735" t="n"/>
      <c r="E169" s="753">
        <f>IF(C169="","",VLOOKUP(C169,CCBASE!$A$53:$D$73,4,FALSE))</f>
        <v/>
      </c>
      <c r="F169" s="754" t="n"/>
      <c r="G169" s="749" t="n"/>
      <c r="H169" s="750" t="n"/>
      <c r="I169" s="755" t="n"/>
      <c r="J169" s="736">
        <f>IF(C169="",0,VLOOKUP(C169,CCBASE!$A$53:$C$73,2,FALSE))</f>
        <v/>
      </c>
      <c r="K169" s="737">
        <f>J169*D169</f>
        <v/>
      </c>
      <c r="L169" s="738" t="n">
        <v>0.44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584" t="inlineStr">
        <is>
          <t>SPECIAL WORKS</t>
        </is>
      </c>
      <c r="C170" s="33" t="inlineStr">
        <is>
          <t>SELECT WORKS</t>
        </is>
      </c>
      <c r="D170" s="735" t="n"/>
      <c r="E170" s="753">
        <f>IF(C170="","",VLOOKUP(C170,CCBASE!$A$53:$D$73,4,FALSE))</f>
        <v/>
      </c>
      <c r="F170" s="754" t="n"/>
      <c r="G170" s="749" t="n"/>
      <c r="H170" s="750" t="n"/>
      <c r="I170" s="755" t="n"/>
      <c r="J170" s="736">
        <f>IF(C170="",0,VLOOKUP(C170,CCBASE!$A$53:$C$73,2,FALSE))</f>
        <v/>
      </c>
      <c r="K170" s="737">
        <f>J170*D170</f>
        <v/>
      </c>
      <c r="L170" s="738" t="n">
        <v>0.44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991" t="inlineStr">
        <is>
          <t>SPECIAL WORKS</t>
        </is>
      </c>
      <c r="C171" s="992" t="inlineStr">
        <is>
          <t>BIM/ REVIT per CANOPY</t>
        </is>
      </c>
      <c r="D171" s="980" t="n"/>
      <c r="E171" s="981">
        <f>IF(C171="","",VLOOKUP(C171,CCBASE!$A$53:$D$73,4,FALSE))</f>
        <v/>
      </c>
      <c r="F171" s="982" t="n"/>
      <c r="G171" s="977" t="n"/>
      <c r="H171" s="983" t="n"/>
      <c r="I171" s="984" t="n"/>
      <c r="J171" s="985">
        <f>IF(C171="",0,VLOOKUP(C171,CCBASE!$A$53:$C$73,2,FALSE))</f>
        <v/>
      </c>
      <c r="K171" s="986">
        <f>J171*D171</f>
        <v/>
      </c>
      <c r="L171" s="987" t="n">
        <v>0.44</v>
      </c>
      <c r="M171" s="988">
        <f>K171/(1-L171)*(1+$C$9)</f>
        <v/>
      </c>
      <c r="N171" s="986">
        <f>M171*VLOOKUP($B$9,'Base Costs'!$A$32:$B$37,2,FALSE)</f>
        <v/>
      </c>
      <c r="O171" s="989">
        <f>M171-K171</f>
        <v/>
      </c>
      <c r="P171" s="990" t="inlineStr">
        <is>
          <t>always include</t>
        </is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IF(NOT(ISBLANK(C172)), ROUNDUP(F167/1000,0), 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>
        <f>IF(ISNA(D176),0,(VLOOKUP(D176,'Base Costs'!$Q$4:$R$13,2,FALSE)))</f>
        <v/>
      </c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10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P182" s="1068">
        <f>N182-N193</f>
        <v/>
      </c>
      <c r="S182" s="694" t="n"/>
    </row>
    <row r="183" ht="15" customHeight="1" s="1085">
      <c r="A183" s="666" t="n">
        <v>222</v>
      </c>
      <c r="B183" s="589" t="inlineStr">
        <is>
          <t>DELIVERY 1 x 7.5T TAIL LIFT 3200KGS</t>
        </is>
      </c>
      <c r="C183" s="774" t="n"/>
      <c r="D183" s="775" t="inlineStr">
        <is>
          <t>SELECT LOCATION…</t>
        </is>
      </c>
      <c r="E183" s="1111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Q183" s="745" t="n"/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/>
      <c r="D184" s="775" t="inlineStr">
        <is>
          <t>PLANT SELECTION (weekly)</t>
        </is>
      </c>
      <c r="E184" s="1108" t="inlineStr">
        <is>
          <t>Install of 6no Pieces of Canopy Max</t>
        </is>
      </c>
      <c r="G184" s="748" t="n"/>
      <c r="H184" s="748" t="n"/>
      <c r="I184" s="748" t="n"/>
      <c r="J184" s="776">
        <f>VLOOKUP(D184,'Base Costs'!$A$3:$B$15,2,FALSE)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269" t="inlineStr">
        <is>
          <t xml:space="preserve">PLANT HIRE </t>
        </is>
      </c>
      <c r="C185" s="777" t="n"/>
      <c r="D185" s="775" t="inlineStr">
        <is>
          <t>PLANT SELECTION (weekly)</t>
        </is>
      </c>
      <c r="E185" s="1108" t="inlineStr">
        <is>
          <t>Install of 6no Pieces of Canopy Max</t>
        </is>
      </c>
      <c r="G185" s="748" t="n"/>
      <c r="H185" s="748" t="n"/>
      <c r="I185" s="748" t="n"/>
      <c r="J185" s="776">
        <f>VLOOKUP(D185,'Base Costs'!$A$3:$B$15,2,FALSE)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S185" s="694" t="n"/>
    </row>
    <row r="186" ht="15" customHeight="1" s="1085">
      <c r="A186" s="666" t="n">
        <v>222</v>
      </c>
      <c r="B186" s="270" t="n"/>
      <c r="C186" s="946" t="n"/>
      <c r="D186" s="775" t="inlineStr">
        <is>
          <t>SELECT LOCATION…</t>
        </is>
      </c>
      <c r="E186" s="1109" t="n"/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610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>
        <f>ROUNDUP((IF(C14="WALL",(F14/1000),(F14/1000)*2)+IF(C31="WALL",(F31/1000),(F31/1000)*2)+IF(C48="WALL",(F48/1000),(F48/1000)*2)+IF(C65="WALL",(F65/1000),(F65/1000)*2)+IF(C82="WALL",(F82/1000),(F82/1000)*2)+IF(C99="WALL",(F99/1000),(F99/1000)*2)+IF(C116="WALL",(F116/1000),(F116/1000)*2)+IF(C133="WALL",(F133/1000),(F133/1000)*2)+IF(C150="WALL",(F150/1000),(F150/1000)*2)+IF(C167="WALL",(F167/1000),(F167/1000)*2)),0)</f>
        <v/>
      </c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731" t="inlineStr">
        <is>
          <t>INSTALLATION NORMAL HOURS</t>
        </is>
      </c>
      <c r="C189" s="777" t="n"/>
      <c r="D189" s="1102" t="inlineStr">
        <is>
          <t>2 Pieces = 1 Day, 4 Pieces = 1.5 Days, 6 Pieces = 2 Days, 8 Pieces = 2.5 Days (1 Section up to 3m long equals 2 Pieces) + logistics</t>
        </is>
      </c>
      <c r="J189" s="776" t="n">
        <v>610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S189" s="694" t="n"/>
    </row>
    <row r="190" ht="15" customHeight="1" s="1085">
      <c r="A190" s="666" t="n">
        <v>400</v>
      </c>
      <c r="B190" s="731" t="inlineStr">
        <is>
          <t>INSTALLATION AFTER HOURS</t>
        </is>
      </c>
      <c r="C190" s="777" t="n"/>
      <c r="D190" s="1102" t="inlineStr">
        <is>
          <t>2 Pieces = 1 Day, 4 Pieces = 1.5 Days, 6 Pieces = 2 Days, 8 Pieces = 2.5 Days (1 Section up to 3m long equals 2 Pieces) + logistics</t>
        </is>
      </c>
      <c r="J190" s="776" t="n">
        <v>1220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610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220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15" t="inlineStr">
        <is>
          <t>ONE Engineer,  1 day per 4no UV or W/W Sections of Canopy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9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09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20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2">
    <mergeCell ref="B203:O203"/>
    <mergeCell ref="H91:I91"/>
    <mergeCell ref="D189:I189"/>
    <mergeCell ref="E121:F121"/>
    <mergeCell ref="H38:I38"/>
    <mergeCell ref="H125:I125"/>
    <mergeCell ref="B200:O200"/>
    <mergeCell ref="G186:I186"/>
    <mergeCell ref="D194:F194"/>
    <mergeCell ref="C5:D5"/>
    <mergeCell ref="H141:I141"/>
    <mergeCell ref="E185:F185"/>
    <mergeCell ref="D197:F197"/>
    <mergeCell ref="B182:G182"/>
    <mergeCell ref="B202:O202"/>
    <mergeCell ref="H55:I55"/>
    <mergeCell ref="H40:I40"/>
    <mergeCell ref="H74:I74"/>
    <mergeCell ref="H176:I176"/>
    <mergeCell ref="H56:I56"/>
    <mergeCell ref="P7:R7"/>
    <mergeCell ref="E35:F35"/>
    <mergeCell ref="H39:I39"/>
    <mergeCell ref="E87:F87"/>
    <mergeCell ref="G9:J9"/>
    <mergeCell ref="H21:I21"/>
    <mergeCell ref="H73:I73"/>
    <mergeCell ref="H157:I157"/>
    <mergeCell ref="D195:E195"/>
    <mergeCell ref="D193:F193"/>
    <mergeCell ref="E138:F138"/>
    <mergeCell ref="E19:F19"/>
    <mergeCell ref="H142:I142"/>
    <mergeCell ref="E155:F155"/>
    <mergeCell ref="H89:I89"/>
    <mergeCell ref="H123:I123"/>
    <mergeCell ref="G5:J5"/>
    <mergeCell ref="B1:C1"/>
    <mergeCell ref="E9:F9"/>
    <mergeCell ref="H108:I108"/>
    <mergeCell ref="H106:I106"/>
    <mergeCell ref="E186:F186"/>
    <mergeCell ref="G183:I183"/>
    <mergeCell ref="E104:F104"/>
    <mergeCell ref="H72:I72"/>
    <mergeCell ref="H174:I174"/>
    <mergeCell ref="H90:I90"/>
    <mergeCell ref="B205:O205"/>
    <mergeCell ref="H57:I57"/>
    <mergeCell ref="G7:J7"/>
    <mergeCell ref="H159:I159"/>
    <mergeCell ref="E36:F36"/>
    <mergeCell ref="H22:I22"/>
    <mergeCell ref="E70:F70"/>
    <mergeCell ref="H140:I140"/>
    <mergeCell ref="H158:I158"/>
    <mergeCell ref="D196:E196"/>
    <mergeCell ref="E172:F172"/>
    <mergeCell ref="C7:D7"/>
    <mergeCell ref="D190:I190"/>
    <mergeCell ref="G3:J3"/>
    <mergeCell ref="E183:F183"/>
    <mergeCell ref="H124:I124"/>
    <mergeCell ref="B201:O201"/>
    <mergeCell ref="E184:F184"/>
    <mergeCell ref="H107:I107"/>
    <mergeCell ref="E53:F53"/>
    <mergeCell ref="B204:O204"/>
    <mergeCell ref="H23:I23"/>
    <mergeCell ref="C3:D3"/>
    <mergeCell ref="P5:T5"/>
    <mergeCell ref="H175:I175"/>
  </mergeCells>
  <conditionalFormatting sqref="B9">
    <cfRule type="containsText" priority="663" operator="containsText" dxfId="680" text="SELECT">
      <formula>NOT(ISERROR(SEARCH("SELECT",B9)))</formula>
    </cfRule>
    <cfRule type="expression" priority="664" dxfId="680">
      <formula>B9="CURRENCY"</formula>
    </cfRule>
  </conditionalFormatting>
  <conditionalFormatting sqref="B11">
    <cfRule type="expression" priority="626" dxfId="637">
      <formula>$B11&lt;&gt;""</formula>
    </cfRule>
  </conditionalFormatting>
  <conditionalFormatting sqref="B14:B23">
    <cfRule type="expression" priority="618" dxfId="633">
      <formula>$J14&gt;0</formula>
    </cfRule>
  </conditionalFormatting>
  <conditionalFormatting sqref="B24">
    <cfRule type="expression" priority="615" dxfId="633">
      <formula>ISNUMBER(SEARCH("UV",$D14))</formula>
    </cfRule>
    <cfRule type="expression" priority="616" dxfId="358">
      <formula>($D14="CANOPY TYPE")</formula>
    </cfRule>
  </conditionalFormatting>
  <conditionalFormatting sqref="B25:B27">
    <cfRule type="expression" priority="443" dxfId="633">
      <formula>$J25&gt;0</formula>
    </cfRule>
  </conditionalFormatting>
  <conditionalFormatting sqref="B28">
    <cfRule type="expression" priority="624" dxfId="637">
      <formula>$B28&lt;&gt;""</formula>
    </cfRule>
  </conditionalFormatting>
  <conditionalFormatting sqref="B31:B40">
    <cfRule type="expression" priority="388" dxfId="633">
      <formula>$J31&gt;0</formula>
    </cfRule>
  </conditionalFormatting>
  <conditionalFormatting sqref="B41">
    <cfRule type="expression" priority="583" dxfId="633">
      <formula>ISNUMBER(SEARCH("UV",$D31))</formula>
    </cfRule>
    <cfRule type="expression" priority="584" dxfId="358">
      <formula>($D31="CANOPY TYPE")</formula>
    </cfRule>
  </conditionalFormatting>
  <conditionalFormatting sqref="B42:B44">
    <cfRule type="expression" priority="585" dxfId="633">
      <formula>$J42&gt;0</formula>
    </cfRule>
  </conditionalFormatting>
  <conditionalFormatting sqref="B45">
    <cfRule type="expression" priority="623" dxfId="637">
      <formula>$B45&lt;&gt;""</formula>
    </cfRule>
  </conditionalFormatting>
  <conditionalFormatting sqref="B48:B57">
    <cfRule type="expression" priority="103" dxfId="633">
      <formula>$J48&gt;0</formula>
    </cfRule>
  </conditionalFormatting>
  <conditionalFormatting sqref="B58">
    <cfRule type="expression" priority="557" dxfId="358">
      <formula>($D48="CANOPY TYPE")</formula>
    </cfRule>
    <cfRule type="expression" priority="556" dxfId="633">
      <formula>ISNUMBER(SEARCH("UV",$D48))</formula>
    </cfRule>
  </conditionalFormatting>
  <conditionalFormatting sqref="B59:B61">
    <cfRule type="expression" priority="442" dxfId="633">
      <formula>$J59&gt;0</formula>
    </cfRule>
  </conditionalFormatting>
  <conditionalFormatting sqref="B62">
    <cfRule type="expression" priority="622" dxfId="637">
      <formula>$B62&lt;&gt;""</formula>
    </cfRule>
  </conditionalFormatting>
  <conditionalFormatting sqref="B65:B74">
    <cfRule type="expression" priority="89" dxfId="633">
      <formula>$J65&gt;0</formula>
    </cfRule>
  </conditionalFormatting>
  <conditionalFormatting sqref="B75">
    <cfRule type="expression" priority="528" dxfId="633">
      <formula>ISNUMBER(SEARCH("UV",$D65))</formula>
    </cfRule>
    <cfRule type="expression" priority="529" dxfId="358">
      <formula>($D65="CANOPY TYPE")</formula>
    </cfRule>
  </conditionalFormatting>
  <conditionalFormatting sqref="B76:B78">
    <cfRule type="expression" priority="441" dxfId="633">
      <formula>$J76&gt;0</formula>
    </cfRule>
  </conditionalFormatting>
  <conditionalFormatting sqref="B79">
    <cfRule type="expression" priority="621" dxfId="637">
      <formula>$B79&lt;&gt;""</formula>
    </cfRule>
  </conditionalFormatting>
  <conditionalFormatting sqref="B82:B91">
    <cfRule type="expression" priority="75" dxfId="633">
      <formula>$J82&gt;0</formula>
    </cfRule>
  </conditionalFormatting>
  <conditionalFormatting sqref="B92">
    <cfRule type="expression" priority="499" dxfId="633">
      <formula>ISNUMBER(SEARCH("UV",$D82))</formula>
    </cfRule>
    <cfRule type="expression" priority="500" dxfId="358">
      <formula>($D82="CANOPY TYPE")</formula>
    </cfRule>
  </conditionalFormatting>
  <conditionalFormatting sqref="B93:B95">
    <cfRule type="expression" priority="440" dxfId="633">
      <formula>$J93&gt;0</formula>
    </cfRule>
  </conditionalFormatting>
  <conditionalFormatting sqref="B96">
    <cfRule type="expression" priority="620" dxfId="637">
      <formula>$B96&lt;&gt;""</formula>
    </cfRule>
  </conditionalFormatting>
  <conditionalFormatting sqref="B99:B108">
    <cfRule type="expression" priority="61" dxfId="633">
      <formula>$J99&gt;0</formula>
    </cfRule>
  </conditionalFormatting>
  <conditionalFormatting sqref="B109">
    <cfRule type="expression" priority="472" dxfId="358">
      <formula>($D99="CANOPY TYPE")</formula>
    </cfRule>
    <cfRule type="expression" priority="471" dxfId="633">
      <formula>ISNUMBER(SEARCH("UV",$D99))</formula>
    </cfRule>
  </conditionalFormatting>
  <conditionalFormatting sqref="B110:B112 B127:B129 B144:B146 B161:B163 B178:B180">
    <cfRule type="expression" priority="439" dxfId="633">
      <formula>$J110&gt;0</formula>
    </cfRule>
  </conditionalFormatting>
  <conditionalFormatting sqref="B113">
    <cfRule type="expression" priority="320" dxfId="637">
      <formula>$B113&lt;&gt;""</formula>
    </cfRule>
  </conditionalFormatting>
  <conditionalFormatting sqref="B116:B125">
    <cfRule type="expression" priority="47" dxfId="633">
      <formula>$J116&gt;0</formula>
    </cfRule>
  </conditionalFormatting>
  <conditionalFormatting sqref="B126">
    <cfRule type="expression" priority="295" dxfId="633">
      <formula>ISNUMBER(SEARCH("UV",$D116))</formula>
    </cfRule>
    <cfRule type="expression" priority="296" dxfId="358">
      <formula>($D116="CANOPY TYPE")</formula>
    </cfRule>
  </conditionalFormatting>
  <conditionalFormatting sqref="B130">
    <cfRule type="expression" priority="265" dxfId="637">
      <formula>$B130&lt;&gt;""</formula>
    </cfRule>
  </conditionalFormatting>
  <conditionalFormatting sqref="B133:B142">
    <cfRule type="expression" priority="33" dxfId="633">
      <formula>$J133&gt;0</formula>
    </cfRule>
  </conditionalFormatting>
  <conditionalFormatting sqref="B143">
    <cfRule type="expression" priority="241" dxfId="358">
      <formula>($D133="CANOPY TYPE")</formula>
    </cfRule>
    <cfRule type="expression" priority="240" dxfId="633">
      <formula>ISNUMBER(SEARCH("UV",$D133))</formula>
    </cfRule>
  </conditionalFormatting>
  <conditionalFormatting sqref="B147">
    <cfRule type="expression" priority="214" dxfId="637">
      <formula>$B147&lt;&gt;""</formula>
    </cfRule>
  </conditionalFormatting>
  <conditionalFormatting sqref="B150:B159">
    <cfRule type="expression" priority="19" dxfId="633">
      <formula>$J150&gt;0</formula>
    </cfRule>
  </conditionalFormatting>
  <conditionalFormatting sqref="B160">
    <cfRule type="expression" priority="190" dxfId="358">
      <formula>($D150="CANOPY TYPE")</formula>
    </cfRule>
    <cfRule type="expression" priority="189" dxfId="633">
      <formula>ISNUMBER(SEARCH("UV",$D150))</formula>
    </cfRule>
  </conditionalFormatting>
  <conditionalFormatting sqref="B164">
    <cfRule type="expression" priority="163" dxfId="637">
      <formula>$B164&lt;&gt;""</formula>
    </cfRule>
  </conditionalFormatting>
  <conditionalFormatting sqref="B167:B176">
    <cfRule type="expression" priority="5" dxfId="633">
      <formula>$J167&gt;0</formula>
    </cfRule>
  </conditionalFormatting>
  <conditionalFormatting sqref="B177">
    <cfRule type="expression" priority="138" dxfId="633">
      <formula>ISNUMBER(SEARCH("UV",$D167))</formula>
    </cfRule>
    <cfRule type="expression" priority="139" dxfId="358">
      <formula>($D167="CANOPY TYPE")</formula>
    </cfRule>
  </conditionalFormatting>
  <conditionalFormatting sqref="B183:B197">
    <cfRule type="expression" priority="617" dxfId="633">
      <formula>$C183&gt;0</formula>
    </cfRule>
  </conditionalFormatting>
  <conditionalFormatting sqref="C14">
    <cfRule type="containsText" priority="429" operator="containsText" dxfId="204" text="CONFIG">
      <formula>NOT(ISERROR(SEARCH("CONFIG",C14)))</formula>
    </cfRule>
  </conditionalFormatting>
  <conditionalFormatting sqref="C15">
    <cfRule type="containsText" priority="434" operator="containsText" dxfId="561" text="LIGHT SELECTION">
      <formula>NOT(ISERROR(SEARCH("LIGHT SELECTION",C15)))</formula>
    </cfRule>
  </conditionalFormatting>
  <conditionalFormatting sqref="C20:C21">
    <cfRule type="cellIs" priority="669" operator="lessThan" dxfId="561">
      <formula>1</formula>
    </cfRule>
  </conditionalFormatting>
  <conditionalFormatting sqref="C22:C23">
    <cfRule type="expression" priority="409" dxfId="383">
      <formula>D22="WW PODS"</formula>
    </cfRule>
  </conditionalFormatting>
  <conditionalFormatting sqref="C24">
    <cfRule type="expression" priority="686" dxfId="559">
      <formula>ISNUMBER(SEARCH("UV",D14))</formula>
    </cfRule>
  </conditionalFormatting>
  <conditionalFormatting sqref="C25">
    <cfRule type="expression" priority="651" dxfId="472">
      <formula>(ISNUMBER(SEARCH("CMW",D14)))=TRUE</formula>
    </cfRule>
  </conditionalFormatting>
  <conditionalFormatting sqref="C26">
    <cfRule type="expression" priority="650" dxfId="472">
      <formula>(ISNUMBER(SEARCH("CMW",D14)))=TRUE</formula>
    </cfRule>
  </conditionalFormatting>
  <conditionalFormatting sqref="C27">
    <cfRule type="expression" priority="619" dxfId="472">
      <formula>(ISNUMBER(SEARCH("CMW",$D14)))=TRUE</formula>
    </cfRule>
  </conditionalFormatting>
  <conditionalFormatting sqref="C31">
    <cfRule type="containsText" priority="594" operator="containsText" dxfId="204" text="CONFIG">
      <formula>NOT(ISERROR(SEARCH("CONFIG",C31)))</formula>
    </cfRule>
  </conditionalFormatting>
  <conditionalFormatting sqref="C32">
    <cfRule type="containsText" priority="436" operator="containsText" dxfId="561" text="LIGHT SELECTION">
      <formula>NOT(ISERROR(SEARCH("LIGHT SELECTION",C32)))</formula>
    </cfRule>
  </conditionalFormatting>
  <conditionalFormatting sqref="C37:C38">
    <cfRule type="cellIs" priority="593" operator="lessThan" dxfId="561">
      <formula>1</formula>
    </cfRule>
  </conditionalFormatting>
  <conditionalFormatting sqref="C39:C40">
    <cfRule type="expression" priority="387" dxfId="383">
      <formula>D39="WW PODS"</formula>
    </cfRule>
  </conditionalFormatting>
  <conditionalFormatting sqref="C41">
    <cfRule type="expression" priority="608" dxfId="559">
      <formula>ISNUMBER(SEARCH("UV",D31))</formula>
    </cfRule>
  </conditionalFormatting>
  <conditionalFormatting sqref="C42">
    <cfRule type="expression" priority="591" dxfId="472">
      <formula>(ISNUMBER(SEARCH("CMW",D31)))=TRUE</formula>
    </cfRule>
  </conditionalFormatting>
  <conditionalFormatting sqref="C43">
    <cfRule type="expression" priority="468" dxfId="472">
      <formula>(ISNUMBER(SEARCH("CMW",D31)))=TRUE</formula>
    </cfRule>
  </conditionalFormatting>
  <conditionalFormatting sqref="C44">
    <cfRule type="expression" priority="586" dxfId="472">
      <formula>(ISNUMBER(SEARCH("CMW",$D31)))=TRUE</formula>
    </cfRule>
  </conditionalFormatting>
  <conditionalFormatting sqref="C48">
    <cfRule type="containsText" priority="563" operator="containsText" dxfId="204" text="CONFIG">
      <formula>NOT(ISERROR(SEARCH("CONFIG",C48)))</formula>
    </cfRule>
  </conditionalFormatting>
  <conditionalFormatting sqref="C49">
    <cfRule type="containsText" priority="433" operator="containsText" dxfId="561" text="LIGHT SELECTION">
      <formula>NOT(ISERROR(SEARCH("LIGHT SELECTION",C49)))</formula>
    </cfRule>
  </conditionalFormatting>
  <conditionalFormatting sqref="C54:C55">
    <cfRule type="cellIs" priority="562" operator="lessThan" dxfId="561">
      <formula>1</formula>
    </cfRule>
  </conditionalFormatting>
  <conditionalFormatting sqref="C56:C57">
    <cfRule type="expression" priority="368" dxfId="383">
      <formula>D56="WW PODS"</formula>
    </cfRule>
  </conditionalFormatting>
  <conditionalFormatting sqref="C58">
    <cfRule type="expression" priority="576" dxfId="559">
      <formula>ISNUMBER(SEARCH("UV",D48))</formula>
    </cfRule>
  </conditionalFormatting>
  <conditionalFormatting sqref="C59">
    <cfRule type="expression" priority="560" dxfId="472">
      <formula>(ISNUMBER(SEARCH("CMW",D48)))=TRUE</formula>
    </cfRule>
  </conditionalFormatting>
  <conditionalFormatting sqref="C60">
    <cfRule type="expression" priority="467" dxfId="472">
      <formula>(ISNUMBER(SEARCH("CMW",D48)))=TRUE</formula>
    </cfRule>
  </conditionalFormatting>
  <conditionalFormatting sqref="C61">
    <cfRule type="expression" priority="558" dxfId="472">
      <formula>(ISNUMBER(SEARCH("CMW",$D48)))=TRUE</formula>
    </cfRule>
  </conditionalFormatting>
  <conditionalFormatting sqref="C65">
    <cfRule type="containsText" priority="536" operator="containsText" dxfId="204" text="CONFIG">
      <formula>NOT(ISERROR(SEARCH("CONFIG",C65)))</formula>
    </cfRule>
  </conditionalFormatting>
  <conditionalFormatting sqref="C66">
    <cfRule type="containsText" priority="432" operator="containsText" dxfId="561" text="LIGHT SELECTION">
      <formula>NOT(ISERROR(SEARCH("LIGHT SELECTION",C66)))</formula>
    </cfRule>
  </conditionalFormatting>
  <conditionalFormatting sqref="C71:C72">
    <cfRule type="cellIs" priority="535" operator="lessThan" dxfId="561">
      <formula>1</formula>
    </cfRule>
  </conditionalFormatting>
  <conditionalFormatting sqref="C73:C74">
    <cfRule type="expression" priority="353" dxfId="383">
      <formula>D73="WW PODS"</formula>
    </cfRule>
  </conditionalFormatting>
  <conditionalFormatting sqref="C75">
    <cfRule type="expression" priority="549" dxfId="559">
      <formula>ISNUMBER(SEARCH("UV",D65))</formula>
    </cfRule>
  </conditionalFormatting>
  <conditionalFormatting sqref="C76">
    <cfRule type="expression" priority="532" dxfId="472">
      <formula>(ISNUMBER(SEARCH("CMW",D65)))=TRUE</formula>
    </cfRule>
  </conditionalFormatting>
  <conditionalFormatting sqref="C77">
    <cfRule type="expression" priority="466" dxfId="472">
      <formula>(ISNUMBER(SEARCH("CMW",D65)))=TRUE</formula>
    </cfRule>
  </conditionalFormatting>
  <conditionalFormatting sqref="C78">
    <cfRule type="expression" priority="530" dxfId="472">
      <formula>(ISNUMBER(SEARCH("CMW",$D65)))=TRUE</formula>
    </cfRule>
  </conditionalFormatting>
  <conditionalFormatting sqref="C82">
    <cfRule type="containsText" priority="507" operator="containsText" dxfId="204" text="CONFIG">
      <formula>NOT(ISERROR(SEARCH("CONFIG",C82)))</formula>
    </cfRule>
  </conditionalFormatting>
  <conditionalFormatting sqref="C83">
    <cfRule type="containsText" priority="431" operator="containsText" dxfId="561" text="LIGHT SELECTION">
      <formula>NOT(ISERROR(SEARCH("LIGHT SELECTION",C83)))</formula>
    </cfRule>
  </conditionalFormatting>
  <conditionalFormatting sqref="C88:C89">
    <cfRule type="cellIs" priority="506" operator="lessThan" dxfId="561">
      <formula>1</formula>
    </cfRule>
  </conditionalFormatting>
  <conditionalFormatting sqref="C90:C91">
    <cfRule type="expression" priority="338" dxfId="383">
      <formula>D90="WW PODS"</formula>
    </cfRule>
  </conditionalFormatting>
  <conditionalFormatting sqref="C92">
    <cfRule type="expression" priority="521" dxfId="559">
      <formula>ISNUMBER(SEARCH("UV",D82))</formula>
    </cfRule>
  </conditionalFormatting>
  <conditionalFormatting sqref="C93">
    <cfRule type="expression" priority="503" dxfId="472">
      <formula>(ISNUMBER(SEARCH("CMW",D82)))=TRUE</formula>
    </cfRule>
  </conditionalFormatting>
  <conditionalFormatting sqref="C94">
    <cfRule type="expression" priority="465" dxfId="472">
      <formula>(ISNUMBER(SEARCH("CMW",D82)))=TRUE</formula>
    </cfRule>
  </conditionalFormatting>
  <conditionalFormatting sqref="C95">
    <cfRule type="expression" priority="501" dxfId="472">
      <formula>(ISNUMBER(SEARCH("CMW",$D82)))=TRUE</formula>
    </cfRule>
  </conditionalFormatting>
  <conditionalFormatting sqref="C99">
    <cfRule type="containsText" priority="478" operator="containsText" dxfId="204" text="CONFIG">
      <formula>NOT(ISERROR(SEARCH("CONFIG",C99)))</formula>
    </cfRule>
  </conditionalFormatting>
  <conditionalFormatting sqref="C100">
    <cfRule type="containsText" priority="430" operator="containsText" dxfId="561" text="LIGHT SELECTION">
      <formula>NOT(ISERROR(SEARCH("LIGHT SELECTION",C100)))</formula>
    </cfRule>
  </conditionalFormatting>
  <conditionalFormatting sqref="C105:C106">
    <cfRule type="cellIs" priority="477" operator="lessThan" dxfId="561">
      <formula>1</formula>
    </cfRule>
  </conditionalFormatting>
  <conditionalFormatting sqref="C107:C108">
    <cfRule type="expression" priority="323" dxfId="383">
      <formula>D107="WW PODS"</formula>
    </cfRule>
  </conditionalFormatting>
  <conditionalFormatting sqref="C109">
    <cfRule type="expression" priority="492" dxfId="559">
      <formula>ISNUMBER(SEARCH("UV",D99))</formula>
    </cfRule>
  </conditionalFormatting>
  <conditionalFormatting sqref="C110">
    <cfRule type="expression" priority="475" dxfId="472">
      <formula>(ISNUMBER(SEARCH("CMW",D99)))=TRUE</formula>
    </cfRule>
  </conditionalFormatting>
  <conditionalFormatting sqref="C111">
    <cfRule type="expression" priority="464" dxfId="472">
      <formula>(ISNUMBER(SEARCH("CMW",D99)))=TRUE</formula>
    </cfRule>
  </conditionalFormatting>
  <conditionalFormatting sqref="C112 C129 C146 C163 C180">
    <cfRule type="expression" priority="473" dxfId="472">
      <formula>(ISNUMBER(SEARCH("CMW",$D99)))=TRUE</formula>
    </cfRule>
  </conditionalFormatting>
  <conditionalFormatting sqref="C116">
    <cfRule type="containsText" priority="301" operator="containsText" dxfId="204" text="CONFIG">
      <formula>NOT(ISERROR(SEARCH("CONFIG",C116)))</formula>
    </cfRule>
  </conditionalFormatting>
  <conditionalFormatting sqref="C117">
    <cfRule type="containsText" priority="288" operator="containsText" dxfId="561" text="LIGHT SELECTION">
      <formula>NOT(ISERROR(SEARCH("LIGHT SELECTION",C117)))</formula>
    </cfRule>
  </conditionalFormatting>
  <conditionalFormatting sqref="C122:C123">
    <cfRule type="cellIs" priority="300" operator="lessThan" dxfId="561">
      <formula>1</formula>
    </cfRule>
  </conditionalFormatting>
  <conditionalFormatting sqref="C124:C125">
    <cfRule type="expression" priority="272" dxfId="383">
      <formula>D124="WW PODS"</formula>
    </cfRule>
  </conditionalFormatting>
  <conditionalFormatting sqref="C126">
    <cfRule type="expression" priority="315" dxfId="559">
      <formula>ISNUMBER(SEARCH("UV",D116))</formula>
    </cfRule>
  </conditionalFormatting>
  <conditionalFormatting sqref="C127">
    <cfRule type="expression" priority="298" dxfId="472">
      <formula>(ISNUMBER(SEARCH("CMW",D116)))=TRUE</formula>
    </cfRule>
  </conditionalFormatting>
  <conditionalFormatting sqref="C128">
    <cfRule type="expression" priority="293" dxfId="472">
      <formula>(ISNUMBER(SEARCH("CMW",D116)))=TRUE</formula>
    </cfRule>
  </conditionalFormatting>
  <conditionalFormatting sqref="C133">
    <cfRule type="containsText" priority="246" operator="containsText" dxfId="204" text="CONFIG">
      <formula>NOT(ISERROR(SEARCH("CONFIG",C133)))</formula>
    </cfRule>
  </conditionalFormatting>
  <conditionalFormatting sqref="C134">
    <cfRule type="containsText" priority="233" operator="containsText" dxfId="561" text="LIGHT SELECTION">
      <formula>NOT(ISERROR(SEARCH("LIGHT SELECTION",C134)))</formula>
    </cfRule>
  </conditionalFormatting>
  <conditionalFormatting sqref="C139:C140">
    <cfRule type="cellIs" priority="245" operator="lessThan" dxfId="561">
      <formula>1</formula>
    </cfRule>
  </conditionalFormatting>
  <conditionalFormatting sqref="C141:C142">
    <cfRule type="expression" priority="217" dxfId="383">
      <formula>D141="WW PODS"</formula>
    </cfRule>
  </conditionalFormatting>
  <conditionalFormatting sqref="C143">
    <cfRule type="expression" priority="260" dxfId="559">
      <formula>ISNUMBER(SEARCH("UV",D133))</formula>
    </cfRule>
  </conditionalFormatting>
  <conditionalFormatting sqref="C144">
    <cfRule type="expression" priority="243" dxfId="472">
      <formula>(ISNUMBER(SEARCH("CMW",D133)))=TRUE</formula>
    </cfRule>
  </conditionalFormatting>
  <conditionalFormatting sqref="C145">
    <cfRule type="expression" priority="238" dxfId="472">
      <formula>(ISNUMBER(SEARCH("CMW",D133)))=TRUE</formula>
    </cfRule>
  </conditionalFormatting>
  <conditionalFormatting sqref="C150">
    <cfRule type="containsText" priority="195" operator="containsText" dxfId="204" text="CONFIG">
      <formula>NOT(ISERROR(SEARCH("CONFIG",C150)))</formula>
    </cfRule>
  </conditionalFormatting>
  <conditionalFormatting sqref="C151">
    <cfRule type="containsText" priority="182" operator="containsText" dxfId="561" text="LIGHT SELECTION">
      <formula>NOT(ISERROR(SEARCH("LIGHT SELECTION",C151)))</formula>
    </cfRule>
  </conditionalFormatting>
  <conditionalFormatting sqref="C156:C157">
    <cfRule type="cellIs" priority="194" operator="lessThan" dxfId="561">
      <formula>1</formula>
    </cfRule>
  </conditionalFormatting>
  <conditionalFormatting sqref="C158:C159">
    <cfRule type="expression" priority="166" dxfId="383">
      <formula>D158="WW PODS"</formula>
    </cfRule>
  </conditionalFormatting>
  <conditionalFormatting sqref="C160">
    <cfRule type="expression" priority="209" dxfId="559">
      <formula>ISNUMBER(SEARCH("UV",D150))</formula>
    </cfRule>
  </conditionalFormatting>
  <conditionalFormatting sqref="C161">
    <cfRule type="expression" priority="192" dxfId="472">
      <formula>(ISNUMBER(SEARCH("CMW",D150)))=TRUE</formula>
    </cfRule>
  </conditionalFormatting>
  <conditionalFormatting sqref="C162">
    <cfRule type="expression" priority="187" dxfId="472">
      <formula>(ISNUMBER(SEARCH("CMW",D150)))=TRUE</formula>
    </cfRule>
  </conditionalFormatting>
  <conditionalFormatting sqref="C167">
    <cfRule type="containsText" priority="144" operator="containsText" dxfId="204" text="CONFIG">
      <formula>NOT(ISERROR(SEARCH("CONFIG",C167)))</formula>
    </cfRule>
  </conditionalFormatting>
  <conditionalFormatting sqref="C168">
    <cfRule type="containsText" priority="131" operator="containsText" dxfId="561" text="LIGHT SELECTION">
      <formula>NOT(ISERROR(SEARCH("LIGHT SELECTION",C168)))</formula>
    </cfRule>
  </conditionalFormatting>
  <conditionalFormatting sqref="C173:C174">
    <cfRule type="cellIs" priority="143" operator="lessThan" dxfId="561">
      <formula>1</formula>
    </cfRule>
  </conditionalFormatting>
  <conditionalFormatting sqref="C175:C176">
    <cfRule type="expression" priority="115" dxfId="383">
      <formula>D175="WW PODS"</formula>
    </cfRule>
  </conditionalFormatting>
  <conditionalFormatting sqref="C177">
    <cfRule type="expression" priority="158" dxfId="559">
      <formula>ISNUMBER(SEARCH("UV",D167))</formula>
    </cfRule>
  </conditionalFormatting>
  <conditionalFormatting sqref="C178">
    <cfRule type="expression" priority="141" dxfId="472">
      <formula>(ISNUMBER(SEARCH("CMW",D167)))=TRUE</formula>
    </cfRule>
  </conditionalFormatting>
  <conditionalFormatting sqref="C179">
    <cfRule type="expression" priority="136" dxfId="472">
      <formula>(ISNUMBER(SEARCH("CMW",D167)))=TRUE</formula>
    </cfRule>
  </conditionalFormatting>
  <conditionalFormatting sqref="C183:C184">
    <cfRule type="cellIs" priority="671" operator="lessThan" dxfId="554">
      <formula>1</formula>
    </cfRule>
  </conditionalFormatting>
  <conditionalFormatting sqref="C185">
    <cfRule type="cellIs" priority="660" operator="lessThan" dxfId="164">
      <formula>1</formula>
    </cfRule>
  </conditionalFormatting>
  <conditionalFormatting sqref="C186:C197">
    <cfRule type="cellIs" priority="270" operator="lessThan" dxfId="554">
      <formula>1</formula>
    </cfRule>
  </conditionalFormatting>
  <conditionalFormatting sqref="C9:D9">
    <cfRule type="cellIs" priority="661" operator="lessThan" dxfId="207">
      <formula>0</formula>
    </cfRule>
    <cfRule type="cellIs" priority="662" operator="greaterThan" dxfId="552">
      <formula>0</formula>
    </cfRule>
  </conditionalFormatting>
  <conditionalFormatting sqref="D14">
    <cfRule type="containsText" priority="672" operator="containsText" dxfId="164" text="CANOPY TYPE">
      <formula>NOT(ISERROR(SEARCH("CANOPY TYPE",D14)))</formula>
    </cfRule>
  </conditionalFormatting>
  <conditionalFormatting sqref="D15">
    <cfRule type="expression" priority="425" dxfId="206">
      <formula>(C15="LIGHT SELECTION")</formula>
    </cfRule>
  </conditionalFormatting>
  <conditionalFormatting sqref="D16:D18">
    <cfRule type="expression" priority="627" dxfId="206">
      <formula>($C16="SELECT WORKS")</formula>
    </cfRule>
  </conditionalFormatting>
  <conditionalFormatting sqref="D19">
    <cfRule type="expression" priority="269" dxfId="206">
      <formula>$C19="SELECT CLADDING"</formula>
    </cfRule>
  </conditionalFormatting>
  <conditionalFormatting sqref="D22:D23">
    <cfRule type="expression" priority="408" dxfId="358">
      <formula>($D$14="CANOPY TYPE")</formula>
    </cfRule>
  </conditionalFormatting>
  <conditionalFormatting sqref="D24">
    <cfRule type="expression" priority="685" dxfId="474">
      <formula>ISNUMBER(SEARCH("UV",D14))</formula>
    </cfRule>
  </conditionalFormatting>
  <conditionalFormatting sqref="D25">
    <cfRule type="expression" priority="613" dxfId="358">
      <formula>($D$14="CANOPY TYPE")</formula>
    </cfRule>
  </conditionalFormatting>
  <conditionalFormatting sqref="D26">
    <cfRule type="expression" priority="635" dxfId="472">
      <formula>(ISNUMBER(SEARCH("CMW",D14)))=TRUE</formula>
    </cfRule>
  </conditionalFormatting>
  <conditionalFormatting sqref="D31">
    <cfRule type="containsText" priority="595" operator="containsText" dxfId="164" text="CANOPY TYPE">
      <formula>NOT(ISERROR(SEARCH("CANOPY TYPE",D31)))</formula>
    </cfRule>
  </conditionalFormatting>
  <conditionalFormatting sqref="D32">
    <cfRule type="expression" priority="438" dxfId="206">
      <formula>(C32="LIGHT SELECTION")</formula>
    </cfRule>
  </conditionalFormatting>
  <conditionalFormatting sqref="D33:D35">
    <cfRule type="expression" priority="588" dxfId="206">
      <formula>($C33="SELECT WORKS")</formula>
    </cfRule>
  </conditionalFormatting>
  <conditionalFormatting sqref="D36">
    <cfRule type="expression" priority="417" dxfId="206">
      <formula>$C36="SELECT CLADDING"</formula>
    </cfRule>
  </conditionalFormatting>
  <conditionalFormatting sqref="D39:D40">
    <cfRule type="expression" priority="382" dxfId="358">
      <formula>($D$14="CANOPY TYPE")</formula>
    </cfRule>
  </conditionalFormatting>
  <conditionalFormatting sqref="D41">
    <cfRule type="expression" priority="607" dxfId="474">
      <formula>ISNUMBER(SEARCH("UV",D31))</formula>
    </cfRule>
  </conditionalFormatting>
  <conditionalFormatting sqref="D42">
    <cfRule type="expression" priority="581" dxfId="358">
      <formula>($D$14="CANOPY TYPE")</formula>
    </cfRule>
  </conditionalFormatting>
  <conditionalFormatting sqref="D43">
    <cfRule type="expression" priority="590" dxfId="472">
      <formula>(ISNUMBER(SEARCH("CMW",D31)))=TRUE</formula>
    </cfRule>
  </conditionalFormatting>
  <conditionalFormatting sqref="D48">
    <cfRule type="containsText" priority="420" operator="containsText" dxfId="164" text="CANOPY TYPE">
      <formula>NOT(ISERROR(SEARCH("CANOPY TYPE",D48)))</formula>
    </cfRule>
  </conditionalFormatting>
  <conditionalFormatting sqref="D49">
    <cfRule type="expression" priority="435" dxfId="206">
      <formula>(C15="LIGHT SELECTION")</formula>
    </cfRule>
  </conditionalFormatting>
  <conditionalFormatting sqref="D50:D52">
    <cfRule type="expression" priority="111" dxfId="206">
      <formula>($C50="SELECT WORKS")</formula>
    </cfRule>
  </conditionalFormatting>
  <conditionalFormatting sqref="D53">
    <cfRule type="expression" priority="418" dxfId="206">
      <formula>$C53="SELECT CLADDING"</formula>
    </cfRule>
  </conditionalFormatting>
  <conditionalFormatting sqref="D56:D57">
    <cfRule type="expression" priority="367" dxfId="358">
      <formula>($D$14="CANOPY TYPE")</formula>
    </cfRule>
  </conditionalFormatting>
  <conditionalFormatting sqref="D58">
    <cfRule type="expression" priority="575" dxfId="474">
      <formula>ISNUMBER(SEARCH("UV",D48))</formula>
    </cfRule>
  </conditionalFormatting>
  <conditionalFormatting sqref="D59">
    <cfRule type="expression" priority="554" dxfId="358">
      <formula>($D$14="CANOPY TYPE")</formula>
    </cfRule>
  </conditionalFormatting>
  <conditionalFormatting sqref="D60">
    <cfRule type="expression" priority="559" dxfId="472">
      <formula>(ISNUMBER(SEARCH("CMW",D48)))=TRUE</formula>
    </cfRule>
  </conditionalFormatting>
  <conditionalFormatting sqref="D65">
    <cfRule type="containsText" priority="419" operator="containsText" dxfId="164" text="CANOPY TYPE">
      <formula>NOT(ISERROR(SEARCH("CANOPY TYPE",D65)))</formula>
    </cfRule>
  </conditionalFormatting>
  <conditionalFormatting sqref="D66">
    <cfRule type="expression" priority="428" dxfId="206">
      <formula>(C66="LIGHT SELECTION")</formula>
    </cfRule>
  </conditionalFormatting>
  <conditionalFormatting sqref="D67:D69">
    <cfRule type="expression" priority="97" dxfId="206">
      <formula>($C67="SELECT WORKS")</formula>
    </cfRule>
  </conditionalFormatting>
  <conditionalFormatting sqref="D70">
    <cfRule type="expression" priority="533" dxfId="206">
      <formula>$C70="SELECT CLADDING"</formula>
    </cfRule>
  </conditionalFormatting>
  <conditionalFormatting sqref="D73:D74">
    <cfRule type="expression" priority="352" dxfId="358">
      <formula>($D$14="CANOPY TYPE")</formula>
    </cfRule>
  </conditionalFormatting>
  <conditionalFormatting sqref="D75">
    <cfRule type="expression" priority="548" dxfId="474">
      <formula>ISNUMBER(SEARCH("UV",D65))</formula>
    </cfRule>
  </conditionalFormatting>
  <conditionalFormatting sqref="D76">
    <cfRule type="expression" priority="526" dxfId="358">
      <formula>($D$14="CANOPY TYPE")</formula>
    </cfRule>
  </conditionalFormatting>
  <conditionalFormatting sqref="D77">
    <cfRule type="expression" priority="531" dxfId="472">
      <formula>(ISNUMBER(SEARCH("CMW",D65)))=TRUE</formula>
    </cfRule>
  </conditionalFormatting>
  <conditionalFormatting sqref="D82">
    <cfRule type="containsText" priority="508" operator="containsText" dxfId="164" text="CANOPY TYPE">
      <formula>NOT(ISERROR(SEARCH("CANOPY TYPE",D82)))</formula>
    </cfRule>
  </conditionalFormatting>
  <conditionalFormatting sqref="D83">
    <cfRule type="expression" priority="427" dxfId="206">
      <formula>(C83="LIGHT SELECTION")</formula>
    </cfRule>
  </conditionalFormatting>
  <conditionalFormatting sqref="D84:D86">
    <cfRule type="expression" priority="83" dxfId="206">
      <formula>($C84="SELECT WORKS")</formula>
    </cfRule>
  </conditionalFormatting>
  <conditionalFormatting sqref="D87">
    <cfRule type="expression" priority="504" dxfId="206">
      <formula>$C87="SELECT CLADDING"</formula>
    </cfRule>
  </conditionalFormatting>
  <conditionalFormatting sqref="D90:D91">
    <cfRule type="expression" priority="337" dxfId="358">
      <formula>($D$14="CANOPY TYPE")</formula>
    </cfRule>
  </conditionalFormatting>
  <conditionalFormatting sqref="D92">
    <cfRule type="expression" priority="520" dxfId="474">
      <formula>ISNUMBER(SEARCH("UV",D82))</formula>
    </cfRule>
  </conditionalFormatting>
  <conditionalFormatting sqref="D93">
    <cfRule type="expression" priority="497" dxfId="358">
      <formula>($D$14="CANOPY TYPE")</formula>
    </cfRule>
  </conditionalFormatting>
  <conditionalFormatting sqref="D94">
    <cfRule type="expression" priority="502" dxfId="472">
      <formula>(ISNUMBER(SEARCH("CMW",D82)))=TRUE</formula>
    </cfRule>
  </conditionalFormatting>
  <conditionalFormatting sqref="D99">
    <cfRule type="containsText" priority="479" operator="containsText" dxfId="164" text="CANOPY TYPE">
      <formula>NOT(ISERROR(SEARCH("CANOPY TYPE",D99)))</formula>
    </cfRule>
  </conditionalFormatting>
  <conditionalFormatting sqref="D100">
    <cfRule type="expression" priority="426" dxfId="206">
      <formula>(C100="LIGHT SELECTION")</formula>
    </cfRule>
  </conditionalFormatting>
  <conditionalFormatting sqref="D101:D103">
    <cfRule type="expression" priority="69" dxfId="206">
      <formula>($C101="SELECT WORKS")</formula>
    </cfRule>
  </conditionalFormatting>
  <conditionalFormatting sqref="D104">
    <cfRule type="expression" priority="416" dxfId="206">
      <formula>$C104="SELECT CLADDING"</formula>
    </cfRule>
  </conditionalFormatting>
  <conditionalFormatting sqref="D107:D108">
    <cfRule type="expression" priority="322" dxfId="358">
      <formula>($D$14="CANOPY TYPE")</formula>
    </cfRule>
  </conditionalFormatting>
  <conditionalFormatting sqref="D109">
    <cfRule type="expression" priority="491" dxfId="474">
      <formula>ISNUMBER(SEARCH("UV",D99))</formula>
    </cfRule>
  </conditionalFormatting>
  <conditionalFormatting sqref="D110">
    <cfRule type="expression" priority="469" dxfId="358">
      <formula>($D$14="CANOPY TYPE")</formula>
    </cfRule>
  </conditionalFormatting>
  <conditionalFormatting sqref="D111">
    <cfRule type="expression" priority="474" dxfId="472">
      <formula>(ISNUMBER(SEARCH("CMW",D99)))=TRUE</formula>
    </cfRule>
  </conditionalFormatting>
  <conditionalFormatting sqref="D116">
    <cfRule type="containsText" priority="302" operator="containsText" dxfId="164" text="CANOPY TYPE">
      <formula>NOT(ISERROR(SEARCH("CANOPY TYPE",D116)))</formula>
    </cfRule>
  </conditionalFormatting>
  <conditionalFormatting sqref="D117">
    <cfRule type="expression" priority="287" dxfId="206">
      <formula>(C117="LIGHT SELECTION")</formula>
    </cfRule>
  </conditionalFormatting>
  <conditionalFormatting sqref="D118:D120">
    <cfRule type="expression" priority="55" dxfId="206">
      <formula>($C118="SELECT WORKS")</formula>
    </cfRule>
  </conditionalFormatting>
  <conditionalFormatting sqref="D121">
    <cfRule type="expression" priority="286" dxfId="206">
      <formula>$C121="SELECT CLADDING"</formula>
    </cfRule>
  </conditionalFormatting>
  <conditionalFormatting sqref="D124:D125">
    <cfRule type="expression" priority="271" dxfId="358">
      <formula>($D$14="CANOPY TYPE")</formula>
    </cfRule>
  </conditionalFormatting>
  <conditionalFormatting sqref="D126">
    <cfRule type="expression" priority="314" dxfId="474">
      <formula>ISNUMBER(SEARCH("UV",D116))</formula>
    </cfRule>
  </conditionalFormatting>
  <conditionalFormatting sqref="D127">
    <cfRule type="expression" priority="294" dxfId="358">
      <formula>($D$14="CANOPY TYPE")</formula>
    </cfRule>
  </conditionalFormatting>
  <conditionalFormatting sqref="D128">
    <cfRule type="expression" priority="297" dxfId="472">
      <formula>(ISNUMBER(SEARCH("CMW",D116)))=TRUE</formula>
    </cfRule>
  </conditionalFormatting>
  <conditionalFormatting sqref="D133">
    <cfRule type="containsText" priority="247" operator="containsText" dxfId="164" text="CANOPY TYPE">
      <formula>NOT(ISERROR(SEARCH("CANOPY TYPE",D133)))</formula>
    </cfRule>
  </conditionalFormatting>
  <conditionalFormatting sqref="D134">
    <cfRule type="expression" priority="232" dxfId="206">
      <formula>(C134="LIGHT SELECTION")</formula>
    </cfRule>
  </conditionalFormatting>
  <conditionalFormatting sqref="D135:D137">
    <cfRule type="expression" priority="41" dxfId="206">
      <formula>($C135="SELECT WORKS")</formula>
    </cfRule>
  </conditionalFormatting>
  <conditionalFormatting sqref="D138">
    <cfRule type="expression" priority="231" dxfId="206">
      <formula>$C138="SELECT CLADDING"</formula>
    </cfRule>
  </conditionalFormatting>
  <conditionalFormatting sqref="D141:D142">
    <cfRule type="expression" priority="216" dxfId="358">
      <formula>($D$14="CANOPY TYPE")</formula>
    </cfRule>
  </conditionalFormatting>
  <conditionalFormatting sqref="D143">
    <cfRule type="expression" priority="259" dxfId="474">
      <formula>ISNUMBER(SEARCH("UV",D133))</formula>
    </cfRule>
  </conditionalFormatting>
  <conditionalFormatting sqref="D144">
    <cfRule type="expression" priority="239" dxfId="358">
      <formula>($D$14="CANOPY TYPE")</formula>
    </cfRule>
  </conditionalFormatting>
  <conditionalFormatting sqref="D145">
    <cfRule type="expression" priority="242" dxfId="472">
      <formula>(ISNUMBER(SEARCH("CMW",D133)))=TRUE</formula>
    </cfRule>
  </conditionalFormatting>
  <conditionalFormatting sqref="D150">
    <cfRule type="containsText" priority="196" operator="containsText" dxfId="164" text="CANOPY TYPE">
      <formula>NOT(ISERROR(SEARCH("CANOPY TYPE",D150)))</formula>
    </cfRule>
  </conditionalFormatting>
  <conditionalFormatting sqref="D151">
    <cfRule type="expression" priority="181" dxfId="206">
      <formula>(C151="LIGHT SELECTION")</formula>
    </cfRule>
  </conditionalFormatting>
  <conditionalFormatting sqref="D152:D154">
    <cfRule type="expression" priority="27" dxfId="206">
      <formula>($C152="SELECT WORKS")</formula>
    </cfRule>
  </conditionalFormatting>
  <conditionalFormatting sqref="D155">
    <cfRule type="expression" priority="180" dxfId="206">
      <formula>$C155="SELECT CLADDING"</formula>
    </cfRule>
  </conditionalFormatting>
  <conditionalFormatting sqref="D158:D159">
    <cfRule type="expression" priority="165" dxfId="358">
      <formula>($D$14="CANOPY TYPE")</formula>
    </cfRule>
  </conditionalFormatting>
  <conditionalFormatting sqref="D160">
    <cfRule type="expression" priority="208" dxfId="474">
      <formula>ISNUMBER(SEARCH("UV",D150))</formula>
    </cfRule>
  </conditionalFormatting>
  <conditionalFormatting sqref="D161">
    <cfRule type="expression" priority="188" dxfId="358">
      <formula>($D$14="CANOPY TYPE")</formula>
    </cfRule>
  </conditionalFormatting>
  <conditionalFormatting sqref="D162">
    <cfRule type="expression" priority="191" dxfId="472">
      <formula>(ISNUMBER(SEARCH("CMW",D150)))=TRUE</formula>
    </cfRule>
  </conditionalFormatting>
  <conditionalFormatting sqref="D167">
    <cfRule type="containsText" priority="145" operator="containsText" dxfId="164" text="CANOPY TYPE">
      <formula>NOT(ISERROR(SEARCH("CANOPY TYPE",D167)))</formula>
    </cfRule>
  </conditionalFormatting>
  <conditionalFormatting sqref="D168">
    <cfRule type="expression" priority="130" dxfId="206">
      <formula>(C168="LIGHT SELECTION")</formula>
    </cfRule>
  </conditionalFormatting>
  <conditionalFormatting sqref="D169:D171">
    <cfRule type="expression" priority="13" dxfId="206">
      <formula>($C169="SELECT WORKS")</formula>
    </cfRule>
  </conditionalFormatting>
  <conditionalFormatting sqref="D172">
    <cfRule type="expression" priority="129" dxfId="206">
      <formula>$C172="SELECT CLADDING"</formula>
    </cfRule>
  </conditionalFormatting>
  <conditionalFormatting sqref="D175:D176">
    <cfRule type="expression" priority="114" dxfId="358">
      <formula>($D$14="CANOPY TYPE")</formula>
    </cfRule>
  </conditionalFormatting>
  <conditionalFormatting sqref="D177">
    <cfRule type="expression" priority="157" dxfId="474">
      <formula>ISNUMBER(SEARCH("UV",D167))</formula>
    </cfRule>
  </conditionalFormatting>
  <conditionalFormatting sqref="D178">
    <cfRule type="expression" priority="137" dxfId="358">
      <formula>($D$14="CANOPY TYPE")</formula>
    </cfRule>
  </conditionalFormatting>
  <conditionalFormatting sqref="D179">
    <cfRule type="expression" priority="140" dxfId="472">
      <formula>(ISNUMBER(SEARCH("CMW",D167)))=TRUE</formula>
    </cfRule>
  </conditionalFormatting>
  <conditionalFormatting sqref="E12">
    <cfRule type="cellIs" priority="684" operator="greaterThan" dxfId="204">
      <formula>2000</formula>
    </cfRule>
    <cfRule type="expression" priority="683" dxfId="387">
      <formula>ISNUMBER(SEARCH("I-MUAP",$D$14))</formula>
    </cfRule>
    <cfRule type="expression" priority="682" dxfId="386">
      <formula>AND((ISNUMBER(SEARCH("I-MUAP",$D$14))),E12&lt;2500)</formula>
    </cfRule>
  </conditionalFormatting>
  <conditionalFormatting sqref="E15">
    <cfRule type="expression" priority="423" dxfId="315">
      <formula>(C15="LIGHT SELECTION")</formula>
    </cfRule>
  </conditionalFormatting>
  <conditionalFormatting sqref="E16:E18">
    <cfRule type="expression" priority="113" dxfId="381">
      <formula>$C16="SELECT WORKS"</formula>
    </cfRule>
  </conditionalFormatting>
  <conditionalFormatting sqref="E22:E23">
    <cfRule type="expression" priority="665" dxfId="384">
      <formula>D22="WW PODS"</formula>
    </cfRule>
    <cfRule type="expression" priority="666" dxfId="383">
      <formula>D22="FILTER TYPE"</formula>
    </cfRule>
    <cfRule type="expression" priority="667" dxfId="382">
      <formula>D22="KSA"</formula>
    </cfRule>
    <cfRule type="expression" priority="687" dxfId="381">
      <formula>(D14="CANOPY TYPE")</formula>
    </cfRule>
  </conditionalFormatting>
  <conditionalFormatting sqref="E24">
    <cfRule type="containsText" priority="674" operator="containsText" dxfId="380" text="LONG ">
      <formula>NOT(ISERROR(SEARCH("LONG ",E24)))</formula>
    </cfRule>
  </conditionalFormatting>
  <conditionalFormatting sqref="E29">
    <cfRule type="expression" priority="604" dxfId="386">
      <formula>AND((ISNUMBER(SEARCH("I-MUAP",$D$14))),E29&lt;2500)</formula>
    </cfRule>
    <cfRule type="expression" priority="605" dxfId="387">
      <formula>ISNUMBER(SEARCH("I-MUAP",$D$14))</formula>
    </cfRule>
    <cfRule type="cellIs" priority="606" operator="greaterThan" dxfId="204">
      <formula>2000</formula>
    </cfRule>
  </conditionalFormatting>
  <conditionalFormatting sqref="E33:E34">
    <cfRule type="expression" priority="587" dxfId="381">
      <formula>$C33="SELECT WORKS"</formula>
    </cfRule>
  </conditionalFormatting>
  <conditionalFormatting sqref="E39:E40">
    <cfRule type="expression" priority="397" dxfId="382">
      <formula>D39="KSA"</formula>
    </cfRule>
    <cfRule type="expression" priority="398" dxfId="381">
      <formula>(D31="CANOPY TYPE")</formula>
    </cfRule>
    <cfRule type="expression" priority="396" dxfId="383">
      <formula>D39="FILTER TYPE"</formula>
    </cfRule>
    <cfRule type="expression" priority="395" dxfId="384">
      <formula>D39="WW PODS"</formula>
    </cfRule>
  </conditionalFormatting>
  <conditionalFormatting sqref="E41">
    <cfRule type="containsText" priority="597" operator="containsText" dxfId="380" text="LONG ">
      <formula>NOT(ISERROR(SEARCH("LONG ",E41)))</formula>
    </cfRule>
  </conditionalFormatting>
  <conditionalFormatting sqref="E46">
    <cfRule type="cellIs" priority="574" operator="greaterThan" dxfId="204">
      <formula>2000</formula>
    </cfRule>
    <cfRule type="expression" priority="573" dxfId="387">
      <formula>ISNUMBER(SEARCH("I-MUAP",$D$14))</formula>
    </cfRule>
    <cfRule type="expression" priority="572" dxfId="386">
      <formula>AND((ISNUMBER(SEARCH("I-MUAP",$D$14))),E46&lt;2500)</formula>
    </cfRule>
  </conditionalFormatting>
  <conditionalFormatting sqref="E49">
    <cfRule type="expression" priority="437" dxfId="315">
      <formula>(C49="LIGHT SELECTION")</formula>
    </cfRule>
  </conditionalFormatting>
  <conditionalFormatting sqref="E50:E52">
    <cfRule type="expression" priority="110" dxfId="381">
      <formula>$C50="SELECT WORKS"</formula>
    </cfRule>
  </conditionalFormatting>
  <conditionalFormatting sqref="E56:E57">
    <cfRule type="expression" priority="369" dxfId="384">
      <formula>D56="WW PODS"</formula>
    </cfRule>
    <cfRule type="expression" priority="370" dxfId="383">
      <formula>D56="FILTER TYPE"</formula>
    </cfRule>
    <cfRule type="expression" priority="372" dxfId="381">
      <formula>(D48="CANOPY TYPE")</formula>
    </cfRule>
    <cfRule type="expression" priority="371" dxfId="382">
      <formula>D56="KSA"</formula>
    </cfRule>
  </conditionalFormatting>
  <conditionalFormatting sqref="E58">
    <cfRule type="containsText" priority="565" operator="containsText" dxfId="380" text="LONG ">
      <formula>NOT(ISERROR(SEARCH("LONG ",E58)))</formula>
    </cfRule>
  </conditionalFormatting>
  <conditionalFormatting sqref="E63">
    <cfRule type="cellIs" priority="547" operator="greaterThan" dxfId="204">
      <formula>2000</formula>
    </cfRule>
    <cfRule type="expression" priority="546" dxfId="387">
      <formula>ISNUMBER(SEARCH("I-MUAP",$D$14))</formula>
    </cfRule>
    <cfRule type="expression" priority="545" dxfId="386">
      <formula>AND((ISNUMBER(SEARCH("I-MUAP",$D$14))),E63&lt;2500)</formula>
    </cfRule>
  </conditionalFormatting>
  <conditionalFormatting sqref="E67:E69">
    <cfRule type="expression" priority="96" dxfId="381">
      <formula>$C67="SELECT WORKS"</formula>
    </cfRule>
  </conditionalFormatting>
  <conditionalFormatting sqref="E73:E74">
    <cfRule type="expression" priority="354" dxfId="384">
      <formula>D73="WW PODS"</formula>
    </cfRule>
    <cfRule type="expression" priority="356" dxfId="382">
      <formula>D73="KSA"</formula>
    </cfRule>
    <cfRule type="expression" priority="357" dxfId="381">
      <formula>(D65="CANOPY TYPE")</formula>
    </cfRule>
    <cfRule type="expression" priority="355" dxfId="383">
      <formula>D73="FILTER TYPE"</formula>
    </cfRule>
  </conditionalFormatting>
  <conditionalFormatting sqref="E75">
    <cfRule type="containsText" priority="538" operator="containsText" dxfId="380" text="LONG ">
      <formula>NOT(ISERROR(SEARCH("LONG ",E75)))</formula>
    </cfRule>
  </conditionalFormatting>
  <conditionalFormatting sqref="E80">
    <cfRule type="cellIs" priority="519" operator="greaterThan" dxfId="204">
      <formula>2000</formula>
    </cfRule>
    <cfRule type="expression" priority="517" dxfId="386">
      <formula>AND((ISNUMBER(SEARCH("I-MUAP",$D$14))),E80&lt;2500)</formula>
    </cfRule>
    <cfRule type="expression" priority="518" dxfId="387">
      <formula>ISNUMBER(SEARCH("I-MUAP",$D$14))</formula>
    </cfRule>
  </conditionalFormatting>
  <conditionalFormatting sqref="E84:E86">
    <cfRule type="expression" priority="82" dxfId="381">
      <formula>$C84="SELECT WORKS"</formula>
    </cfRule>
  </conditionalFormatting>
  <conditionalFormatting sqref="E90:E91">
    <cfRule type="expression" priority="342" dxfId="381">
      <formula>(D82="CANOPY TYPE")</formula>
    </cfRule>
    <cfRule type="expression" priority="339" dxfId="384">
      <formula>D90="WW PODS"</formula>
    </cfRule>
    <cfRule type="expression" priority="340" dxfId="383">
      <formula>D90="FILTER TYPE"</formula>
    </cfRule>
    <cfRule type="expression" priority="341" dxfId="382">
      <formula>D90="KSA"</formula>
    </cfRule>
  </conditionalFormatting>
  <conditionalFormatting sqref="E92">
    <cfRule type="containsText" priority="510" operator="containsText" dxfId="380" text="LONG ">
      <formula>NOT(ISERROR(SEARCH("LONG ",E92)))</formula>
    </cfRule>
  </conditionalFormatting>
  <conditionalFormatting sqref="E97">
    <cfRule type="expression" priority="489" dxfId="387">
      <formula>ISNUMBER(SEARCH("I-MUAP",$D$14))</formula>
    </cfRule>
    <cfRule type="cellIs" priority="490" operator="greaterThan" dxfId="204">
      <formula>2000</formula>
    </cfRule>
    <cfRule type="expression" priority="488" dxfId="386">
      <formula>AND((ISNUMBER(SEARCH("I-MUAP",$D$14))),E97&lt;2500)</formula>
    </cfRule>
  </conditionalFormatting>
  <conditionalFormatting sqref="E101:E103">
    <cfRule type="expression" priority="68" dxfId="381">
      <formula>$C101="SELECT WORKS"</formula>
    </cfRule>
  </conditionalFormatting>
  <conditionalFormatting sqref="E107:E108">
    <cfRule type="expression" priority="324" dxfId="384">
      <formula>D107="WW PODS"</formula>
    </cfRule>
    <cfRule type="expression" priority="325" dxfId="383">
      <formula>D107="FILTER TYPE"</formula>
    </cfRule>
    <cfRule type="expression" priority="326" dxfId="382">
      <formula>D107="KSA"</formula>
    </cfRule>
    <cfRule type="expression" priority="327" dxfId="381">
      <formula>(D99="CANOPY TYPE")</formula>
    </cfRule>
  </conditionalFormatting>
  <conditionalFormatting sqref="E109">
    <cfRule type="containsText" priority="481" operator="containsText" dxfId="380" text="LONG ">
      <formula>NOT(ISERROR(SEARCH("LONG ",E109)))</formula>
    </cfRule>
  </conditionalFormatting>
  <conditionalFormatting sqref="E114">
    <cfRule type="cellIs" priority="313" operator="greaterThan" dxfId="204">
      <formula>2000</formula>
    </cfRule>
    <cfRule type="expression" priority="312" dxfId="387">
      <formula>ISNUMBER(SEARCH("I-MUAP",$D$14))</formula>
    </cfRule>
    <cfRule type="expression" priority="311" dxfId="386">
      <formula>AND((ISNUMBER(SEARCH("I-MUAP",$D$14))),E114&lt;2500)</formula>
    </cfRule>
  </conditionalFormatting>
  <conditionalFormatting sqref="E118:E120">
    <cfRule type="expression" priority="54" dxfId="381">
      <formula>$C118="SELECT WORKS"</formula>
    </cfRule>
  </conditionalFormatting>
  <conditionalFormatting sqref="E124:E125">
    <cfRule type="expression" priority="273" dxfId="384">
      <formula>D124="WW PODS"</formula>
    </cfRule>
    <cfRule type="expression" priority="276" dxfId="381">
      <formula>(D116="CANOPY TYPE")</formula>
    </cfRule>
    <cfRule type="expression" priority="275" dxfId="382">
      <formula>D124="KSA"</formula>
    </cfRule>
    <cfRule type="expression" priority="274" dxfId="383">
      <formula>D124="FILTER TYPE"</formula>
    </cfRule>
  </conditionalFormatting>
  <conditionalFormatting sqref="E126">
    <cfRule type="containsText" priority="304" operator="containsText" dxfId="380" text="LONG ">
      <formula>NOT(ISERROR(SEARCH("LONG ",E126)))</formula>
    </cfRule>
  </conditionalFormatting>
  <conditionalFormatting sqref="E131">
    <cfRule type="expression" priority="257" dxfId="387">
      <formula>ISNUMBER(SEARCH("I-MUAP",$D$14))</formula>
    </cfRule>
    <cfRule type="cellIs" priority="258" operator="greaterThan" dxfId="204">
      <formula>2000</formula>
    </cfRule>
    <cfRule type="expression" priority="256" dxfId="386">
      <formula>AND((ISNUMBER(SEARCH("I-MUAP",$D$14))),E131&lt;2500)</formula>
    </cfRule>
  </conditionalFormatting>
  <conditionalFormatting sqref="E135:E137">
    <cfRule type="expression" priority="40" dxfId="381">
      <formula>$C135="SELECT WORKS"</formula>
    </cfRule>
  </conditionalFormatting>
  <conditionalFormatting sqref="E141:E142">
    <cfRule type="expression" priority="221" dxfId="381">
      <formula>(D133="CANOPY TYPE")</formula>
    </cfRule>
    <cfRule type="expression" priority="220" dxfId="382">
      <formula>D141="KSA"</formula>
    </cfRule>
    <cfRule type="expression" priority="218" dxfId="384">
      <formula>D141="WW PODS"</formula>
    </cfRule>
    <cfRule type="expression" priority="219" dxfId="383">
      <formula>D141="FILTER TYPE"</formula>
    </cfRule>
  </conditionalFormatting>
  <conditionalFormatting sqref="E143">
    <cfRule type="containsText" priority="249" operator="containsText" dxfId="380" text="LONG ">
      <formula>NOT(ISERROR(SEARCH("LONG ",E143)))</formula>
    </cfRule>
  </conditionalFormatting>
  <conditionalFormatting sqref="E148">
    <cfRule type="cellIs" priority="207" operator="greaterThan" dxfId="204">
      <formula>2000</formula>
    </cfRule>
    <cfRule type="expression" priority="206" dxfId="387">
      <formula>ISNUMBER(SEARCH("I-MUAP",$D$14))</formula>
    </cfRule>
    <cfRule type="expression" priority="205" dxfId="386">
      <formula>AND((ISNUMBER(SEARCH("I-MUAP",$D$14))),E148&lt;2500)</formula>
    </cfRule>
  </conditionalFormatting>
  <conditionalFormatting sqref="E152:E154">
    <cfRule type="expression" priority="26" dxfId="381">
      <formula>$C152="SELECT WORKS"</formula>
    </cfRule>
  </conditionalFormatting>
  <conditionalFormatting sqref="E158:E159">
    <cfRule type="expression" priority="169" dxfId="382">
      <formula>D158="KSA"</formula>
    </cfRule>
    <cfRule type="expression" priority="167" dxfId="384">
      <formula>D158="WW PODS"</formula>
    </cfRule>
    <cfRule type="expression" priority="168" dxfId="383">
      <formula>D158="FILTER TYPE"</formula>
    </cfRule>
    <cfRule type="expression" priority="170" dxfId="381">
      <formula>(D150="CANOPY TYPE")</formula>
    </cfRule>
  </conditionalFormatting>
  <conditionalFormatting sqref="E160">
    <cfRule type="containsText" priority="198" operator="containsText" dxfId="380" text="LONG ">
      <formula>NOT(ISERROR(SEARCH("LONG ",E160)))</formula>
    </cfRule>
  </conditionalFormatting>
  <conditionalFormatting sqref="E165">
    <cfRule type="cellIs" priority="156" operator="greaterThan" dxfId="204">
      <formula>2000</formula>
    </cfRule>
    <cfRule type="expression" priority="155" dxfId="387">
      <formula>ISNUMBER(SEARCH("I-MUAP",$D$14))</formula>
    </cfRule>
    <cfRule type="expression" priority="154" dxfId="386">
      <formula>AND((ISNUMBER(SEARCH("I-MUAP",$D$14))),E165&lt;2500)</formula>
    </cfRule>
  </conditionalFormatting>
  <conditionalFormatting sqref="E169:E171">
    <cfRule type="expression" priority="12" dxfId="381">
      <formula>$C169="SELECT WORKS"</formula>
    </cfRule>
  </conditionalFormatting>
  <conditionalFormatting sqref="E175:E176">
    <cfRule type="expression" priority="116" dxfId="384">
      <formula>D175="WW PODS"</formula>
    </cfRule>
    <cfRule type="expression" priority="117" dxfId="383">
      <formula>D175="FILTER TYPE"</formula>
    </cfRule>
    <cfRule type="expression" priority="118" dxfId="382">
      <formula>D175="KSA"</formula>
    </cfRule>
    <cfRule type="expression" priority="119" dxfId="381">
      <formula>(D167="CANOPY TYPE")</formula>
    </cfRule>
  </conditionalFormatting>
  <conditionalFormatting sqref="E177">
    <cfRule type="containsText" priority="147" operator="containsText" dxfId="380" text="LONG ">
      <formula>NOT(ISERROR(SEARCH("LONG ",E177)))</formula>
    </cfRule>
  </conditionalFormatting>
  <conditionalFormatting sqref="E12:F12">
    <cfRule type="cellIs" priority="678" operator="lessThan" dxfId="204">
      <formula>1000</formula>
    </cfRule>
  </conditionalFormatting>
  <conditionalFormatting sqref="E14:F14">
    <cfRule type="cellIs" priority="675" operator="lessThan" dxfId="164">
      <formula>1000</formula>
    </cfRule>
  </conditionalFormatting>
  <conditionalFormatting sqref="E25:F27">
    <cfRule type="expression" priority="614" dxfId="358">
      <formula>($D$14="CANOPY TYPE")</formula>
    </cfRule>
  </conditionalFormatting>
  <conditionalFormatting sqref="E29:F29">
    <cfRule type="cellIs" priority="601" operator="lessThan" dxfId="204">
      <formula>1000</formula>
    </cfRule>
  </conditionalFormatting>
  <conditionalFormatting sqref="E31:F31">
    <cfRule type="cellIs" priority="598" operator="lessThan" dxfId="164">
      <formula>1000</formula>
    </cfRule>
  </conditionalFormatting>
  <conditionalFormatting sqref="E32:F32">
    <cfRule type="expression" priority="461" dxfId="315">
      <formula>(C32="LIGHT SELECTION")</formula>
    </cfRule>
  </conditionalFormatting>
  <conditionalFormatting sqref="E42:F44">
    <cfRule type="expression" priority="582" dxfId="358">
      <formula>($D$14="CANOPY TYPE")</formula>
    </cfRule>
  </conditionalFormatting>
  <conditionalFormatting sqref="E46:F46">
    <cfRule type="cellIs" priority="569" operator="lessThan" dxfId="204">
      <formula>1000</formula>
    </cfRule>
  </conditionalFormatting>
  <conditionalFormatting sqref="E48:F48">
    <cfRule type="cellIs" priority="566" operator="lessThan" dxfId="164">
      <formula>1000</formula>
    </cfRule>
  </conditionalFormatting>
  <conditionalFormatting sqref="E59:F61">
    <cfRule type="expression" priority="555" dxfId="358">
      <formula>($D$14="CANOPY TYPE")</formula>
    </cfRule>
  </conditionalFormatting>
  <conditionalFormatting sqref="E63:F63">
    <cfRule type="cellIs" priority="542" operator="lessThan" dxfId="204">
      <formula>1000</formula>
    </cfRule>
  </conditionalFormatting>
  <conditionalFormatting sqref="E65:F65">
    <cfRule type="cellIs" priority="539" operator="lessThan" dxfId="164">
      <formula>1000</formula>
    </cfRule>
  </conditionalFormatting>
  <conditionalFormatting sqref="E66:F66">
    <cfRule type="expression" priority="454" dxfId="315">
      <formula>(C66="LIGHT SELECTION")</formula>
    </cfRule>
  </conditionalFormatting>
  <conditionalFormatting sqref="E76:F78">
    <cfRule type="expression" priority="527" dxfId="358">
      <formula>($D$14="CANOPY TYPE")</formula>
    </cfRule>
  </conditionalFormatting>
  <conditionalFormatting sqref="E80:F80">
    <cfRule type="cellIs" priority="514" operator="lessThan" dxfId="204">
      <formula>1000</formula>
    </cfRule>
  </conditionalFormatting>
  <conditionalFormatting sqref="E82:F82">
    <cfRule type="cellIs" priority="511" operator="lessThan" dxfId="164">
      <formula>1000</formula>
    </cfRule>
  </conditionalFormatting>
  <conditionalFormatting sqref="E83:F83">
    <cfRule type="expression" priority="450" dxfId="315">
      <formula>(C83="LIGHT SELECTION")</formula>
    </cfRule>
  </conditionalFormatting>
  <conditionalFormatting sqref="E93:F95">
    <cfRule type="expression" priority="498" dxfId="358">
      <formula>($D$14="CANOPY TYPE")</formula>
    </cfRule>
  </conditionalFormatting>
  <conditionalFormatting sqref="E97:F97">
    <cfRule type="cellIs" priority="485" operator="lessThan" dxfId="204">
      <formula>1000</formula>
    </cfRule>
  </conditionalFormatting>
  <conditionalFormatting sqref="E99:F99">
    <cfRule type="cellIs" priority="482" operator="lessThan" dxfId="164">
      <formula>1000</formula>
    </cfRule>
  </conditionalFormatting>
  <conditionalFormatting sqref="E100:F100">
    <cfRule type="expression" priority="446" dxfId="315">
      <formula>(C100="LIGHT SELECTION")</formula>
    </cfRule>
  </conditionalFormatting>
  <conditionalFormatting sqref="E110:F112 E127:F129 E144:F146 E161:F163 E178:F180">
    <cfRule type="expression" priority="470" dxfId="358">
      <formula>($D$14="CANOPY TYPE")</formula>
    </cfRule>
  </conditionalFormatting>
  <conditionalFormatting sqref="E114:F114">
    <cfRule type="cellIs" priority="308" operator="lessThan" dxfId="204">
      <formula>1000</formula>
    </cfRule>
  </conditionalFormatting>
  <conditionalFormatting sqref="E116:F116">
    <cfRule type="cellIs" priority="305" operator="lessThan" dxfId="164">
      <formula>1000</formula>
    </cfRule>
  </conditionalFormatting>
  <conditionalFormatting sqref="E117:F117">
    <cfRule type="expression" priority="291" dxfId="315">
      <formula>(C117="LIGHT SELECTION")</formula>
    </cfRule>
  </conditionalFormatting>
  <conditionalFormatting sqref="E131:F131">
    <cfRule type="cellIs" priority="253" operator="lessThan" dxfId="204">
      <formula>1000</formula>
    </cfRule>
  </conditionalFormatting>
  <conditionalFormatting sqref="E133:F133">
    <cfRule type="cellIs" priority="250" operator="lessThan" dxfId="164">
      <formula>1000</formula>
    </cfRule>
  </conditionalFormatting>
  <conditionalFormatting sqref="E134:F134">
    <cfRule type="expression" priority="236" dxfId="315">
      <formula>(C134="LIGHT SELECTION")</formula>
    </cfRule>
  </conditionalFormatting>
  <conditionalFormatting sqref="E148:F148">
    <cfRule type="cellIs" priority="202" operator="lessThan" dxfId="204">
      <formula>1000</formula>
    </cfRule>
  </conditionalFormatting>
  <conditionalFormatting sqref="E150:F150">
    <cfRule type="cellIs" priority="199" operator="lessThan" dxfId="164">
      <formula>1000</formula>
    </cfRule>
  </conditionalFormatting>
  <conditionalFormatting sqref="E151:F151">
    <cfRule type="expression" priority="185" dxfId="315">
      <formula>(C151="LIGHT SELECTION")</formula>
    </cfRule>
  </conditionalFormatting>
  <conditionalFormatting sqref="E165:F165">
    <cfRule type="cellIs" priority="151" operator="lessThan" dxfId="204">
      <formula>1000</formula>
    </cfRule>
  </conditionalFormatting>
  <conditionalFormatting sqref="E167:F167">
    <cfRule type="cellIs" priority="148" operator="lessThan" dxfId="164">
      <formula>1000</formula>
    </cfRule>
  </conditionalFormatting>
  <conditionalFormatting sqref="E168:F168">
    <cfRule type="expression" priority="134" dxfId="315">
      <formula>(C168="LIGHT SELECTION")</formula>
    </cfRule>
  </conditionalFormatting>
  <conditionalFormatting sqref="F12">
    <cfRule type="cellIs" priority="679" operator="greaterThan" dxfId="204">
      <formula>3001</formula>
    </cfRule>
  </conditionalFormatting>
  <conditionalFormatting sqref="F15">
    <cfRule type="expression" priority="668" dxfId="215">
      <formula>(C15="LIGHT SELECTION")</formula>
    </cfRule>
    <cfRule type="expression" priority="670" dxfId="216">
      <formula>(C15="FLO")</formula>
    </cfRule>
    <cfRule type="expression" priority="463" dxfId="214">
      <formula>(C15="LED STRIP")</formula>
    </cfRule>
    <cfRule type="expression" priority="701" dxfId="315">
      <formula>(D49="LIGHT SELECTION")</formula>
    </cfRule>
  </conditionalFormatting>
  <conditionalFormatting sqref="F22:F23">
    <cfRule type="expression" priority="700" dxfId="205">
      <formula>D22="KSA"</formula>
    </cfRule>
    <cfRule type="expression" priority="692" dxfId="206">
      <formula>D22="NF"</formula>
    </cfRule>
    <cfRule type="expression" priority="693" dxfId="208">
      <formula>D22="WW PODS"</formula>
    </cfRule>
    <cfRule type="expression" priority="694" dxfId="206">
      <formula>D22="GRILLE"</formula>
    </cfRule>
    <cfRule type="expression" priority="695" dxfId="206">
      <formula>D22="CENTREX"</formula>
    </cfRule>
    <cfRule type="expression" priority="696" dxfId="206" stopIfTrue="1">
      <formula>D14="canopy type"</formula>
    </cfRule>
    <cfRule type="expression" priority="697" dxfId="207">
      <formula>(((I14*3600)/(C22*I11))^2+20)&gt;300</formula>
    </cfRule>
    <cfRule type="expression" priority="698" dxfId="205" stopIfTrue="1">
      <formula>(ISNUMBER(SEARCH("UV",D14)))</formula>
    </cfRule>
    <cfRule type="expression" priority="699" dxfId="207">
      <formula>(((I14*3600)/(C22*I11))^2+20)&gt;180</formula>
    </cfRule>
  </conditionalFormatting>
  <conditionalFormatting sqref="F24">
    <cfRule type="cellIs" priority="673" operator="lessThan" dxfId="204">
      <formula>2100</formula>
    </cfRule>
  </conditionalFormatting>
  <conditionalFormatting sqref="F29">
    <cfRule type="cellIs" priority="602" operator="greaterThan" dxfId="204">
      <formula>3001</formula>
    </cfRule>
  </conditionalFormatting>
  <conditionalFormatting sqref="F32">
    <cfRule type="expression" priority="462" dxfId="216">
      <formula>(C32="FLO")</formula>
    </cfRule>
    <cfRule type="expression" priority="460" dxfId="215">
      <formula>(C32="LIGHT SELECTION")</formula>
    </cfRule>
    <cfRule type="expression" priority="459" dxfId="214">
      <formula>(C32="LED STRIP")</formula>
    </cfRule>
  </conditionalFormatting>
  <conditionalFormatting sqref="F39:F40">
    <cfRule type="expression" priority="406" dxfId="207">
      <formula>(((I31*3600)/(C39*I28))^2+20)&gt;180</formula>
    </cfRule>
    <cfRule type="expression" priority="407" dxfId="205">
      <formula>D39="KSA"</formula>
    </cfRule>
    <cfRule type="expression" priority="399" dxfId="206">
      <formula>D39="NF"</formula>
    </cfRule>
    <cfRule type="expression" priority="400" dxfId="208">
      <formula>D39="WW PODS"</formula>
    </cfRule>
    <cfRule type="expression" priority="401" dxfId="206">
      <formula>D39="GRILLE"</formula>
    </cfRule>
    <cfRule type="expression" priority="402" dxfId="206">
      <formula>D39="CENTREX"</formula>
    </cfRule>
    <cfRule type="expression" priority="403" dxfId="206" stopIfTrue="1">
      <formula>D31="canopy type"</formula>
    </cfRule>
    <cfRule type="expression" priority="404" dxfId="207">
      <formula>(((I31*3600)/(C39*I28))^2+20)&gt;300</formula>
    </cfRule>
    <cfRule type="expression" priority="405" dxfId="205" stopIfTrue="1">
      <formula>(ISNUMBER(SEARCH("UV",D31)))</formula>
    </cfRule>
  </conditionalFormatting>
  <conditionalFormatting sqref="F41">
    <cfRule type="cellIs" priority="596" operator="lessThan" dxfId="204">
      <formula>2100</formula>
    </cfRule>
  </conditionalFormatting>
  <conditionalFormatting sqref="F46">
    <cfRule type="cellIs" priority="570" operator="greaterThan" dxfId="204">
      <formula>3001</formula>
    </cfRule>
  </conditionalFormatting>
  <conditionalFormatting sqref="F49">
    <cfRule type="expression" priority="702" dxfId="315">
      <formula>(#REF!="LIGHT SELECTION")</formula>
    </cfRule>
    <cfRule type="expression" priority="458" dxfId="216">
      <formula>(C49="FLO")</formula>
    </cfRule>
    <cfRule type="expression" priority="457" dxfId="215">
      <formula>(C49="LIGHT SELECTION")</formula>
    </cfRule>
    <cfRule type="expression" priority="456" dxfId="214">
      <formula>(C49="LED STRIP")</formula>
    </cfRule>
  </conditionalFormatting>
  <conditionalFormatting sqref="F56:F57">
    <cfRule type="expression" priority="379" dxfId="205" stopIfTrue="1">
      <formula>(ISNUMBER(SEARCH("UV",D48)))</formula>
    </cfRule>
    <cfRule type="expression" priority="380" dxfId="207">
      <formula>(((I48*3600)/(C56*I45))^2+20)&gt;180</formula>
    </cfRule>
    <cfRule type="expression" priority="378" dxfId="207">
      <formula>(((I48*3600)/(C56*I45))^2+20)&gt;300</formula>
    </cfRule>
    <cfRule type="expression" priority="377" dxfId="206" stopIfTrue="1">
      <formula>D48="canopy type"</formula>
    </cfRule>
    <cfRule type="expression" priority="376" dxfId="206">
      <formula>D56="CENTREX"</formula>
    </cfRule>
    <cfRule type="expression" priority="375" dxfId="206">
      <formula>D56="GRILLE"</formula>
    </cfRule>
    <cfRule type="expression" priority="374" dxfId="208">
      <formula>D56="WW PODS"</formula>
    </cfRule>
    <cfRule type="expression" priority="373" dxfId="206">
      <formula>D56="NF"</formula>
    </cfRule>
    <cfRule type="expression" priority="381" dxfId="205">
      <formula>D56="KSA"</formula>
    </cfRule>
  </conditionalFormatting>
  <conditionalFormatting sqref="F58">
    <cfRule type="cellIs" priority="564" operator="lessThan" dxfId="204">
      <formula>2100</formula>
    </cfRule>
  </conditionalFormatting>
  <conditionalFormatting sqref="F63">
    <cfRule type="cellIs" priority="543" operator="greaterThan" dxfId="204">
      <formula>3001</formula>
    </cfRule>
  </conditionalFormatting>
  <conditionalFormatting sqref="F66">
    <cfRule type="expression" priority="452" dxfId="214">
      <formula>(C66="LED STRIP")</formula>
    </cfRule>
    <cfRule type="expression" priority="453" dxfId="215">
      <formula>(C66="LIGHT SELECTION")</formula>
    </cfRule>
    <cfRule type="expression" priority="455" dxfId="216">
      <formula>(C66="FLO")</formula>
    </cfRule>
  </conditionalFormatting>
  <conditionalFormatting sqref="F73:F74">
    <cfRule type="expression" priority="358" dxfId="206">
      <formula>D73="NF"</formula>
    </cfRule>
    <cfRule type="expression" priority="359" dxfId="208">
      <formula>D73="WW PODS"</formula>
    </cfRule>
    <cfRule type="expression" priority="360" dxfId="206">
      <formula>D73="GRILLE"</formula>
    </cfRule>
    <cfRule type="expression" priority="361" dxfId="206">
      <formula>D73="CENTREX"</formula>
    </cfRule>
    <cfRule type="expression" priority="362" dxfId="206" stopIfTrue="1">
      <formula>D65="canopy type"</formula>
    </cfRule>
    <cfRule type="expression" priority="363" dxfId="207">
      <formula>(((I65*3600)/(C73*I62))^2+20)&gt;300</formula>
    </cfRule>
    <cfRule type="expression" priority="364" dxfId="205" stopIfTrue="1">
      <formula>(ISNUMBER(SEARCH("UV",D65)))</formula>
    </cfRule>
    <cfRule type="expression" priority="365" dxfId="207">
      <formula>(((I65*3600)/(C73*I62))^2+20)&gt;180</formula>
    </cfRule>
    <cfRule type="expression" priority="366" dxfId="205">
      <formula>D73="KSA"</formula>
    </cfRule>
  </conditionalFormatting>
  <conditionalFormatting sqref="F75">
    <cfRule type="cellIs" priority="537" operator="lessThan" dxfId="204">
      <formula>2100</formula>
    </cfRule>
  </conditionalFormatting>
  <conditionalFormatting sqref="F80">
    <cfRule type="cellIs" priority="515" operator="greaterThan" dxfId="204">
      <formula>3001</formula>
    </cfRule>
  </conditionalFormatting>
  <conditionalFormatting sqref="F83">
    <cfRule type="expression" priority="448" dxfId="214">
      <formula>(C83="LED STRIP")</formula>
    </cfRule>
    <cfRule type="expression" priority="451" dxfId="216">
      <formula>(C83="FLO")</formula>
    </cfRule>
    <cfRule type="expression" priority="449" dxfId="215">
      <formula>(C83="LIGHT SELECTION")</formula>
    </cfRule>
  </conditionalFormatting>
  <conditionalFormatting sqref="F90:F91">
    <cfRule type="expression" priority="343" dxfId="206">
      <formula>D90="NF"</formula>
    </cfRule>
    <cfRule type="expression" priority="344" dxfId="208">
      <formula>D90="WW PODS"</formula>
    </cfRule>
    <cfRule type="expression" priority="345" dxfId="206">
      <formula>D90="GRILLE"</formula>
    </cfRule>
    <cfRule type="expression" priority="346" dxfId="206">
      <formula>D90="CENTREX"</formula>
    </cfRule>
    <cfRule type="expression" priority="347" dxfId="206" stopIfTrue="1">
      <formula>D82="canopy type"</formula>
    </cfRule>
    <cfRule type="expression" priority="348" dxfId="207">
      <formula>(((I82*3600)/(C90*I79))^2+20)&gt;300</formula>
    </cfRule>
    <cfRule type="expression" priority="349" dxfId="205" stopIfTrue="1">
      <formula>(ISNUMBER(SEARCH("UV",D82)))</formula>
    </cfRule>
    <cfRule type="expression" priority="351" dxfId="205">
      <formula>D90="KSA"</formula>
    </cfRule>
    <cfRule type="expression" priority="350" dxfId="207">
      <formula>(((I82*3600)/(C90*I79))^2+20)&gt;180</formula>
    </cfRule>
  </conditionalFormatting>
  <conditionalFormatting sqref="F92">
    <cfRule type="cellIs" priority="509" operator="lessThan" dxfId="204">
      <formula>2100</formula>
    </cfRule>
  </conditionalFormatting>
  <conditionalFormatting sqref="F97">
    <cfRule type="cellIs" priority="486" operator="greaterThan" dxfId="204">
      <formula>3001</formula>
    </cfRule>
  </conditionalFormatting>
  <conditionalFormatting sqref="F100">
    <cfRule type="expression" priority="447" dxfId="216">
      <formula>(C100="FLO")</formula>
    </cfRule>
    <cfRule type="expression" priority="444" dxfId="214">
      <formula>(C100="LED STRIP")</formula>
    </cfRule>
    <cfRule type="expression" priority="445" dxfId="215">
      <formula>(C100="LIGHT SELECTION")</formula>
    </cfRule>
  </conditionalFormatting>
  <conditionalFormatting sqref="F107:F108">
    <cfRule type="expression" priority="329" dxfId="208">
      <formula>D107="WW PODS"</formula>
    </cfRule>
    <cfRule type="expression" priority="330" dxfId="206">
      <formula>D107="GRILLE"</formula>
    </cfRule>
    <cfRule type="expression" priority="334" dxfId="205" stopIfTrue="1">
      <formula>(ISNUMBER(SEARCH("UV",D99)))</formula>
    </cfRule>
    <cfRule type="expression" priority="333" dxfId="207">
      <formula>(((I99*3600)/(C107*I96))^2+20)&gt;300</formula>
    </cfRule>
    <cfRule type="expression" priority="335" dxfId="207">
      <formula>(((I99*3600)/(C107*I96))^2+20)&gt;180</formula>
    </cfRule>
    <cfRule type="expression" priority="332" dxfId="206" stopIfTrue="1">
      <formula>D99="canopy type"</formula>
    </cfRule>
    <cfRule type="expression" priority="331" dxfId="206">
      <formula>D107="CENTREX"</formula>
    </cfRule>
    <cfRule type="expression" priority="336" dxfId="205">
      <formula>D107="KSA"</formula>
    </cfRule>
    <cfRule type="expression" priority="328" dxfId="206">
      <formula>D107="NF"</formula>
    </cfRule>
  </conditionalFormatting>
  <conditionalFormatting sqref="F109">
    <cfRule type="cellIs" priority="480" operator="lessThan" dxfId="204">
      <formula>2100</formula>
    </cfRule>
  </conditionalFormatting>
  <conditionalFormatting sqref="F114">
    <cfRule type="cellIs" priority="309" operator="greaterThan" dxfId="204">
      <formula>3001</formula>
    </cfRule>
  </conditionalFormatting>
  <conditionalFormatting sqref="F117">
    <cfRule type="expression" priority="292" dxfId="216">
      <formula>(C117="FLO")</formula>
    </cfRule>
    <cfRule type="expression" priority="290" dxfId="215">
      <formula>(C117="LIGHT SELECTION")</formula>
    </cfRule>
    <cfRule type="expression" priority="289" dxfId="214">
      <formula>(C117="LED STRIP")</formula>
    </cfRule>
  </conditionalFormatting>
  <conditionalFormatting sqref="F124:F125">
    <cfRule type="expression" priority="279" dxfId="206">
      <formula>D124="GRILLE"</formula>
    </cfRule>
    <cfRule type="expression" priority="278" dxfId="208">
      <formula>D124="WW PODS"</formula>
    </cfRule>
    <cfRule type="expression" priority="277" dxfId="206">
      <formula>D124="NF"</formula>
    </cfRule>
    <cfRule type="expression" priority="281" dxfId="206" stopIfTrue="1">
      <formula>D116="canopy type"</formula>
    </cfRule>
    <cfRule type="expression" priority="282" dxfId="207">
      <formula>(((I116*3600)/(C124*I113))^2+20)&gt;300</formula>
    </cfRule>
    <cfRule type="expression" priority="283" dxfId="205" stopIfTrue="1">
      <formula>(ISNUMBER(SEARCH("UV",D116)))</formula>
    </cfRule>
    <cfRule type="expression" priority="284" dxfId="207">
      <formula>(((I116*3600)/(C124*I113))^2+20)&gt;180</formula>
    </cfRule>
    <cfRule type="expression" priority="285" dxfId="205">
      <formula>D124="KSA"</formula>
    </cfRule>
    <cfRule type="expression" priority="280" dxfId="206">
      <formula>D124="CENTREX"</formula>
    </cfRule>
  </conditionalFormatting>
  <conditionalFormatting sqref="F126">
    <cfRule type="cellIs" priority="303" operator="lessThan" dxfId="204">
      <formula>2100</formula>
    </cfRule>
  </conditionalFormatting>
  <conditionalFormatting sqref="F131">
    <cfRule type="cellIs" priority="254" operator="greaterThan" dxfId="204">
      <formula>3001</formula>
    </cfRule>
  </conditionalFormatting>
  <conditionalFormatting sqref="F134">
    <cfRule type="expression" priority="234" dxfId="214">
      <formula>(C134="LED STRIP")</formula>
    </cfRule>
    <cfRule type="expression" priority="237" dxfId="216">
      <formula>(C134="FLO")</formula>
    </cfRule>
    <cfRule type="expression" priority="235" dxfId="215">
      <formula>(C134="LIGHT SELECTION")</formula>
    </cfRule>
  </conditionalFormatting>
  <conditionalFormatting sqref="F141:F142">
    <cfRule type="expression" priority="223" dxfId="208">
      <formula>D141="WW PODS"</formula>
    </cfRule>
    <cfRule type="expression" priority="224" dxfId="206">
      <formula>D141="GRILLE"</formula>
    </cfRule>
    <cfRule type="expression" priority="225" dxfId="206">
      <formula>D141="CENTREX"</formula>
    </cfRule>
    <cfRule type="expression" priority="222" dxfId="206">
      <formula>D141="NF"</formula>
    </cfRule>
    <cfRule type="expression" priority="226" dxfId="206" stopIfTrue="1">
      <formula>D133="canopy type"</formula>
    </cfRule>
    <cfRule type="expression" priority="227" dxfId="207">
      <formula>(((I133*3600)/(C141*I130))^2+20)&gt;300</formula>
    </cfRule>
    <cfRule type="expression" priority="228" dxfId="205" stopIfTrue="1">
      <formula>(ISNUMBER(SEARCH("UV",D133)))</formula>
    </cfRule>
    <cfRule type="expression" priority="229" dxfId="207">
      <formula>(((I133*3600)/(C141*I130))^2+20)&gt;180</formula>
    </cfRule>
    <cfRule type="expression" priority="230" dxfId="205">
      <formula>D141="KSA"</formula>
    </cfRule>
  </conditionalFormatting>
  <conditionalFormatting sqref="F143">
    <cfRule type="cellIs" priority="248" operator="lessThan" dxfId="204">
      <formula>2100</formula>
    </cfRule>
  </conditionalFormatting>
  <conditionalFormatting sqref="F148">
    <cfRule type="cellIs" priority="203" operator="greaterThan" dxfId="204">
      <formula>3001</formula>
    </cfRule>
  </conditionalFormatting>
  <conditionalFormatting sqref="F151">
    <cfRule type="expression" priority="183" dxfId="214">
      <formula>(C151="LED STRIP")</formula>
    </cfRule>
    <cfRule type="expression" priority="184" dxfId="215">
      <formula>(C151="LIGHT SELECTION")</formula>
    </cfRule>
    <cfRule type="expression" priority="186" dxfId="216">
      <formula>(C151="FLO")</formula>
    </cfRule>
  </conditionalFormatting>
  <conditionalFormatting sqref="F158:F159">
    <cfRule type="expression" priority="178" dxfId="207">
      <formula>(((I150*3600)/(C158*I147))^2+20)&gt;180</formula>
    </cfRule>
    <cfRule type="expression" priority="171" dxfId="206">
      <formula>D158="NF"</formula>
    </cfRule>
    <cfRule type="expression" priority="172" dxfId="208">
      <formula>D158="WW PODS"</formula>
    </cfRule>
    <cfRule type="expression" priority="173" dxfId="206">
      <formula>D158="GRILLE"</formula>
    </cfRule>
    <cfRule type="expression" priority="174" dxfId="206">
      <formula>D158="CENTREX"</formula>
    </cfRule>
    <cfRule type="expression" priority="175" dxfId="206" stopIfTrue="1">
      <formula>D150="canopy type"</formula>
    </cfRule>
    <cfRule type="expression" priority="176" dxfId="207">
      <formula>(((I150*3600)/(C158*I147))^2+20)&gt;300</formula>
    </cfRule>
    <cfRule type="expression" priority="179" dxfId="205">
      <formula>D158="KSA"</formula>
    </cfRule>
    <cfRule type="expression" priority="177" dxfId="205" stopIfTrue="1">
      <formula>(ISNUMBER(SEARCH("UV",D150)))</formula>
    </cfRule>
  </conditionalFormatting>
  <conditionalFormatting sqref="F160">
    <cfRule type="cellIs" priority="197" operator="lessThan" dxfId="204">
      <formula>2100</formula>
    </cfRule>
  </conditionalFormatting>
  <conditionalFormatting sqref="F165">
    <cfRule type="cellIs" priority="152" operator="greaterThan" dxfId="204">
      <formula>3001</formula>
    </cfRule>
  </conditionalFormatting>
  <conditionalFormatting sqref="F168">
    <cfRule type="expression" priority="135" dxfId="216">
      <formula>(C168="FLO")</formula>
    </cfRule>
    <cfRule type="expression" priority="133" dxfId="215">
      <formula>(C168="LIGHT SELECTION")</formula>
    </cfRule>
    <cfRule type="expression" priority="132" dxfId="214">
      <formula>(C168="LED STRIP")</formula>
    </cfRule>
  </conditionalFormatting>
  <conditionalFormatting sqref="F175:F176">
    <cfRule type="expression" priority="126" dxfId="205" stopIfTrue="1">
      <formula>(ISNUMBER(SEARCH("UV",D167)))</formula>
    </cfRule>
    <cfRule type="expression" priority="125" dxfId="207">
      <formula>(((I167*3600)/(C175*I164))^2+20)&gt;300</formula>
    </cfRule>
    <cfRule type="expression" priority="124" dxfId="206" stopIfTrue="1">
      <formula>D167="canopy type"</formula>
    </cfRule>
    <cfRule type="expression" priority="123" dxfId="206">
      <formula>D175="CENTREX"</formula>
    </cfRule>
    <cfRule type="expression" priority="122" dxfId="206">
      <formula>D175="GRILLE"</formula>
    </cfRule>
    <cfRule type="expression" priority="121" dxfId="208">
      <formula>D175="WW PODS"</formula>
    </cfRule>
    <cfRule type="expression" priority="127" dxfId="207">
      <formula>(((I167*3600)/(C175*I164))^2+20)&gt;180</formula>
    </cfRule>
    <cfRule type="expression" priority="120" dxfId="206">
      <formula>D175="NF"</formula>
    </cfRule>
    <cfRule type="expression" priority="128" dxfId="205">
      <formula>D175="KSA"</formula>
    </cfRule>
  </conditionalFormatting>
  <conditionalFormatting sqref="F177">
    <cfRule type="cellIs" priority="146" operator="lessThan" dxfId="204">
      <formula>2100</formula>
    </cfRule>
  </conditionalFormatting>
  <conditionalFormatting sqref="G11">
    <cfRule type="expression" priority="681" dxfId="176">
      <formula>((F14-50)/H14)&lt;950</formula>
    </cfRule>
  </conditionalFormatting>
  <conditionalFormatting sqref="G12">
    <cfRule type="expression" priority="680" dxfId="175">
      <formula>((F14-50)/H14)&lt;950</formula>
    </cfRule>
  </conditionalFormatting>
  <conditionalFormatting sqref="G14">
    <cfRule type="cellIs" priority="676" operator="lessThan" dxfId="164">
      <formula>400</formula>
    </cfRule>
  </conditionalFormatting>
  <conditionalFormatting sqref="G28">
    <cfRule type="expression" priority="625" dxfId="176">
      <formula>((F31-50)/H31)&lt;950</formula>
    </cfRule>
  </conditionalFormatting>
  <conditionalFormatting sqref="G29">
    <cfRule type="expression" priority="603" dxfId="175">
      <formula>((F31-50)/H31)&lt;950</formula>
    </cfRule>
  </conditionalFormatting>
  <conditionalFormatting sqref="G31">
    <cfRule type="cellIs" priority="599" operator="lessThan" dxfId="164">
      <formula>400</formula>
    </cfRule>
  </conditionalFormatting>
  <conditionalFormatting sqref="G45">
    <cfRule type="expression" priority="641" dxfId="176">
      <formula>((F48-50)/H48)&lt;950</formula>
    </cfRule>
  </conditionalFormatting>
  <conditionalFormatting sqref="G46">
    <cfRule type="expression" priority="571" dxfId="175">
      <formula>((F48-50)/H48)&lt;950</formula>
    </cfRule>
  </conditionalFormatting>
  <conditionalFormatting sqref="G48">
    <cfRule type="cellIs" priority="567" operator="lessThan" dxfId="164">
      <formula>400</formula>
    </cfRule>
  </conditionalFormatting>
  <conditionalFormatting sqref="G62">
    <cfRule type="expression" priority="642" dxfId="176">
      <formula>((F65-50)/H65)&lt;950</formula>
    </cfRule>
  </conditionalFormatting>
  <conditionalFormatting sqref="G63">
    <cfRule type="expression" priority="544" dxfId="175">
      <formula>((F65-50)/H65)&lt;950</formula>
    </cfRule>
  </conditionalFormatting>
  <conditionalFormatting sqref="G65">
    <cfRule type="cellIs" priority="540" operator="lessThan" dxfId="164">
      <formula>400</formula>
    </cfRule>
  </conditionalFormatting>
  <conditionalFormatting sqref="G79">
    <cfRule type="expression" priority="643" dxfId="176">
      <formula>((F82-50)/H82)&lt;950</formula>
    </cfRule>
  </conditionalFormatting>
  <conditionalFormatting sqref="G80">
    <cfRule type="expression" priority="516" dxfId="175">
      <formula>((F82-50)/H82)&lt;950</formula>
    </cfRule>
  </conditionalFormatting>
  <conditionalFormatting sqref="G82">
    <cfRule type="cellIs" priority="512" operator="lessThan" dxfId="164">
      <formula>400</formula>
    </cfRule>
  </conditionalFormatting>
  <conditionalFormatting sqref="G96">
    <cfRule type="expression" priority="653" dxfId="176">
      <formula>((F99-50)/H99)&lt;950</formula>
    </cfRule>
  </conditionalFormatting>
  <conditionalFormatting sqref="G97">
    <cfRule type="expression" priority="487" dxfId="175">
      <formula>((F99-50)/H99)&lt;950</formula>
    </cfRule>
  </conditionalFormatting>
  <conditionalFormatting sqref="G99">
    <cfRule type="cellIs" priority="483" operator="lessThan" dxfId="164">
      <formula>400</formula>
    </cfRule>
  </conditionalFormatting>
  <conditionalFormatting sqref="G113">
    <cfRule type="expression" priority="321" dxfId="176">
      <formula>((F116-50)/H116)&lt;950</formula>
    </cfRule>
  </conditionalFormatting>
  <conditionalFormatting sqref="G114">
    <cfRule type="expression" priority="310" dxfId="175">
      <formula>((F116-50)/H116)&lt;950</formula>
    </cfRule>
  </conditionalFormatting>
  <conditionalFormatting sqref="G116">
    <cfRule type="cellIs" priority="306" operator="lessThan" dxfId="164">
      <formula>400</formula>
    </cfRule>
  </conditionalFormatting>
  <conditionalFormatting sqref="G130">
    <cfRule type="expression" priority="266" dxfId="176">
      <formula>((F133-50)/H133)&lt;950</formula>
    </cfRule>
  </conditionalFormatting>
  <conditionalFormatting sqref="G131">
    <cfRule type="expression" priority="255" dxfId="175">
      <formula>((F133-50)/H133)&lt;950</formula>
    </cfRule>
  </conditionalFormatting>
  <conditionalFormatting sqref="G133">
    <cfRule type="cellIs" priority="251" operator="lessThan" dxfId="164">
      <formula>400</formula>
    </cfRule>
  </conditionalFormatting>
  <conditionalFormatting sqref="G147">
    <cfRule type="expression" priority="215" dxfId="176">
      <formula>((F150-50)/H150)&lt;950</formula>
    </cfRule>
  </conditionalFormatting>
  <conditionalFormatting sqref="G148">
    <cfRule type="expression" priority="204" dxfId="175">
      <formula>((F150-50)/H150)&lt;950</formula>
    </cfRule>
  </conditionalFormatting>
  <conditionalFormatting sqref="G150">
    <cfRule type="cellIs" priority="200" operator="lessThan" dxfId="164">
      <formula>400</formula>
    </cfRule>
  </conditionalFormatting>
  <conditionalFormatting sqref="G164">
    <cfRule type="expression" priority="164" dxfId="176">
      <formula>((F167-50)/H167)&lt;950</formula>
    </cfRule>
  </conditionalFormatting>
  <conditionalFormatting sqref="G165">
    <cfRule type="expression" priority="153" dxfId="175">
      <formula>((F167-50)/H167)&lt;950</formula>
    </cfRule>
  </conditionalFormatting>
  <conditionalFormatting sqref="G167">
    <cfRule type="cellIs" priority="149" operator="lessThan" dxfId="164">
      <formula>400</formula>
    </cfRule>
  </conditionalFormatting>
  <conditionalFormatting sqref="I14">
    <cfRule type="cellIs" priority="677" operator="lessThan" dxfId="164">
      <formula>0.1</formula>
    </cfRule>
  </conditionalFormatting>
  <conditionalFormatting sqref="I31">
    <cfRule type="cellIs" priority="600" operator="lessThan" dxfId="164">
      <formula>0.1</formula>
    </cfRule>
  </conditionalFormatting>
  <conditionalFormatting sqref="I48">
    <cfRule type="cellIs" priority="568" operator="lessThan" dxfId="164">
      <formula>0.1</formula>
    </cfRule>
  </conditionalFormatting>
  <conditionalFormatting sqref="I65">
    <cfRule type="cellIs" priority="541" operator="lessThan" dxfId="164">
      <formula>0.1</formula>
    </cfRule>
  </conditionalFormatting>
  <conditionalFormatting sqref="I82">
    <cfRule type="cellIs" priority="513" operator="lessThan" dxfId="164">
      <formula>0.1</formula>
    </cfRule>
  </conditionalFormatting>
  <conditionalFormatting sqref="I99">
    <cfRule type="cellIs" priority="484" operator="lessThan" dxfId="164">
      <formula>0.1</formula>
    </cfRule>
  </conditionalFormatting>
  <conditionalFormatting sqref="I116">
    <cfRule type="cellIs" priority="307" operator="lessThan" dxfId="164">
      <formula>0.1</formula>
    </cfRule>
  </conditionalFormatting>
  <conditionalFormatting sqref="I133">
    <cfRule type="cellIs" priority="252" operator="lessThan" dxfId="164">
      <formula>0.1</formula>
    </cfRule>
  </conditionalFormatting>
  <conditionalFormatting sqref="I150">
    <cfRule type="cellIs" priority="201" operator="lessThan" dxfId="164">
      <formula>0.1</formula>
    </cfRule>
  </conditionalFormatting>
  <conditionalFormatting sqref="I167">
    <cfRule type="cellIs" priority="150" operator="lessThan" dxfId="164">
      <formula>0.1</formula>
    </cfRule>
  </conditionalFormatting>
  <conditionalFormatting sqref="J14:J27">
    <cfRule type="cellIs" priority="410" operator="greaterThan" dxfId="153">
      <formula>0</formula>
    </cfRule>
  </conditionalFormatting>
  <conditionalFormatting sqref="J31:J44">
    <cfRule type="cellIs" priority="383" operator="greaterThan" dxfId="153">
      <formula>0</formula>
    </cfRule>
  </conditionalFormatting>
  <conditionalFormatting sqref="J48:J61">
    <cfRule type="cellIs" priority="99" operator="greaterThan" dxfId="153">
      <formula>0</formula>
    </cfRule>
  </conditionalFormatting>
  <conditionalFormatting sqref="J65:J78">
    <cfRule type="cellIs" priority="85" operator="greaterThan" dxfId="153">
      <formula>0</formula>
    </cfRule>
  </conditionalFormatting>
  <conditionalFormatting sqref="J82:J95">
    <cfRule type="cellIs" priority="71" operator="greaterThan" dxfId="153">
      <formula>0</formula>
    </cfRule>
  </conditionalFormatting>
  <conditionalFormatting sqref="J99:J112">
    <cfRule type="cellIs" priority="57" operator="greaterThan" dxfId="153">
      <formula>0</formula>
    </cfRule>
  </conditionalFormatting>
  <conditionalFormatting sqref="J116:J129">
    <cfRule type="cellIs" priority="43" operator="greaterThan" dxfId="153">
      <formula>0</formula>
    </cfRule>
  </conditionalFormatting>
  <conditionalFormatting sqref="J133:J146">
    <cfRule type="cellIs" priority="29" operator="greaterThan" dxfId="153">
      <formula>0</formula>
    </cfRule>
  </conditionalFormatting>
  <conditionalFormatting sqref="J150:J163">
    <cfRule type="cellIs" priority="15" operator="greaterThan" dxfId="153">
      <formula>0</formula>
    </cfRule>
  </conditionalFormatting>
  <conditionalFormatting sqref="J167:J180">
    <cfRule type="cellIs" priority="1" operator="greaterThan" dxfId="153">
      <formula>0</formula>
    </cfRule>
  </conditionalFormatting>
  <conditionalFormatting sqref="J183:J197">
    <cfRule type="expression" priority="267" dxfId="153">
      <formula>C183&gt;0</formula>
    </cfRule>
  </conditionalFormatting>
  <conditionalFormatting sqref="J199">
    <cfRule type="expression" priority="658" dxfId="2">
      <formula>#REF!="EURO"</formula>
    </cfRule>
  </conditionalFormatting>
  <conditionalFormatting sqref="K14:K27">
    <cfRule type="cellIs" priority="424" operator="greaterThan" dxfId="141">
      <formula>0</formula>
    </cfRule>
  </conditionalFormatting>
  <conditionalFormatting sqref="K31:K44">
    <cfRule type="cellIs" priority="386" operator="greaterThan" dxfId="141">
      <formula>0</formula>
    </cfRule>
  </conditionalFormatting>
  <conditionalFormatting sqref="K48:K61">
    <cfRule type="cellIs" priority="102" operator="greaterThan" dxfId="141">
      <formula>0</formula>
    </cfRule>
  </conditionalFormatting>
  <conditionalFormatting sqref="K65:K78">
    <cfRule type="cellIs" priority="88" operator="greaterThan" dxfId="141">
      <formula>0</formula>
    </cfRule>
  </conditionalFormatting>
  <conditionalFormatting sqref="K82:K95">
    <cfRule type="cellIs" priority="74" operator="greaterThan" dxfId="141">
      <formula>0</formula>
    </cfRule>
  </conditionalFormatting>
  <conditionalFormatting sqref="K99:K112">
    <cfRule type="cellIs" priority="60" operator="greaterThan" dxfId="141">
      <formula>0</formula>
    </cfRule>
  </conditionalFormatting>
  <conditionalFormatting sqref="K116:K129">
    <cfRule type="cellIs" priority="46" operator="greaterThan" dxfId="141">
      <formula>0</formula>
    </cfRule>
  </conditionalFormatting>
  <conditionalFormatting sqref="K133:K146">
    <cfRule type="cellIs" priority="32" operator="greaterThan" dxfId="141">
      <formula>0</formula>
    </cfRule>
  </conditionalFormatting>
  <conditionalFormatting sqref="K150:K163">
    <cfRule type="cellIs" priority="18" operator="greaterThan" dxfId="141">
      <formula>0</formula>
    </cfRule>
  </conditionalFormatting>
  <conditionalFormatting sqref="K167:K180">
    <cfRule type="cellIs" priority="4" operator="greaterThan" dxfId="141">
      <formula>0</formula>
    </cfRule>
  </conditionalFormatting>
  <conditionalFormatting sqref="K183:K197">
    <cfRule type="cellIs" priority="268" operator="greaterThan" dxfId="141">
      <formula>0</formula>
    </cfRule>
  </conditionalFormatting>
  <conditionalFormatting sqref="K199">
    <cfRule type="expression" priority="657" dxfId="2">
      <formula>$B$9="EURO"</formula>
    </cfRule>
    <cfRule type="expression" priority="656" dxfId="3">
      <formula>$B$9="USD"</formula>
    </cfRule>
    <cfRule type="expression" priority="655" dxfId="0">
      <formula>$B$9="CZK"</formula>
    </cfRule>
    <cfRule type="expression" priority="654" dxfId="4">
      <formula>$B$9="PLN"</formula>
    </cfRule>
  </conditionalFormatting>
  <conditionalFormatting sqref="L14:L27">
    <cfRule type="expression" priority="421" dxfId="116">
      <formula>$C$9&lt;0</formula>
    </cfRule>
    <cfRule type="expression" priority="422" dxfId="115">
      <formula>$C$9&gt;0</formula>
    </cfRule>
  </conditionalFormatting>
  <conditionalFormatting sqref="L31:L44">
    <cfRule type="expression" priority="385" dxfId="115">
      <formula>$C$9&gt;0</formula>
    </cfRule>
    <cfRule type="expression" priority="384" dxfId="116">
      <formula>$C$9&lt;0</formula>
    </cfRule>
  </conditionalFormatting>
  <conditionalFormatting sqref="L48:L61">
    <cfRule type="expression" priority="100" dxfId="116">
      <formula>$C$9&lt;0</formula>
    </cfRule>
    <cfRule type="expression" priority="101" dxfId="115">
      <formula>$C$9&gt;0</formula>
    </cfRule>
  </conditionalFormatting>
  <conditionalFormatting sqref="L65:L78">
    <cfRule type="expression" priority="86" dxfId="116">
      <formula>$C$9&lt;0</formula>
    </cfRule>
    <cfRule type="expression" priority="87" dxfId="115">
      <formula>$C$9&gt;0</formula>
    </cfRule>
  </conditionalFormatting>
  <conditionalFormatting sqref="L82:L95">
    <cfRule type="expression" priority="72" dxfId="116">
      <formula>$C$9&lt;0</formula>
    </cfRule>
    <cfRule type="expression" priority="73" dxfId="115">
      <formula>$C$9&gt;0</formula>
    </cfRule>
  </conditionalFormatting>
  <conditionalFormatting sqref="L99:L112">
    <cfRule type="expression" priority="58" dxfId="116">
      <formula>$C$9&lt;0</formula>
    </cfRule>
    <cfRule type="expression" priority="59" dxfId="115">
      <formula>$C$9&gt;0</formula>
    </cfRule>
  </conditionalFormatting>
  <conditionalFormatting sqref="L116:L129">
    <cfRule type="expression" priority="44" dxfId="116">
      <formula>$C$9&lt;0</formula>
    </cfRule>
    <cfRule type="expression" priority="45" dxfId="115">
      <formula>$C$9&gt;0</formula>
    </cfRule>
  </conditionalFormatting>
  <conditionalFormatting sqref="L133:L146">
    <cfRule type="expression" priority="31" dxfId="115">
      <formula>$C$9&gt;0</formula>
    </cfRule>
    <cfRule type="expression" priority="30" dxfId="116">
      <formula>$C$9&lt;0</formula>
    </cfRule>
  </conditionalFormatting>
  <conditionalFormatting sqref="L150:L163">
    <cfRule type="expression" priority="17" dxfId="115">
      <formula>$C$9&gt;0</formula>
    </cfRule>
    <cfRule type="expression" priority="16" dxfId="116">
      <formula>$C$9&lt;0</formula>
    </cfRule>
  </conditionalFormatting>
  <conditionalFormatting sqref="L167:L180">
    <cfRule type="expression" priority="3" dxfId="115">
      <formula>$C$9&gt;0</formula>
    </cfRule>
    <cfRule type="expression" priority="2" dxfId="116">
      <formula>$C$9&lt;0</formula>
    </cfRule>
  </conditionalFormatting>
  <conditionalFormatting sqref="L183:L197">
    <cfRule type="expression" priority="644" dxfId="116">
      <formula>$C$9&lt;0</formula>
    </cfRule>
    <cfRule type="expression" priority="645" dxfId="115">
      <formula>$C$9&gt;0</formula>
    </cfRule>
  </conditionalFormatting>
  <conditionalFormatting sqref="N9 N12">
    <cfRule type="expression" priority="688" dxfId="4">
      <formula>$B$9="PLN"</formula>
    </cfRule>
    <cfRule type="expression" priority="689" dxfId="0">
      <formula>$B$9="CZK"</formula>
    </cfRule>
    <cfRule type="expression" priority="690" dxfId="3">
      <formula>$B$9="USD"</formula>
    </cfRule>
    <cfRule type="expression" priority="691" dxfId="2">
      <formula>$B$9="EURO"</formula>
    </cfRule>
  </conditionalFormatting>
  <conditionalFormatting sqref="N14:N27">
    <cfRule type="expression" priority="630" dxfId="3">
      <formula>$B$9="USD"</formula>
    </cfRule>
    <cfRule type="expression" priority="629" dxfId="2">
      <formula>$B$9="EURO"</formula>
    </cfRule>
    <cfRule type="cellIs" priority="628" operator="greaterThan" dxfId="1">
      <formula>0</formula>
    </cfRule>
    <cfRule type="expression" priority="632" dxfId="0">
      <formula>$B$9="CZK"</formula>
    </cfRule>
    <cfRule type="expression" priority="631" dxfId="4">
      <formula>$B$9="PLN"</formula>
    </cfRule>
  </conditionalFormatting>
  <conditionalFormatting sqref="N29">
    <cfRule type="expression" priority="609" dxfId="4">
      <formula>$B$9="PLN"</formula>
    </cfRule>
    <cfRule type="expression" priority="612" dxfId="2">
      <formula>$B$9="EURO"</formula>
    </cfRule>
    <cfRule type="expression" priority="611" dxfId="3">
      <formula>$B$9="USD"</formula>
    </cfRule>
    <cfRule type="expression" priority="610" dxfId="0">
      <formula>$B$9="CZK"</formula>
    </cfRule>
  </conditionalFormatting>
  <conditionalFormatting sqref="N31:N44">
    <cfRule type="cellIs" priority="389" operator="greaterThan" dxfId="1">
      <formula>0</formula>
    </cfRule>
    <cfRule type="expression" priority="390" dxfId="2">
      <formula>$B$9="EURO"</formula>
    </cfRule>
    <cfRule type="expression" priority="391" dxfId="3">
      <formula>$B$9="USD"</formula>
    </cfRule>
    <cfRule type="expression" priority="392" dxfId="4">
      <formula>$B$9="PLN"</formula>
    </cfRule>
    <cfRule type="expression" priority="393" dxfId="0">
      <formula>$B$9="CZK"</formula>
    </cfRule>
  </conditionalFormatting>
  <conditionalFormatting sqref="N46">
    <cfRule type="expression" priority="577" dxfId="4">
      <formula>$B$9="PLN"</formula>
    </cfRule>
    <cfRule type="expression" priority="579" dxfId="3">
      <formula>$B$9="USD"</formula>
    </cfRule>
    <cfRule type="expression" priority="580" dxfId="2">
      <formula>$B$9="EURO"</formula>
    </cfRule>
    <cfRule type="expression" priority="578" dxfId="0">
      <formula>$B$9="CZK"</formula>
    </cfRule>
  </conditionalFormatting>
  <conditionalFormatting sqref="N48:N61">
    <cfRule type="expression" priority="105" dxfId="2">
      <formula>$B$9="EURO"</formula>
    </cfRule>
    <cfRule type="cellIs" priority="104" operator="greaterThan" dxfId="1">
      <formula>0</formula>
    </cfRule>
    <cfRule type="expression" priority="108" dxfId="0">
      <formula>$B$9="CZK"</formula>
    </cfRule>
    <cfRule type="expression" priority="107" dxfId="4">
      <formula>$B$9="PLN"</formula>
    </cfRule>
    <cfRule type="expression" priority="106" dxfId="3">
      <formula>$B$9="USD"</formula>
    </cfRule>
  </conditionalFormatting>
  <conditionalFormatting sqref="N63">
    <cfRule type="expression" priority="550" dxfId="4">
      <formula>$B$9="PLN"</formula>
    </cfRule>
    <cfRule type="expression" priority="551" dxfId="0">
      <formula>$B$9="CZK"</formula>
    </cfRule>
    <cfRule type="expression" priority="552" dxfId="3">
      <formula>$B$9="USD"</formula>
    </cfRule>
    <cfRule type="expression" priority="553" dxfId="2">
      <formula>$B$9="EURO"</formula>
    </cfRule>
  </conditionalFormatting>
  <conditionalFormatting sqref="N65:N78">
    <cfRule type="expression" priority="93" dxfId="4">
      <formula>$B$9="PLN"</formula>
    </cfRule>
    <cfRule type="expression" priority="94" dxfId="0">
      <formula>$B$9="CZK"</formula>
    </cfRule>
    <cfRule type="expression" priority="92" dxfId="3">
      <formula>$B$9="USD"</formula>
    </cfRule>
    <cfRule type="expression" priority="91" dxfId="2">
      <formula>$B$9="EURO"</formula>
    </cfRule>
    <cfRule type="cellIs" priority="90" operator="greaterThan" dxfId="1">
      <formula>0</formula>
    </cfRule>
  </conditionalFormatting>
  <conditionalFormatting sqref="N80">
    <cfRule type="expression" priority="523" dxfId="0">
      <formula>$B$9="CZK"</formula>
    </cfRule>
    <cfRule type="expression" priority="524" dxfId="3">
      <formula>$B$9="USD"</formula>
    </cfRule>
    <cfRule type="expression" priority="522" dxfId="4">
      <formula>$B$9="PLN"</formula>
    </cfRule>
    <cfRule type="expression" priority="525" dxfId="2">
      <formula>$B$9="EURO"</formula>
    </cfRule>
  </conditionalFormatting>
  <conditionalFormatting sqref="N82:N95">
    <cfRule type="expression" priority="79" dxfId="4">
      <formula>$B$9="PLN"</formula>
    </cfRule>
    <cfRule type="expression" priority="78" dxfId="3">
      <formula>$B$9="USD"</formula>
    </cfRule>
    <cfRule type="expression" priority="80" dxfId="0">
      <formula>$B$9="CZK"</formula>
    </cfRule>
    <cfRule type="cellIs" priority="76" operator="greaterThan" dxfId="1">
      <formula>0</formula>
    </cfRule>
    <cfRule type="expression" priority="77" dxfId="2">
      <formula>$B$9="EURO"</formula>
    </cfRule>
  </conditionalFormatting>
  <conditionalFormatting sqref="N97">
    <cfRule type="expression" priority="494" dxfId="0">
      <formula>$B$9="CZK"</formula>
    </cfRule>
    <cfRule type="expression" priority="493" dxfId="4">
      <formula>$B$9="PLN"</formula>
    </cfRule>
    <cfRule type="expression" priority="496" dxfId="2">
      <formula>$B$9="EURO"</formula>
    </cfRule>
    <cfRule type="expression" priority="495" dxfId="3">
      <formula>$B$9="USD"</formula>
    </cfRule>
  </conditionalFormatting>
  <conditionalFormatting sqref="N99:N112">
    <cfRule type="cellIs" priority="62" operator="greaterThan" dxfId="1">
      <formula>0</formula>
    </cfRule>
    <cfRule type="expression" priority="63" dxfId="2">
      <formula>$B$9="EURO"</formula>
    </cfRule>
    <cfRule type="expression" priority="64" dxfId="3">
      <formula>$B$9="USD"</formula>
    </cfRule>
    <cfRule type="expression" priority="65" dxfId="4">
      <formula>$B$9="PLN"</formula>
    </cfRule>
    <cfRule type="expression" priority="66" dxfId="0">
      <formula>$B$9="CZK"</formula>
    </cfRule>
  </conditionalFormatting>
  <conditionalFormatting sqref="N114">
    <cfRule type="expression" priority="317" dxfId="0">
      <formula>$B$9="CZK"</formula>
    </cfRule>
    <cfRule type="expression" priority="318" dxfId="3">
      <formula>$B$9="USD"</formula>
    </cfRule>
    <cfRule type="expression" priority="319" dxfId="2">
      <formula>$B$9="EURO"</formula>
    </cfRule>
    <cfRule type="expression" priority="316" dxfId="4">
      <formula>$B$9="PLN"</formula>
    </cfRule>
  </conditionalFormatting>
  <conditionalFormatting sqref="N116:N129">
    <cfRule type="cellIs" priority="48" operator="greaterThan" dxfId="1">
      <formula>0</formula>
    </cfRule>
    <cfRule type="expression" priority="52" dxfId="0">
      <formula>$B$9="CZK"</formula>
    </cfRule>
    <cfRule type="expression" priority="51" dxfId="4">
      <formula>$B$9="PLN"</formula>
    </cfRule>
    <cfRule type="expression" priority="50" dxfId="3">
      <formula>$B$9="USD"</formula>
    </cfRule>
    <cfRule type="expression" priority="49" dxfId="2">
      <formula>$B$9="EURO"</formula>
    </cfRule>
  </conditionalFormatting>
  <conditionalFormatting sqref="N131">
    <cfRule type="expression" priority="261" dxfId="4">
      <formula>$B$9="PLN"</formula>
    </cfRule>
    <cfRule type="expression" priority="262" dxfId="0">
      <formula>$B$9="CZK"</formula>
    </cfRule>
    <cfRule type="expression" priority="263" dxfId="3">
      <formula>$B$9="USD"</formula>
    </cfRule>
    <cfRule type="expression" priority="264" dxfId="2">
      <formula>$B$9="EURO"</formula>
    </cfRule>
  </conditionalFormatting>
  <conditionalFormatting sqref="N133:N146">
    <cfRule type="expression" priority="37" dxfId="4">
      <formula>$B$9="PLN"</formula>
    </cfRule>
    <cfRule type="expression" priority="36" dxfId="3">
      <formula>$B$9="USD"</formula>
    </cfRule>
    <cfRule type="expression" priority="38" dxfId="0">
      <formula>$B$9="CZK"</formula>
    </cfRule>
    <cfRule type="expression" priority="35" dxfId="2">
      <formula>$B$9="EURO"</formula>
    </cfRule>
    <cfRule type="cellIs" priority="34" operator="greaterThan" dxfId="1">
      <formula>0</formula>
    </cfRule>
  </conditionalFormatting>
  <conditionalFormatting sqref="N148">
    <cfRule type="expression" priority="213" dxfId="2">
      <formula>$B$9="EURO"</formula>
    </cfRule>
    <cfRule type="expression" priority="211" dxfId="0">
      <formula>$B$9="CZK"</formula>
    </cfRule>
    <cfRule type="expression" priority="210" dxfId="4">
      <formula>$B$9="PLN"</formula>
    </cfRule>
    <cfRule type="expression" priority="212" dxfId="3">
      <formula>$B$9="USD"</formula>
    </cfRule>
  </conditionalFormatting>
  <conditionalFormatting sqref="N150:N163">
    <cfRule type="expression" priority="22" dxfId="3">
      <formula>$B$9="USD"</formula>
    </cfRule>
    <cfRule type="cellIs" priority="20" operator="greaterThan" dxfId="1">
      <formula>0</formula>
    </cfRule>
    <cfRule type="expression" priority="21" dxfId="2">
      <formula>$B$9="EURO"</formula>
    </cfRule>
    <cfRule type="expression" priority="24" dxfId="0">
      <formula>$B$9="CZK"</formula>
    </cfRule>
    <cfRule type="expression" priority="23" dxfId="4">
      <formula>$B$9="PLN"</formula>
    </cfRule>
  </conditionalFormatting>
  <conditionalFormatting sqref="N165">
    <cfRule type="expression" priority="161" dxfId="3">
      <formula>$B$9="USD"</formula>
    </cfRule>
    <cfRule type="expression" priority="160" dxfId="0">
      <formula>$B$9="CZK"</formula>
    </cfRule>
    <cfRule type="expression" priority="162" dxfId="2">
      <formula>$B$9="EURO"</formula>
    </cfRule>
    <cfRule type="expression" priority="159" dxfId="4">
      <formula>$B$9="PLN"</formula>
    </cfRule>
  </conditionalFormatting>
  <conditionalFormatting sqref="N167:N180">
    <cfRule type="expression" priority="10" dxfId="0">
      <formula>$B$9="CZK"</formula>
    </cfRule>
    <cfRule type="expression" priority="7" dxfId="2">
      <formula>$B$9="EURO"</formula>
    </cfRule>
    <cfRule type="cellIs" priority="6" operator="greaterThan" dxfId="1">
      <formula>0</formula>
    </cfRule>
    <cfRule type="expression" priority="8" dxfId="3">
      <formula>$B$9="USD"</formula>
    </cfRule>
    <cfRule type="expression" priority="9" dxfId="4">
      <formula>$B$9="PLN"</formula>
    </cfRule>
  </conditionalFormatting>
  <conditionalFormatting sqref="N183:N197">
    <cfRule type="expression" priority="640" dxfId="0">
      <formula>$B$9="CZK"</formula>
    </cfRule>
    <cfRule type="expression" priority="639" dxfId="4">
      <formula>$B$9="PLN"</formula>
    </cfRule>
    <cfRule type="expression" priority="638" dxfId="3">
      <formula>$B$9="USD"</formula>
    </cfRule>
    <cfRule type="expression" priority="637" dxfId="2">
      <formula>$B$9="EURO"</formula>
    </cfRule>
    <cfRule type="cellIs" priority="636" operator="greaterThan" dxfId="1">
      <formula>0</formula>
    </cfRule>
  </conditionalFormatting>
  <conditionalFormatting sqref="N182:O182">
    <cfRule type="expression" priority="647" dxfId="0">
      <formula>$B$9="CZK"</formula>
    </cfRule>
    <cfRule type="expression" priority="646" dxfId="4">
      <formula>$B$9="PLN"</formula>
    </cfRule>
    <cfRule type="expression" priority="649" dxfId="2">
      <formula>$B$9="EURO"</formula>
    </cfRule>
    <cfRule type="expression" priority="648" dxfId="3">
      <formula>$B$9="USD"</formula>
    </cfRule>
  </conditionalFormatting>
  <conditionalFormatting sqref="O14:O27">
    <cfRule type="cellIs" priority="633" operator="greaterThan" dxfId="5">
      <formula>0</formula>
    </cfRule>
  </conditionalFormatting>
  <conditionalFormatting sqref="O31:O44">
    <cfRule type="cellIs" priority="394" operator="greaterThan" dxfId="5">
      <formula>0</formula>
    </cfRule>
  </conditionalFormatting>
  <conditionalFormatting sqref="O48:O61">
    <cfRule type="cellIs" priority="109" operator="greaterThan" dxfId="5">
      <formula>0</formula>
    </cfRule>
  </conditionalFormatting>
  <conditionalFormatting sqref="O65:O78">
    <cfRule type="cellIs" priority="95" operator="greaterThan" dxfId="5">
      <formula>0</formula>
    </cfRule>
  </conditionalFormatting>
  <conditionalFormatting sqref="O82:O95">
    <cfRule type="cellIs" priority="81" operator="greaterThan" dxfId="5">
      <formula>0</formula>
    </cfRule>
  </conditionalFormatting>
  <conditionalFormatting sqref="O99:O112">
    <cfRule type="cellIs" priority="67" operator="greaterThan" dxfId="5">
      <formula>0</formula>
    </cfRule>
  </conditionalFormatting>
  <conditionalFormatting sqref="O116:O129">
    <cfRule type="cellIs" priority="53" operator="greaterThan" dxfId="5">
      <formula>0</formula>
    </cfRule>
  </conditionalFormatting>
  <conditionalFormatting sqref="O133:O146">
    <cfRule type="cellIs" priority="39" operator="greaterThan" dxfId="5">
      <formula>0</formula>
    </cfRule>
  </conditionalFormatting>
  <conditionalFormatting sqref="O150:O163">
    <cfRule type="cellIs" priority="25" operator="greaterThan" dxfId="5">
      <formula>0</formula>
    </cfRule>
  </conditionalFormatting>
  <conditionalFormatting sqref="O167:O180">
    <cfRule type="cellIs" priority="11" operator="greaterThan" dxfId="5">
      <formula>0</formula>
    </cfRule>
  </conditionalFormatting>
  <conditionalFormatting sqref="O183:O197">
    <cfRule type="cellIs" priority="659" operator="greaterThan" dxfId="5">
      <formula>0</formula>
    </cfRule>
  </conditionalFormatting>
  <conditionalFormatting sqref="Q16">
    <cfRule type="expression" priority="414" dxfId="4">
      <formula>$B$9="PLN"</formula>
    </cfRule>
    <cfRule type="expression" priority="413" dxfId="3">
      <formula>$B$9="USD"</formula>
    </cfRule>
    <cfRule type="expression" priority="412" dxfId="2">
      <formula>$B$9="EURO"</formula>
    </cfRule>
    <cfRule type="cellIs" priority="411" operator="greaterThan" dxfId="1">
      <formula>0</formula>
    </cfRule>
    <cfRule type="expression" priority="415" dxfId="0">
      <formula>$B$9="CZK"</formula>
    </cfRule>
  </conditionalFormatting>
  <dataValidations count="16">
    <dataValidation sqref="C27 C44 C61 C78 C95 C112 C129 C146 C163 C180" showDropDown="0" showInputMessage="1" showErrorMessage="1" allowBlank="1" type="list">
      <formula1>"0,0.5,1,1.5,2,2.5,3,3.5,4,4.5,5"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0:C21 C37:C38 C54:C55 C71:C72 C88:C89 C105:C106 C122:C123 C139:C140 C156:C157 C173:C174" showDropDown="0" showInputMessage="1" showErrorMessage="1" allowBlank="1" type="list">
      <formula1>"0,1,2,3,4,5,6,7,8,9,10,11,12,13,14,15,16,17,18,19,20"</formula1>
    </dataValidation>
    <dataValidation sqref="E14 E31 E48 E65 E82 E99 E116 E133 E150 E167" showDropDown="0" showInputMessage="1" showErrorMessage="1" allowBlank="1" operator="greaterThan"/>
    <dataValidation sqref="C14 C31 C48 C65 C82 C99 C116 C133 C150 C167" showDropDown="0" showInputMessage="1" showErrorMessage="1" allowBlank="1" type="list">
      <formula1>"WALL, ISLAND"</formula1>
    </dataValidation>
    <dataValidation sqref="G181" showDropDown="0" showInputMessage="1" showErrorMessage="1" allowBlank="1" type="list">
      <formula1>#REF!</formula1>
    </dataValidation>
    <dataValidation sqref="D26 D43 D60 D77 D94 D111 D128 D145 D162 D179" showDropDown="0" showInputMessage="1" showErrorMessage="1" allowBlank="1" type="list">
      <formula1>"0,1,2,3,4,5,6,7,8,9,10"</formula1>
    </dataValidation>
    <dataValidation sqref="C15 C32 C49 C66 C83 C100 C117 C134 C151 C168 C185 C202 C219 C236 C253 C270 C287 C304" showDropDown="0" showInputMessage="0" showErrorMessage="0" allowBlank="1" type="list">
      <formula1>Lists!$A$1:$A$5</formula1>
    </dataValidation>
    <dataValidation sqref="C16 C33 C50 C67 C84 C101 C118 C135 C152 C169 C186 C203 C220 C237 C254 C271 C288 C305" showDropDown="0" showInputMessage="0" showErrorMessage="0" allowBlank="1" type="list">
      <formula1>Lists!$B$1:$B$17</formula1>
    </dataValidation>
    <dataValidation sqref="C17 C34 C51 C68 C85 C102 C119 C136 C153 C170 C187 C204 C221 C238 C255 C272 C289 C306" showDropDown="0" showInputMessage="0" showErrorMessage="0" allowBlank="1" type="list">
      <formula1>Lists!$B$1:$B$18</formula1>
    </dataValidation>
    <dataValidation sqref="C19 C36 C53 C70 C87 C104 C121 C138 C155 C172 C189 C206 C223 C240 C257 C274 C291 C308" showDropDown="0" showInputMessage="0" showErrorMessage="0" allowBlank="1" type="list">
      <formula1>Lists!$C$1:$C$2</formula1>
    </dataValidation>
    <dataValidation sqref="C25 C42 C59 C76 C93 C110 C127 C144 C161 C178 C195 C212 C229 C246 C263 C280 C297" showDropDown="0" showInputMessage="0" showErrorMessage="0" allowBlank="1" type="list">
      <formula1>Lists!$D$1:$D$4</formula1>
    </dataValidation>
    <dataValidation sqref="C26 C43 C60 C77 C94 C111 C128 C145 C162 C179 C196 C213 C230 C247 C264 C281 C298" showDropDown="0" showInputMessage="0" showErrorMessage="0" allowBlank="1" type="list">
      <formula1>Lists!$E$1:$E$10</formula1>
    </dataValidation>
    <dataValidation sqref="D183" showDropDown="0" showInputMessage="0" showErrorMessage="0" allowBlank="1" type="list">
      <formula1>Lists!$F$1:$F$193</formula1>
    </dataValidation>
    <dataValidation sqref="D184" showDropDown="0" showInputMessage="0" showErrorMessage="0" allowBlank="1" type="list">
      <formula1>Lists!$G$1:$G$12</formula1>
    </dataValidation>
    <dataValidation sqref="D185" showDropDown="0" showInputMessage="0" showErrorMessage="0" allowBlank="1" type="list">
      <formula1>Lists!$G$1:$G$12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1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 codeName="Sheet35">
    <tabColor theme="8" tint="0.7999816888943144"/>
    <outlinePr summaryBelow="1" summaryRight="1"/>
    <pageSetUpPr fitToPage="1"/>
  </sheetPr>
  <dimension ref="A1:Z310"/>
  <sheetViews>
    <sheetView showGridLines="0" topLeftCell="G2" zoomScale="106" zoomScaleNormal="80" zoomScaleSheetLayoutView="50" workbookViewId="0">
      <selection activeCell="P182" sqref="P182"/>
    </sheetView>
  </sheetViews>
  <sheetFormatPr baseColWidth="10" defaultColWidth="8.83203125" defaultRowHeight="15" customHeight="1" outlineLevelRow="1"/>
  <cols>
    <col width="2" customWidth="1" style="666" min="1" max="1"/>
    <col width="29.6640625" customWidth="1" style="1095" min="2" max="2"/>
    <col width="24.6640625" customWidth="1" style="1095" min="3" max="3"/>
    <col width="27.1640625" customWidth="1" style="1095" min="4" max="4"/>
    <col width="26.6640625" customWidth="1" style="1095" min="5" max="5"/>
    <col width="18.83203125" customWidth="1" style="1095" min="6" max="6"/>
    <col width="22.6640625" customWidth="1" style="1095" min="7" max="7"/>
    <col width="10" bestFit="1" customWidth="1" style="1096" min="8" max="8"/>
    <col width="11.6640625" bestFit="1" customWidth="1" style="1096" min="9" max="9"/>
    <col width="12.33203125" customWidth="1" style="1097" min="10" max="10"/>
    <col width="15" customWidth="1" style="1098" min="11" max="11"/>
    <col width="7.6640625" bestFit="1" customWidth="1" style="1098" min="12" max="12"/>
    <col hidden="1" width="12.33203125" customWidth="1" style="1099" min="13" max="13"/>
    <col width="12.8320312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8"/>
    <col width="8.83203125" customWidth="1" style="1095" min="99" max="16384"/>
  </cols>
  <sheetData>
    <row r="1" ht="15" customHeight="1" s="1085">
      <c r="B1" s="1116" t="inlineStr">
        <is>
          <t>F24 - 19  CANOPY COST SHEET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 t="n"/>
      <c r="F3" s="690" t="inlineStr">
        <is>
          <t>Project Name</t>
        </is>
      </c>
      <c r="G3" s="1071" t="n"/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 t="n"/>
      <c r="F5" s="690" t="inlineStr">
        <is>
          <t>Location</t>
        </is>
      </c>
      <c r="G5" s="1071" t="n"/>
      <c r="M5" s="684" t="n"/>
      <c r="N5" s="685" t="n"/>
      <c r="P5" s="1118" t="inlineStr">
        <is>
          <t>RECO CANOPIES MUST HAVE COALESCERS</t>
        </is>
      </c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 t="n"/>
      <c r="F7" s="690" t="inlineStr">
        <is>
          <t>Date</t>
        </is>
      </c>
      <c r="G7" s="1075" t="n"/>
      <c r="N7" s="699" t="inlineStr">
        <is>
          <t>Revision No</t>
        </is>
      </c>
      <c r="O7" s="809" t="inlineStr">
        <is>
          <t>B</t>
        </is>
      </c>
      <c r="P7" s="1091" t="inlineStr">
        <is>
          <t>GP SHOULD BE MINIMUM 44%</t>
        </is>
      </c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47" t="n"/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8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 xml:space="preserve">ITEM 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68">
        <f>N12-N19</f>
        <v/>
      </c>
      <c r="Q12" s="1095" t="n"/>
      <c r="R12" s="1095" t="n"/>
      <c r="S12" s="713" t="n"/>
      <c r="T12" s="1095" t="n"/>
      <c r="X12" s="1095" t="n"/>
      <c r="Y12" s="1095" t="n"/>
      <c r="Z12" s="1095" t="n"/>
    </row>
    <row r="13" hidden="1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hidden="1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CANOPY TYPE</t>
        </is>
      </c>
      <c r="E14" s="734" t="n"/>
      <c r="F14" s="734" t="n"/>
      <c r="G14" s="734" t="n"/>
      <c r="H14" s="735" t="n"/>
      <c r="I14" s="734" t="n"/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hidden="1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LIGHT SELECTION</t>
        </is>
      </c>
      <c r="D15" s="741" t="n"/>
      <c r="E15" s="848" t="n"/>
      <c r="F15" s="743" t="n"/>
      <c r="G15" s="744" t="n"/>
      <c r="H15" s="668" t="n"/>
      <c r="I15" s="668" t="n"/>
      <c r="J15" s="736">
        <f>IF(ISNA(C12),0,IF(D15=0,0,IF(C15="FLO",VLOOKUP(E15,'Base Costs'!$M$4:$N$14,2,FALSE),IF(C15="LED STRIP",VLOOKUP(E15,'Base Costs'!$M$4:$N$14,2,FALSE),(VLOOKUP(C15,'Base Costs'!$M$4:$N$14,2,FALSE))))))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hidden="1" outlineLevel="1" ht="15" customHeight="1" s="1085">
      <c r="A16" s="666" t="n">
        <v>234</v>
      </c>
      <c r="B16" s="269" t="inlineStr">
        <is>
          <t>SPECIAL WORKS</t>
        </is>
      </c>
      <c r="C16" s="33" t="inlineStr">
        <is>
          <t>SELECT WORKS</t>
        </is>
      </c>
      <c r="D16" s="735" t="n"/>
      <c r="E16" s="753">
        <f>IF(C16="","",VLOOKUP(C16,CCBASE!$A$53:$D$73,4,FALSE))</f>
        <v/>
      </c>
      <c r="F16" s="754" t="n"/>
      <c r="G16" s="749" t="n"/>
      <c r="H16" s="750" t="n"/>
      <c r="I16" s="755" t="n"/>
      <c r="J16" s="736">
        <f>IF(C16="",0,VLOOKUP(C16,CCBASE!$A$53:$C$73,2,FALSE))</f>
        <v/>
      </c>
      <c r="K16" s="737">
        <f>J16*D16</f>
        <v/>
      </c>
      <c r="L16" s="738" t="n">
        <v>0.44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hidden="1" outlineLevel="1" ht="15" customHeight="1" s="1085">
      <c r="B17" s="269" t="inlineStr">
        <is>
          <t>SPECIAL WORKS</t>
        </is>
      </c>
      <c r="C17" s="752" t="inlineStr">
        <is>
          <t>SELECT WORKS</t>
        </is>
      </c>
      <c r="D17" s="735" t="n"/>
      <c r="E17" s="753">
        <f>IF(C17="","",VLOOKUP(C17,CCBASE!$A$53:$D$73,4,FALSE))</f>
        <v/>
      </c>
      <c r="F17" s="754" t="n"/>
      <c r="G17" s="749" t="n"/>
      <c r="H17" s="750" t="n"/>
      <c r="I17" s="755" t="n"/>
      <c r="J17" s="736">
        <f>IF(C17="",0,VLOOKUP(C17,CCBASE!$A$53:$C$73,2,FALSE))</f>
        <v/>
      </c>
      <c r="K17" s="737">
        <f>J17*D17</f>
        <v/>
      </c>
      <c r="L17" s="738" t="n">
        <v>0.44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hidden="1" outlineLevel="1" ht="15" customHeight="1" s="1085">
      <c r="B18" s="978" t="inlineStr">
        <is>
          <t>SPECIAL WORKS</t>
        </is>
      </c>
      <c r="C18" s="979" t="inlineStr">
        <is>
          <t>BIM/ REVIT per CANOPY</t>
        </is>
      </c>
      <c r="D18" s="980" t="n">
        <v>1</v>
      </c>
      <c r="E18" s="981">
        <f>IF(C18="","",VLOOKUP(C18,CCBASE!$A$53:$D$73,4,FALSE))</f>
        <v/>
      </c>
      <c r="F18" s="982" t="n"/>
      <c r="G18" s="977" t="n"/>
      <c r="H18" s="983" t="n"/>
      <c r="I18" s="984" t="n"/>
      <c r="J18" s="985">
        <f>IF(C18="",0,VLOOKUP(C18,CCBASE!$A$53:$C$73,2,FALSE))</f>
        <v/>
      </c>
      <c r="K18" s="986">
        <f>J18*D18</f>
        <v/>
      </c>
      <c r="L18" s="987" t="n">
        <v>0.44</v>
      </c>
      <c r="M18" s="988">
        <f>K18/(1-L18)*(1+$C$9)</f>
        <v/>
      </c>
      <c r="N18" s="986">
        <f>M18*VLOOKUP($B$9,'Base Costs'!$A$32:$B$37,2,FALSE)</f>
        <v/>
      </c>
      <c r="O18" s="989">
        <f>M18-K18</f>
        <v/>
      </c>
      <c r="P18" s="990" t="inlineStr">
        <is>
          <t>always include</t>
        </is>
      </c>
      <c r="S18" s="694" t="n"/>
      <c r="Y18" s="1095" t="n"/>
    </row>
    <row r="19" hidden="1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SELECT CLADDING</t>
        </is>
      </c>
      <c r="D19" s="756">
        <f>IF(NOT(ISBLANK(C19)), ROUNDUP($F14/1000,0), 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S19" s="694" t="n"/>
      <c r="Y19" s="1095" t="n"/>
    </row>
    <row r="20" hidden="1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hidden="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hidden="1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S22" s="694" t="n"/>
      <c r="Y22" s="1095" t="n"/>
    </row>
    <row r="23" hidden="1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>
        <f>IF(ISNA(D23),0,(VLOOKUP(D23,'Base Costs'!$Q$4:$R$14,2,FALSE)))</f>
        <v/>
      </c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hidden="1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hidden="1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hidden="1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hidden="1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collapsed="1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 xml:space="preserve">ITEM 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68">
        <f>N29-N36</f>
        <v/>
      </c>
      <c r="Q29" s="1095" t="n"/>
      <c r="R29" s="1095" t="n"/>
      <c r="S29" s="713" t="n"/>
      <c r="T29" s="1095" t="n"/>
      <c r="X29" s="1095" t="n"/>
      <c r="Y29" s="1095" t="n"/>
      <c r="Z29" s="1095" t="n"/>
    </row>
    <row r="30" hidden="1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hidden="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hidden="1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hidden="1" outlineLevel="1" ht="15" customHeight="1" s="1085">
      <c r="A33" s="666" t="n">
        <v>234</v>
      </c>
      <c r="B33" s="731" t="inlineStr">
        <is>
          <t>SPECIAL WORKS</t>
        </is>
      </c>
      <c r="C33" s="752" t="inlineStr">
        <is>
          <t>SELECT WORKS</t>
        </is>
      </c>
      <c r="D33" s="735" t="n"/>
      <c r="E33" s="753">
        <f>IF(C33="","",VLOOKUP(C33,CCBASE!$A$53:$D$73,4,FALSE))</f>
        <v/>
      </c>
      <c r="F33" s="754" t="n"/>
      <c r="G33" s="749" t="n"/>
      <c r="H33" s="750" t="n"/>
      <c r="I33" s="755" t="n"/>
      <c r="J33" s="736">
        <f>IF(C33="",0,VLOOKUP(C33,CCBASE!$A$53:$C$73,2,FALSE))</f>
        <v/>
      </c>
      <c r="K33" s="737">
        <f>J33*D33</f>
        <v/>
      </c>
      <c r="L33" s="738" t="n">
        <v>0.44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hidden="1" outlineLevel="1" ht="15" customHeight="1" s="1085">
      <c r="B34" s="731" t="inlineStr">
        <is>
          <t>SPECIAL WORKS</t>
        </is>
      </c>
      <c r="C34" s="752" t="inlineStr">
        <is>
          <t>SELECT WORKS</t>
        </is>
      </c>
      <c r="D34" s="735" t="n"/>
      <c r="E34" s="753">
        <f>IF(C34="","",VLOOKUP(C34,CCBASE!$A$53:$D$73,4,FALSE))</f>
        <v/>
      </c>
      <c r="F34" s="754" t="n"/>
      <c r="G34" s="749" t="n"/>
      <c r="H34" s="750" t="n"/>
      <c r="I34" s="755" t="n"/>
      <c r="J34" s="736">
        <f>IF(C34="",0,VLOOKUP(C34,CCBASE!$A$53:$C$73,2,FALSE))</f>
        <v/>
      </c>
      <c r="K34" s="737">
        <f>J34*D34</f>
        <v/>
      </c>
      <c r="L34" s="738" t="n">
        <v>0.44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hidden="1" outlineLevel="1" ht="15" customHeight="1" s="1085">
      <c r="B35" s="978" t="inlineStr">
        <is>
          <t>SPECIAL WORKS</t>
        </is>
      </c>
      <c r="C35" s="979" t="inlineStr">
        <is>
          <t>BIM/ REVIT per CANOPY</t>
        </is>
      </c>
      <c r="D35" s="980" t="n"/>
      <c r="E35" s="1111" t="n"/>
      <c r="G35" s="977" t="n"/>
      <c r="H35" s="983" t="n"/>
      <c r="I35" s="984" t="n"/>
      <c r="J35" s="985">
        <f>IF(C35="",0,VLOOKUP(C35,CCBASE!$A$53:$C$73,2,FALSE))</f>
        <v/>
      </c>
      <c r="K35" s="986">
        <f>J35*D35</f>
        <v/>
      </c>
      <c r="L35" s="987" t="n">
        <v>0.44</v>
      </c>
      <c r="M35" s="988">
        <f>K35/(1-L35)*(1+$C$9)</f>
        <v/>
      </c>
      <c r="N35" s="986">
        <f>M35*VLOOKUP($B$9,'Base Costs'!$A$32:$B$37,2,FALSE)</f>
        <v/>
      </c>
      <c r="O35" s="989">
        <f>M35-K35</f>
        <v/>
      </c>
      <c r="P35" s="990" t="inlineStr">
        <is>
          <t>always include</t>
        </is>
      </c>
      <c r="S35" s="694" t="n"/>
      <c r="Y35" s="1095" t="n"/>
    </row>
    <row r="36" hidden="1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SELECT CLADDING</t>
        </is>
      </c>
      <c r="D36" s="756">
        <f>IF(NOT(ISBLANK(C36)), ROUNDUP($F31/1000,0), 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Y36" s="1095" t="n"/>
    </row>
    <row r="37" hidden="1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hidden="1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hidden="1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S39" s="694" t="n"/>
      <c r="Y39" s="1095" t="n"/>
    </row>
    <row r="40" hidden="1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>
        <f>IF(ISNA(D40),0,(VLOOKUP(D40,'Base Costs'!$Q$4:$R$13,2,FALSE)))</f>
        <v/>
      </c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hidden="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hidden="1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hidden="1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hidden="1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collapsed="1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68">
        <f>N46-N53</f>
        <v/>
      </c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731" t="inlineStr">
        <is>
          <t>SPECIAL WORKS</t>
        </is>
      </c>
      <c r="C50" s="752" t="inlineStr">
        <is>
          <t>SELECT WORKS</t>
        </is>
      </c>
      <c r="D50" s="735" t="n"/>
      <c r="E50" s="753">
        <f>IF(C50="","",VLOOKUP(C50,CCBASE!$A$53:$D$73,4,FALSE))</f>
        <v/>
      </c>
      <c r="F50" s="754" t="n"/>
      <c r="G50" s="749" t="n"/>
      <c r="H50" s="750" t="n"/>
      <c r="I50" s="755" t="n"/>
      <c r="J50" s="736">
        <f>IF(C50="",0,VLOOKUP(C50,CCBASE!$A$53:$C$73,2,FALSE))</f>
        <v/>
      </c>
      <c r="K50" s="737">
        <f>J50*D50</f>
        <v/>
      </c>
      <c r="L50" s="738" t="n">
        <v>0.44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731" t="inlineStr">
        <is>
          <t>SPECIAL WORKS</t>
        </is>
      </c>
      <c r="C51" s="752" t="inlineStr">
        <is>
          <t>SELECT WORKS</t>
        </is>
      </c>
      <c r="D51" s="735" t="n"/>
      <c r="E51" s="753">
        <f>IF(C51="","",VLOOKUP(C51,CCBASE!$A$53:$D$73,4,FALSE))</f>
        <v/>
      </c>
      <c r="F51" s="754" t="n"/>
      <c r="G51" s="749" t="n"/>
      <c r="H51" s="750" t="n"/>
      <c r="I51" s="755" t="n"/>
      <c r="J51" s="736">
        <f>IF(C51="",0,VLOOKUP(C51,CCBASE!$A$53:$C$73,2,FALSE))</f>
        <v/>
      </c>
      <c r="K51" s="737">
        <f>J51*D51</f>
        <v/>
      </c>
      <c r="L51" s="738" t="n">
        <v>0.44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978" t="inlineStr">
        <is>
          <t>SPECIAL WORKS</t>
        </is>
      </c>
      <c r="C52" s="979" t="inlineStr">
        <is>
          <t>BIM/ REVIT per CANOPY</t>
        </is>
      </c>
      <c r="D52" s="980" t="n"/>
      <c r="E52" s="981">
        <f>IF(C52="","",VLOOKUP(C52,CCBASE!$A$53:$D$73,4,FALSE))</f>
        <v/>
      </c>
      <c r="F52" s="982" t="n"/>
      <c r="G52" s="977" t="n"/>
      <c r="H52" s="983" t="n"/>
      <c r="I52" s="984" t="n"/>
      <c r="J52" s="985">
        <f>IF(C52="",0,VLOOKUP(C52,CCBASE!$A$53:$C$73,2,FALSE))</f>
        <v/>
      </c>
      <c r="K52" s="986">
        <f>J52*D52</f>
        <v/>
      </c>
      <c r="L52" s="987" t="n">
        <v>0.44</v>
      </c>
      <c r="M52" s="988">
        <f>K52/(1-L52)*(1+$C$9)</f>
        <v/>
      </c>
      <c r="N52" s="986">
        <f>M52*VLOOKUP($B$9,'Base Costs'!$A$32:$B$37,2,FALSE)</f>
        <v/>
      </c>
      <c r="O52" s="989">
        <f>M52-K52</f>
        <v/>
      </c>
      <c r="P52" s="990" t="inlineStr">
        <is>
          <t>always include</t>
        </is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SELECT CLADDING</t>
        </is>
      </c>
      <c r="D53" s="756">
        <f>IF(NOT(ISBLANK(C53)), ROUNDUP($F48/1000,0), 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>
        <f>IF(ISNA(D57),0,(VLOOKUP(D57,'Base Costs'!$Q$4:$R$13,2,FALSE)))</f>
        <v/>
      </c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68">
        <f>N63-N70</f>
        <v/>
      </c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731" t="inlineStr">
        <is>
          <t>SPECIAL WORKS</t>
        </is>
      </c>
      <c r="C67" s="752" t="inlineStr">
        <is>
          <t>SELECT WORKS</t>
        </is>
      </c>
      <c r="D67" s="735" t="n"/>
      <c r="E67" s="753">
        <f>IF(C67="","",VLOOKUP(C67,CCBASE!$A$53:$D$73,4,FALSE))</f>
        <v/>
      </c>
      <c r="F67" s="754" t="n"/>
      <c r="G67" s="749" t="n"/>
      <c r="H67" s="750" t="n"/>
      <c r="I67" s="755" t="n"/>
      <c r="J67" s="736">
        <f>IF(C67="",0,VLOOKUP(C67,CCBASE!$A$53:$C$73,2,FALSE))</f>
        <v/>
      </c>
      <c r="K67" s="737">
        <f>J67*D67</f>
        <v/>
      </c>
      <c r="L67" s="738" t="n">
        <v>0.44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731" t="inlineStr">
        <is>
          <t>SPECIAL WORKS</t>
        </is>
      </c>
      <c r="C68" s="752" t="inlineStr">
        <is>
          <t>SELECT WORKS</t>
        </is>
      </c>
      <c r="D68" s="735" t="n"/>
      <c r="E68" s="753">
        <f>IF(C68="","",VLOOKUP(C68,CCBASE!$A$53:$D$73,4,FALSE))</f>
        <v/>
      </c>
      <c r="F68" s="754" t="n"/>
      <c r="G68" s="749" t="n"/>
      <c r="H68" s="750" t="n"/>
      <c r="I68" s="755" t="n"/>
      <c r="J68" s="736">
        <f>IF(C68="",0,VLOOKUP(C68,CCBASE!$A$53:$C$73,2,FALSE))</f>
        <v/>
      </c>
      <c r="K68" s="737">
        <f>J68*D68</f>
        <v/>
      </c>
      <c r="L68" s="738" t="n">
        <v>0.44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978" t="inlineStr">
        <is>
          <t>SPECIAL WORKS</t>
        </is>
      </c>
      <c r="C69" s="979" t="inlineStr">
        <is>
          <t>BIM/ REVIT per CANOPY</t>
        </is>
      </c>
      <c r="D69" s="980" t="n"/>
      <c r="E69" s="981">
        <f>IF(C69="","",VLOOKUP(C69,CCBASE!$A$53:$D$73,4,FALSE))</f>
        <v/>
      </c>
      <c r="F69" s="982" t="n"/>
      <c r="G69" s="977" t="n"/>
      <c r="H69" s="983" t="n"/>
      <c r="I69" s="984" t="n"/>
      <c r="J69" s="985">
        <f>IF(C69="",0,VLOOKUP(C69,CCBASE!$A$53:$C$73,2,FALSE))</f>
        <v/>
      </c>
      <c r="K69" s="986">
        <f>J69*D69</f>
        <v/>
      </c>
      <c r="L69" s="987" t="n">
        <v>0.44</v>
      </c>
      <c r="M69" s="988">
        <f>K69/(1-L69)*(1+$C$9)</f>
        <v/>
      </c>
      <c r="N69" s="986">
        <f>M69*VLOOKUP($B$9,'Base Costs'!$A$32:$B$37,2,FALSE)</f>
        <v/>
      </c>
      <c r="O69" s="989">
        <f>M69-K69</f>
        <v/>
      </c>
      <c r="P69" s="990" t="inlineStr">
        <is>
          <t>always include</t>
        </is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IF(NOT(ISBLANK(C70)), ROUNDUP(F65/1000,0), 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>
        <f>IF(ISNA(D74),0,(VLOOKUP(D74,'Base Costs'!$Q$4:$R$13,2,FALSE)))</f>
        <v/>
      </c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68">
        <f>N80-N87</f>
        <v/>
      </c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731" t="inlineStr">
        <is>
          <t>SPECIAL WORKS</t>
        </is>
      </c>
      <c r="C84" s="752" t="inlineStr">
        <is>
          <t>SELECT WORKS</t>
        </is>
      </c>
      <c r="D84" s="735" t="n"/>
      <c r="E84" s="753">
        <f>IF(C84="","",VLOOKUP(C84,CCBASE!$A$53:$D$73,4,FALSE))</f>
        <v/>
      </c>
      <c r="F84" s="754" t="n"/>
      <c r="G84" s="749" t="n"/>
      <c r="H84" s="750" t="n"/>
      <c r="I84" s="755" t="n"/>
      <c r="J84" s="736">
        <f>IF(C84="",0,VLOOKUP(C84,CCBASE!$A$53:$C$73,2,FALSE))</f>
        <v/>
      </c>
      <c r="K84" s="737">
        <f>J84*D84</f>
        <v/>
      </c>
      <c r="L84" s="738" t="n">
        <v>0.44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SPECIAL WORKS</t>
        </is>
      </c>
      <c r="C85" s="752" t="inlineStr">
        <is>
          <t>SELECT WORKS</t>
        </is>
      </c>
      <c r="D85" s="735" t="n"/>
      <c r="E85" s="753">
        <f>IF(C85="","",VLOOKUP(C85,CCBASE!$A$53:$D$73,4,FALSE))</f>
        <v/>
      </c>
      <c r="F85" s="754" t="n"/>
      <c r="G85" s="749" t="n"/>
      <c r="H85" s="750" t="n"/>
      <c r="I85" s="755" t="n"/>
      <c r="J85" s="736">
        <f>IF(C85="",0,VLOOKUP(C85,CCBASE!$A$53:$C$73,2,FALSE))</f>
        <v/>
      </c>
      <c r="K85" s="737">
        <f>J85*D85</f>
        <v/>
      </c>
      <c r="L85" s="738" t="n">
        <v>0.44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978" t="inlineStr">
        <is>
          <t>SPECIAL WORKS</t>
        </is>
      </c>
      <c r="C86" s="979" t="inlineStr">
        <is>
          <t>BIM/ REVIT per CANOPY</t>
        </is>
      </c>
      <c r="D86" s="980" t="n"/>
      <c r="E86" s="981">
        <f>IF(C86="","",VLOOKUP(C86,CCBASE!$A$53:$D$73,4,FALSE))</f>
        <v/>
      </c>
      <c r="F86" s="982" t="n"/>
      <c r="G86" s="977" t="n"/>
      <c r="H86" s="983" t="n"/>
      <c r="I86" s="984" t="n"/>
      <c r="J86" s="985">
        <f>IF(C86="",0,VLOOKUP(C86,CCBASE!$A$53:$C$73,2,FALSE))</f>
        <v/>
      </c>
      <c r="K86" s="986">
        <f>J86*D86</f>
        <v/>
      </c>
      <c r="L86" s="987" t="n">
        <v>0.44</v>
      </c>
      <c r="M86" s="988">
        <f>K86/(1-L86)*(1+$C$9)</f>
        <v/>
      </c>
      <c r="N86" s="986">
        <f>M86*VLOOKUP($B$9,'Base Costs'!$A$32:$B$37,2,FALSE)</f>
        <v/>
      </c>
      <c r="O86" s="989">
        <f>M86-K86</f>
        <v/>
      </c>
      <c r="P86" s="990" t="inlineStr">
        <is>
          <t>always include</t>
        </is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IF(NOT(ISBLANK(C87)), ROUNDUP(F82/1000,0), 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>
        <f>IF(ISNA(D91),0,(VLOOKUP(D91,'Base Costs'!$Q$4:$R$13,2,FALSE)))</f>
        <v/>
      </c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IF(ISNUMBER(SEARCH("UV",D99)),49.7,71.75)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68">
        <f>N97-N104</f>
        <v/>
      </c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731" t="inlineStr">
        <is>
          <t>SPECIAL WORKS</t>
        </is>
      </c>
      <c r="C101" s="752" t="inlineStr">
        <is>
          <t>SELECT WORKS</t>
        </is>
      </c>
      <c r="D101" s="735" t="n"/>
      <c r="E101" s="753">
        <f>IF(C101="","",VLOOKUP(C101,CCBASE!$A$53:$D$73,4,FALSE))</f>
        <v/>
      </c>
      <c r="F101" s="754" t="n"/>
      <c r="G101" s="749" t="n"/>
      <c r="H101" s="750" t="n"/>
      <c r="I101" s="755" t="n"/>
      <c r="J101" s="736">
        <f>IF(C101="",0,VLOOKUP(C101,CCBASE!$A$53:$C$73,2,FALSE))</f>
        <v/>
      </c>
      <c r="K101" s="737">
        <f>J101*D101</f>
        <v/>
      </c>
      <c r="L101" s="738" t="n">
        <v>0.44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584" t="inlineStr">
        <is>
          <t>SPECIAL WORKS</t>
        </is>
      </c>
      <c r="C102" s="33" t="inlineStr">
        <is>
          <t>SELECT WORKS</t>
        </is>
      </c>
      <c r="D102" s="735" t="n"/>
      <c r="E102" s="753">
        <f>IF(C102="","",VLOOKUP(C102,CCBASE!$A$53:$D$73,4,FALSE))</f>
        <v/>
      </c>
      <c r="F102" s="754" t="n"/>
      <c r="G102" s="749" t="n"/>
      <c r="H102" s="750" t="n"/>
      <c r="I102" s="755" t="n"/>
      <c r="J102" s="736">
        <f>IF(C102="",0,VLOOKUP(C102,CCBASE!$A$53:$C$73,2,FALSE))</f>
        <v/>
      </c>
      <c r="K102" s="737">
        <f>J102*D102</f>
        <v/>
      </c>
      <c r="L102" s="738" t="n">
        <v>0.44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991" t="inlineStr">
        <is>
          <t>SPECIAL WORKS</t>
        </is>
      </c>
      <c r="C103" s="992" t="inlineStr">
        <is>
          <t>BIM/ REVIT per CANOPY</t>
        </is>
      </c>
      <c r="D103" s="980" t="n"/>
      <c r="E103" s="981">
        <f>IF(C103="","",VLOOKUP(C103,CCBASE!$A$53:$D$73,4,FALSE))</f>
        <v/>
      </c>
      <c r="F103" s="982" t="n"/>
      <c r="G103" s="977" t="n"/>
      <c r="H103" s="983" t="n"/>
      <c r="I103" s="984" t="n"/>
      <c r="J103" s="985">
        <f>IF(C103="",0,VLOOKUP(C103,CCBASE!$A$53:$C$73,2,FALSE))</f>
        <v/>
      </c>
      <c r="K103" s="986">
        <f>J103*D103</f>
        <v/>
      </c>
      <c r="L103" s="987" t="n">
        <v>0.44</v>
      </c>
      <c r="M103" s="988">
        <f>K103/(1-L103)*(1+$C$9)</f>
        <v/>
      </c>
      <c r="N103" s="986">
        <f>M103*VLOOKUP($B$9,'Base Costs'!$A$32:$B$37,2,FALSE)</f>
        <v/>
      </c>
      <c r="O103" s="989">
        <f>M103-K103</f>
        <v/>
      </c>
      <c r="P103" s="990" t="inlineStr">
        <is>
          <t>always include</t>
        </is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IF(NOT(ISBLANK(C104)), ROUNDUP(F99/1000,0), 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>
        <f>IF(ISNA(D108),0,(VLOOKUP(D108,'Base Costs'!$Q$4:$R$13,2,FALSE)))</f>
        <v/>
      </c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IF(ISNUMBER(SEARCH("UV",D116)),49.7,71.75)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68">
        <f>N114-N121</f>
        <v/>
      </c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731" t="inlineStr">
        <is>
          <t>SPECIAL WORKS</t>
        </is>
      </c>
      <c r="C118" s="752" t="inlineStr">
        <is>
          <t>SELECT WORKS</t>
        </is>
      </c>
      <c r="D118" s="735" t="n"/>
      <c r="E118" s="753">
        <f>IF(C118="","",VLOOKUP(C118,CCBASE!$A$53:$D$73,4,FALSE))</f>
        <v/>
      </c>
      <c r="F118" s="754" t="n"/>
      <c r="G118" s="749" t="n"/>
      <c r="H118" s="750" t="n"/>
      <c r="I118" s="755" t="n"/>
      <c r="J118" s="736">
        <f>IF(C118="",0,VLOOKUP(C118,CCBASE!$A$53:$C$73,2,FALSE))</f>
        <v/>
      </c>
      <c r="K118" s="737">
        <f>J118*D118</f>
        <v/>
      </c>
      <c r="L118" s="738" t="n">
        <v>0.44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584" t="inlineStr">
        <is>
          <t>SPECIAL WORKS</t>
        </is>
      </c>
      <c r="C119" s="33" t="inlineStr">
        <is>
          <t>SELECT WORKS</t>
        </is>
      </c>
      <c r="D119" s="735" t="n"/>
      <c r="E119" s="753">
        <f>IF(C119="","",VLOOKUP(C119,CCBASE!$A$53:$D$73,4,FALSE))</f>
        <v/>
      </c>
      <c r="F119" s="754" t="n"/>
      <c r="G119" s="749" t="n"/>
      <c r="H119" s="750" t="n"/>
      <c r="I119" s="755" t="n"/>
      <c r="J119" s="736">
        <f>IF(C119="",0,VLOOKUP(C119,CCBASE!$A$53:$C$73,2,FALSE))</f>
        <v/>
      </c>
      <c r="K119" s="737">
        <f>J119*D119</f>
        <v/>
      </c>
      <c r="L119" s="738" t="n">
        <v>0.44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991" t="inlineStr">
        <is>
          <t>SPECIAL WORKS</t>
        </is>
      </c>
      <c r="C120" s="992" t="inlineStr">
        <is>
          <t>BIM/ REVIT per CANOPY</t>
        </is>
      </c>
      <c r="D120" s="980" t="n"/>
      <c r="E120" s="981">
        <f>IF(C120="","",VLOOKUP(C120,CCBASE!$A$53:$D$73,4,FALSE))</f>
        <v/>
      </c>
      <c r="F120" s="982" t="n"/>
      <c r="G120" s="977" t="n"/>
      <c r="H120" s="983" t="n"/>
      <c r="I120" s="984" t="n"/>
      <c r="J120" s="985">
        <f>IF(C120="",0,VLOOKUP(C120,CCBASE!$A$53:$C$73,2,FALSE))</f>
        <v/>
      </c>
      <c r="K120" s="986">
        <f>J120*D120</f>
        <v/>
      </c>
      <c r="L120" s="987" t="n">
        <v>0.44</v>
      </c>
      <c r="M120" s="988">
        <f>K120/(1-L120)*(1+$C$9)</f>
        <v/>
      </c>
      <c r="N120" s="986">
        <f>M120*VLOOKUP($B$9,'Base Costs'!$A$32:$B$37,2,FALSE)</f>
        <v/>
      </c>
      <c r="O120" s="989">
        <f>M120-K120</f>
        <v/>
      </c>
      <c r="P120" s="990" t="inlineStr">
        <is>
          <t>always include</t>
        </is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IF(NOT(ISBLANK(C121)), ROUNDUP(F116/1000,0), 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>
        <f>IF(ISNA(D125),0,(VLOOKUP(D125,'Base Costs'!$Q$4:$R$13,2,FALSE)))</f>
        <v/>
      </c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68">
        <f>N131-N138</f>
        <v/>
      </c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733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731" t="inlineStr">
        <is>
          <t>SPECIAL WORKS</t>
        </is>
      </c>
      <c r="C135" s="752" t="inlineStr">
        <is>
          <t>SELECT WORKS</t>
        </is>
      </c>
      <c r="D135" s="735" t="n"/>
      <c r="E135" s="753">
        <f>IF(C135="","",VLOOKUP(C135,CCBASE!$A$53:$D$73,4,FALSE))</f>
        <v/>
      </c>
      <c r="F135" s="754" t="n"/>
      <c r="G135" s="749" t="n"/>
      <c r="H135" s="750" t="n"/>
      <c r="I135" s="755" t="n"/>
      <c r="J135" s="736">
        <f>IF(C135="",0,VLOOKUP(C135,CCBASE!$A$53:$C$73,2,FALSE))</f>
        <v/>
      </c>
      <c r="K135" s="737">
        <f>J135*D135</f>
        <v/>
      </c>
      <c r="L135" s="738" t="n">
        <v>0.44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584" t="inlineStr">
        <is>
          <t>SPECIAL WORKS</t>
        </is>
      </c>
      <c r="C136" s="33" t="inlineStr">
        <is>
          <t>SELECT WORKS</t>
        </is>
      </c>
      <c r="D136" s="735" t="n"/>
      <c r="E136" s="753">
        <f>IF(C136="","",VLOOKUP(C136,CCBASE!$A$53:$D$73,4,FALSE))</f>
        <v/>
      </c>
      <c r="F136" s="754" t="n"/>
      <c r="G136" s="749" t="n"/>
      <c r="H136" s="750" t="n"/>
      <c r="I136" s="755" t="n"/>
      <c r="J136" s="736">
        <f>IF(C136="",0,VLOOKUP(C136,CCBASE!$A$53:$C$73,2,FALSE))</f>
        <v/>
      </c>
      <c r="K136" s="737">
        <f>J136*D136</f>
        <v/>
      </c>
      <c r="L136" s="738" t="n">
        <v>0.44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991" t="inlineStr">
        <is>
          <t>SPECIAL WORKS</t>
        </is>
      </c>
      <c r="C137" s="992" t="inlineStr">
        <is>
          <t>BIM/ REVIT per CANOPY</t>
        </is>
      </c>
      <c r="D137" s="980" t="n"/>
      <c r="E137" s="981">
        <f>IF(C137="","",VLOOKUP(C137,CCBASE!$A$53:$D$73,4,FALSE))</f>
        <v/>
      </c>
      <c r="F137" s="982" t="n"/>
      <c r="G137" s="977" t="n"/>
      <c r="H137" s="983" t="n"/>
      <c r="I137" s="984" t="n"/>
      <c r="J137" s="985">
        <f>IF(C137="",0,VLOOKUP(C137,CCBASE!$A$53:$C$73,2,FALSE))</f>
        <v/>
      </c>
      <c r="K137" s="986">
        <f>J137*D137</f>
        <v/>
      </c>
      <c r="L137" s="987" t="n">
        <v>0.44</v>
      </c>
      <c r="M137" s="988">
        <f>K137/(1-L137)*(1+$C$9)</f>
        <v/>
      </c>
      <c r="N137" s="986">
        <f>M137*VLOOKUP($B$9,'Base Costs'!$A$32:$B$37,2,FALSE)</f>
        <v/>
      </c>
      <c r="O137" s="989">
        <f>M137-K137</f>
        <v/>
      </c>
      <c r="P137" s="990" t="inlineStr">
        <is>
          <t>always include</t>
        </is>
      </c>
      <c r="S137" s="694" t="n"/>
      <c r="Y137" s="1095" t="n"/>
    </row>
    <row r="138" hidden="1" outlineLevel="1" ht="15" customHeight="1" s="1085">
      <c r="A138" s="666" t="n">
        <v>289</v>
      </c>
      <c r="B138" s="584" t="inlineStr">
        <is>
          <t>WALL CLADDING</t>
        </is>
      </c>
      <c r="C138" s="33" t="inlineStr">
        <is>
          <t>SELECT CLADDING</t>
        </is>
      </c>
      <c r="D138" s="756">
        <f>IF(NOT(ISBLANK(C138)), ROUNDUP(F133/1000,0), 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584" t="inlineStr">
        <is>
          <t>INFILL PANEL</t>
        </is>
      </c>
      <c r="C139" s="752" t="n"/>
      <c r="D139" s="742" t="inlineStr">
        <is>
          <t>m²</t>
        </is>
      </c>
      <c r="E139" s="749" t="n"/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>
        <f>IF(ISNA(D142),0,(VLOOKUP(D142,'Base Costs'!$Q$4:$R$13,2,FALSE)))</f>
        <v/>
      </c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IF(ISNUMBER(SEARCH("UV",D150)),49.7,71.75)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68">
        <f>N148-N155</f>
        <v/>
      </c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731" t="inlineStr">
        <is>
          <t>SPECIAL WORKS</t>
        </is>
      </c>
      <c r="C152" s="752" t="inlineStr">
        <is>
          <t>SELECT WORKS</t>
        </is>
      </c>
      <c r="D152" s="735" t="n"/>
      <c r="E152" s="753">
        <f>IF(C152="","",VLOOKUP(C152,CCBASE!$A$53:$D$73,4,FALSE))</f>
        <v/>
      </c>
      <c r="F152" s="754" t="n"/>
      <c r="G152" s="749" t="n"/>
      <c r="H152" s="750" t="n"/>
      <c r="I152" s="755" t="n"/>
      <c r="J152" s="736">
        <f>IF(C152="",0,VLOOKUP(C152,CCBASE!$A$53:$C$73,2,FALSE))</f>
        <v/>
      </c>
      <c r="K152" s="737">
        <f>J152*D152</f>
        <v/>
      </c>
      <c r="L152" s="738" t="n">
        <v>0.44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584" t="inlineStr">
        <is>
          <t>SPECIAL WORKS</t>
        </is>
      </c>
      <c r="C153" s="33" t="inlineStr">
        <is>
          <t>SELECT WORKS</t>
        </is>
      </c>
      <c r="D153" s="735" t="n"/>
      <c r="E153" s="753">
        <f>IF(C153="","",VLOOKUP(C153,CCBASE!$A$53:$D$73,4,FALSE))</f>
        <v/>
      </c>
      <c r="F153" s="754" t="n"/>
      <c r="G153" s="749" t="n"/>
      <c r="H153" s="750" t="n"/>
      <c r="I153" s="755" t="n"/>
      <c r="J153" s="736">
        <f>IF(C153="",0,VLOOKUP(C153,CCBASE!$A$53:$C$73,2,FALSE))</f>
        <v/>
      </c>
      <c r="K153" s="737">
        <f>J153*D153</f>
        <v/>
      </c>
      <c r="L153" s="738" t="n">
        <v>0.44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991" t="inlineStr">
        <is>
          <t>SPECIAL WORKS</t>
        </is>
      </c>
      <c r="C154" s="992" t="inlineStr">
        <is>
          <t>BIM/ REVIT per CANOPY</t>
        </is>
      </c>
      <c r="D154" s="980" t="n"/>
      <c r="E154" s="981">
        <f>IF(C154="","",VLOOKUP(C154,CCBASE!$A$53:$D$73,4,FALSE))</f>
        <v/>
      </c>
      <c r="F154" s="982" t="n"/>
      <c r="G154" s="977" t="n"/>
      <c r="H154" s="983" t="n"/>
      <c r="I154" s="984" t="n"/>
      <c r="J154" s="985">
        <f>IF(C154="",0,VLOOKUP(C154,CCBASE!$A$53:$C$73,2,FALSE))</f>
        <v/>
      </c>
      <c r="K154" s="986">
        <f>J154*D154</f>
        <v/>
      </c>
      <c r="L154" s="987" t="n">
        <v>0.44</v>
      </c>
      <c r="M154" s="988">
        <f>K154/(1-L154)*(1+$C$9)</f>
        <v/>
      </c>
      <c r="N154" s="986">
        <f>M154*VLOOKUP($B$9,'Base Costs'!$A$32:$B$37,2,FALSE)</f>
        <v/>
      </c>
      <c r="O154" s="989">
        <f>M154-K154</f>
        <v/>
      </c>
      <c r="P154" s="990" t="inlineStr">
        <is>
          <t>always include</t>
        </is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IF(NOT(ISBLANK(C155)), ROUNDUP(F150/1000,0), 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>
        <f>IF(ISNA(D159),0,(VLOOKUP(D159,'Base Costs'!$Q$4:$R$13,2,FALSE)))</f>
        <v/>
      </c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IF(ISNUMBER(SEARCH("UV",D167)),49.7,71.75)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68">
        <f>N165-N172</f>
        <v/>
      </c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731" t="inlineStr">
        <is>
          <t>SPECIAL WORKS</t>
        </is>
      </c>
      <c r="C169" s="752" t="inlineStr">
        <is>
          <t>SELECT WORKS</t>
        </is>
      </c>
      <c r="D169" s="735" t="n"/>
      <c r="E169" s="753">
        <f>IF(C169="","",VLOOKUP(C169,CCBASE!$A$53:$D$73,4,FALSE))</f>
        <v/>
      </c>
      <c r="F169" s="754" t="n"/>
      <c r="G169" s="749" t="n"/>
      <c r="H169" s="750" t="n"/>
      <c r="I169" s="755" t="n"/>
      <c r="J169" s="736">
        <f>IF(C169="",0,VLOOKUP(C169,CCBASE!$A$53:$C$73,2,FALSE))</f>
        <v/>
      </c>
      <c r="K169" s="737">
        <f>J169*D169</f>
        <v/>
      </c>
      <c r="L169" s="738" t="n">
        <v>0.44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584" t="inlineStr">
        <is>
          <t>SPECIAL WORKS</t>
        </is>
      </c>
      <c r="C170" s="33" t="inlineStr">
        <is>
          <t>SELECT WORKS</t>
        </is>
      </c>
      <c r="D170" s="735" t="n"/>
      <c r="E170" s="753">
        <f>IF(C170="","",VLOOKUP(C170,CCBASE!$A$53:$D$73,4,FALSE))</f>
        <v/>
      </c>
      <c r="F170" s="754" t="n"/>
      <c r="G170" s="749" t="n"/>
      <c r="H170" s="750" t="n"/>
      <c r="I170" s="755" t="n"/>
      <c r="J170" s="736">
        <f>IF(C170="",0,VLOOKUP(C170,CCBASE!$A$53:$C$73,2,FALSE))</f>
        <v/>
      </c>
      <c r="K170" s="737">
        <f>J170*D170</f>
        <v/>
      </c>
      <c r="L170" s="738" t="n">
        <v>0.44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991" t="inlineStr">
        <is>
          <t>SPECIAL WORKS</t>
        </is>
      </c>
      <c r="C171" s="992" t="inlineStr">
        <is>
          <t>BIM/ REVIT per CANOPY</t>
        </is>
      </c>
      <c r="D171" s="980" t="n"/>
      <c r="E171" s="981">
        <f>IF(C171="","",VLOOKUP(C171,CCBASE!$A$53:$D$73,4,FALSE))</f>
        <v/>
      </c>
      <c r="F171" s="982" t="n"/>
      <c r="G171" s="977" t="n"/>
      <c r="H171" s="983" t="n"/>
      <c r="I171" s="984" t="n"/>
      <c r="J171" s="985">
        <f>IF(C171="",0,VLOOKUP(C171,CCBASE!$A$53:$C$73,2,FALSE))</f>
        <v/>
      </c>
      <c r="K171" s="986">
        <f>J171*D171</f>
        <v/>
      </c>
      <c r="L171" s="987" t="n">
        <v>0.44</v>
      </c>
      <c r="M171" s="988">
        <f>K171/(1-L171)*(1+$C$9)</f>
        <v/>
      </c>
      <c r="N171" s="986">
        <f>M171*VLOOKUP($B$9,'Base Costs'!$A$32:$B$37,2,FALSE)</f>
        <v/>
      </c>
      <c r="O171" s="989">
        <f>M171-K171</f>
        <v/>
      </c>
      <c r="P171" s="990" t="inlineStr">
        <is>
          <t>always include</t>
        </is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IF(NOT(ISBLANK(C172)), ROUNDUP(F167/1000,0), 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>
        <f>IF(ISNA(D176),0,(VLOOKUP(D176,'Base Costs'!$Q$4:$R$13,2,FALSE)))</f>
        <v/>
      </c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10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P182" s="1068">
        <f>N182-N193</f>
        <v/>
      </c>
      <c r="S182" s="694" t="n"/>
    </row>
    <row r="183" ht="15" customHeight="1" s="1085">
      <c r="A183" s="666" t="n">
        <v>222</v>
      </c>
      <c r="B183" s="589" t="inlineStr">
        <is>
          <t>DELIVERY 1 x 7.5T TAIL LIFT 3200KGS</t>
        </is>
      </c>
      <c r="C183" s="774" t="n"/>
      <c r="D183" s="775" t="inlineStr">
        <is>
          <t>SELECT LOCATION…</t>
        </is>
      </c>
      <c r="E183" s="1111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Q183" s="745" t="n"/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/>
      <c r="D184" s="775" t="inlineStr">
        <is>
          <t>PLANT SELECTION (weekly)</t>
        </is>
      </c>
      <c r="E184" s="1108" t="inlineStr">
        <is>
          <t>Install of 6no Pieces of Canopy Max</t>
        </is>
      </c>
      <c r="G184" s="748" t="n"/>
      <c r="H184" s="748" t="n"/>
      <c r="I184" s="748" t="n"/>
      <c r="J184" s="776">
        <f>VLOOKUP(D184,'Base Costs'!$A$3:$B$15,2,FALSE)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269" t="inlineStr">
        <is>
          <t xml:space="preserve">PLANT HIRE </t>
        </is>
      </c>
      <c r="C185" s="777" t="n"/>
      <c r="D185" s="775" t="inlineStr">
        <is>
          <t>PLANT SELECTION (weekly)</t>
        </is>
      </c>
      <c r="E185" s="1108" t="inlineStr">
        <is>
          <t>Install of 6no Pieces of Canopy Max</t>
        </is>
      </c>
      <c r="G185" s="748" t="n"/>
      <c r="H185" s="748" t="n"/>
      <c r="I185" s="748" t="n"/>
      <c r="J185" s="776">
        <f>VLOOKUP(D185,'Base Costs'!$A$3:$B$15,2,FALSE)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S185" s="694" t="n"/>
    </row>
    <row r="186" ht="15" customHeight="1" s="1085">
      <c r="A186" s="666" t="n">
        <v>222</v>
      </c>
      <c r="B186" s="270" t="n"/>
      <c r="C186" s="946" t="n"/>
      <c r="D186" s="775" t="inlineStr">
        <is>
          <t>SELECT LOCATION…</t>
        </is>
      </c>
      <c r="E186" s="1109" t="n"/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610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>
        <f>ROUNDUP((IF(C14="WALL",(F14/1000),(F14/1000)*2)+IF(C31="WALL",(F31/1000),(F31/1000)*2)+IF(C48="WALL",(F48/1000),(F48/1000)*2)+IF(C65="WALL",(F65/1000),(F65/1000)*2)+IF(C82="WALL",(F82/1000),(F82/1000)*2)+IF(C99="WALL",(F99/1000),(F99/1000)*2)+IF(C116="WALL",(F116/1000),(F116/1000)*2)+IF(C133="WALL",(F133/1000),(F133/1000)*2)+IF(C150="WALL",(F150/1000),(F150/1000)*2)+IF(C167="WALL",(F167/1000),(F167/1000)*2)),0)</f>
        <v/>
      </c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731" t="inlineStr">
        <is>
          <t>INSTALLATION NORMAL HOURS</t>
        </is>
      </c>
      <c r="C189" s="777" t="n"/>
      <c r="D189" s="1102" t="inlineStr">
        <is>
          <t>2 Pieces = 1 Day, 4 Pieces = 1.5 Days, 6 Pieces = 2 Days, 8 Pieces = 2.5 Days (1 Section up to 3m long equals 2 Pieces) + logistics</t>
        </is>
      </c>
      <c r="J189" s="776" t="n">
        <v>610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S189" s="694" t="n"/>
    </row>
    <row r="190" ht="15" customHeight="1" s="1085">
      <c r="A190" s="666" t="n">
        <v>400</v>
      </c>
      <c r="B190" s="731" t="inlineStr">
        <is>
          <t>INSTALLATION AFTER HOURS</t>
        </is>
      </c>
      <c r="C190" s="777" t="n"/>
      <c r="D190" s="1102" t="inlineStr">
        <is>
          <t>2 Pieces = 1 Day, 4 Pieces = 1.5 Days, 6 Pieces = 2 Days, 8 Pieces = 2.5 Days (1 Section up to 3m long equals 2 Pieces) + logistics</t>
        </is>
      </c>
      <c r="J190" s="776" t="n">
        <v>1220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610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220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15" t="inlineStr">
        <is>
          <t>ONE Engineer,  1 day per 4no UV or W/W Sections of Canopy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9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09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20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2">
    <mergeCell ref="B203:O203"/>
    <mergeCell ref="H91:I91"/>
    <mergeCell ref="D189:I189"/>
    <mergeCell ref="E121:F121"/>
    <mergeCell ref="H38:I38"/>
    <mergeCell ref="H125:I125"/>
    <mergeCell ref="B200:O200"/>
    <mergeCell ref="G186:I186"/>
    <mergeCell ref="D194:F194"/>
    <mergeCell ref="C5:D5"/>
    <mergeCell ref="H141:I141"/>
    <mergeCell ref="E185:F185"/>
    <mergeCell ref="D197:F197"/>
    <mergeCell ref="B182:G182"/>
    <mergeCell ref="B202:O202"/>
    <mergeCell ref="H55:I55"/>
    <mergeCell ref="H40:I40"/>
    <mergeCell ref="H74:I74"/>
    <mergeCell ref="H176:I176"/>
    <mergeCell ref="H56:I56"/>
    <mergeCell ref="P7:R7"/>
    <mergeCell ref="E35:F35"/>
    <mergeCell ref="H39:I39"/>
    <mergeCell ref="E87:F87"/>
    <mergeCell ref="G9:J9"/>
    <mergeCell ref="H21:I21"/>
    <mergeCell ref="H73:I73"/>
    <mergeCell ref="H157:I157"/>
    <mergeCell ref="D195:E195"/>
    <mergeCell ref="D193:F193"/>
    <mergeCell ref="E138:F138"/>
    <mergeCell ref="E19:F19"/>
    <mergeCell ref="H142:I142"/>
    <mergeCell ref="E155:F155"/>
    <mergeCell ref="H89:I89"/>
    <mergeCell ref="H123:I123"/>
    <mergeCell ref="G5:J5"/>
    <mergeCell ref="B1:C1"/>
    <mergeCell ref="E9:F9"/>
    <mergeCell ref="H108:I108"/>
    <mergeCell ref="H106:I106"/>
    <mergeCell ref="E186:F186"/>
    <mergeCell ref="G183:I183"/>
    <mergeCell ref="E104:F104"/>
    <mergeCell ref="H72:I72"/>
    <mergeCell ref="H174:I174"/>
    <mergeCell ref="H90:I90"/>
    <mergeCell ref="B205:O205"/>
    <mergeCell ref="H57:I57"/>
    <mergeCell ref="G7:J7"/>
    <mergeCell ref="H159:I159"/>
    <mergeCell ref="E36:F36"/>
    <mergeCell ref="H22:I22"/>
    <mergeCell ref="E70:F70"/>
    <mergeCell ref="H140:I140"/>
    <mergeCell ref="H158:I158"/>
    <mergeCell ref="D196:E196"/>
    <mergeCell ref="E172:F172"/>
    <mergeCell ref="C7:D7"/>
    <mergeCell ref="D190:I190"/>
    <mergeCell ref="G3:J3"/>
    <mergeCell ref="E183:F183"/>
    <mergeCell ref="H124:I124"/>
    <mergeCell ref="B201:O201"/>
    <mergeCell ref="E184:F184"/>
    <mergeCell ref="H107:I107"/>
    <mergeCell ref="E53:F53"/>
    <mergeCell ref="B204:O204"/>
    <mergeCell ref="H23:I23"/>
    <mergeCell ref="C3:D3"/>
    <mergeCell ref="P5:T5"/>
    <mergeCell ref="H175:I175"/>
  </mergeCells>
  <conditionalFormatting sqref="B9">
    <cfRule type="containsText" priority="663" operator="containsText" dxfId="680" text="SELECT">
      <formula>NOT(ISERROR(SEARCH("SELECT",B9)))</formula>
    </cfRule>
    <cfRule type="expression" priority="664" dxfId="680">
      <formula>B9="CURRENCY"</formula>
    </cfRule>
  </conditionalFormatting>
  <conditionalFormatting sqref="B11">
    <cfRule type="expression" priority="626" dxfId="637">
      <formula>$B11&lt;&gt;""</formula>
    </cfRule>
  </conditionalFormatting>
  <conditionalFormatting sqref="B14:B23">
    <cfRule type="expression" priority="618" dxfId="633">
      <formula>$J14&gt;0</formula>
    </cfRule>
  </conditionalFormatting>
  <conditionalFormatting sqref="B24">
    <cfRule type="expression" priority="615" dxfId="633">
      <formula>ISNUMBER(SEARCH("UV",$D14))</formula>
    </cfRule>
    <cfRule type="expression" priority="616" dxfId="358">
      <formula>($D14="CANOPY TYPE")</formula>
    </cfRule>
  </conditionalFormatting>
  <conditionalFormatting sqref="B25:B27">
    <cfRule type="expression" priority="443" dxfId="633">
      <formula>$J25&gt;0</formula>
    </cfRule>
  </conditionalFormatting>
  <conditionalFormatting sqref="B28">
    <cfRule type="expression" priority="624" dxfId="637">
      <formula>$B28&lt;&gt;""</formula>
    </cfRule>
  </conditionalFormatting>
  <conditionalFormatting sqref="B31:B40">
    <cfRule type="expression" priority="388" dxfId="633">
      <formula>$J31&gt;0</formula>
    </cfRule>
  </conditionalFormatting>
  <conditionalFormatting sqref="B41">
    <cfRule type="expression" priority="583" dxfId="633">
      <formula>ISNUMBER(SEARCH("UV",$D31))</formula>
    </cfRule>
    <cfRule type="expression" priority="584" dxfId="358">
      <formula>($D31="CANOPY TYPE")</formula>
    </cfRule>
  </conditionalFormatting>
  <conditionalFormatting sqref="B42:B44">
    <cfRule type="expression" priority="585" dxfId="633">
      <formula>$J42&gt;0</formula>
    </cfRule>
  </conditionalFormatting>
  <conditionalFormatting sqref="B45">
    <cfRule type="expression" priority="623" dxfId="637">
      <formula>$B45&lt;&gt;""</formula>
    </cfRule>
  </conditionalFormatting>
  <conditionalFormatting sqref="B48:B57">
    <cfRule type="expression" priority="103" dxfId="633">
      <formula>$J48&gt;0</formula>
    </cfRule>
  </conditionalFormatting>
  <conditionalFormatting sqref="B58">
    <cfRule type="expression" priority="557" dxfId="358">
      <formula>($D48="CANOPY TYPE")</formula>
    </cfRule>
    <cfRule type="expression" priority="556" dxfId="633">
      <formula>ISNUMBER(SEARCH("UV",$D48))</formula>
    </cfRule>
  </conditionalFormatting>
  <conditionalFormatting sqref="B59:B61">
    <cfRule type="expression" priority="442" dxfId="633">
      <formula>$J59&gt;0</formula>
    </cfRule>
  </conditionalFormatting>
  <conditionalFormatting sqref="B62">
    <cfRule type="expression" priority="622" dxfId="637">
      <formula>$B62&lt;&gt;""</formula>
    </cfRule>
  </conditionalFormatting>
  <conditionalFormatting sqref="B65:B74">
    <cfRule type="expression" priority="89" dxfId="633">
      <formula>$J65&gt;0</formula>
    </cfRule>
  </conditionalFormatting>
  <conditionalFormatting sqref="B75">
    <cfRule type="expression" priority="528" dxfId="633">
      <formula>ISNUMBER(SEARCH("UV",$D65))</formula>
    </cfRule>
    <cfRule type="expression" priority="529" dxfId="358">
      <formula>($D65="CANOPY TYPE")</formula>
    </cfRule>
  </conditionalFormatting>
  <conditionalFormatting sqref="B76:B78">
    <cfRule type="expression" priority="441" dxfId="633">
      <formula>$J76&gt;0</formula>
    </cfRule>
  </conditionalFormatting>
  <conditionalFormatting sqref="B79">
    <cfRule type="expression" priority="621" dxfId="637">
      <formula>$B79&lt;&gt;""</formula>
    </cfRule>
  </conditionalFormatting>
  <conditionalFormatting sqref="B82:B91">
    <cfRule type="expression" priority="75" dxfId="633">
      <formula>$J82&gt;0</formula>
    </cfRule>
  </conditionalFormatting>
  <conditionalFormatting sqref="B92">
    <cfRule type="expression" priority="499" dxfId="633">
      <formula>ISNUMBER(SEARCH("UV",$D82))</formula>
    </cfRule>
    <cfRule type="expression" priority="500" dxfId="358">
      <formula>($D82="CANOPY TYPE")</formula>
    </cfRule>
  </conditionalFormatting>
  <conditionalFormatting sqref="B93:B95">
    <cfRule type="expression" priority="440" dxfId="633">
      <formula>$J93&gt;0</formula>
    </cfRule>
  </conditionalFormatting>
  <conditionalFormatting sqref="B96">
    <cfRule type="expression" priority="620" dxfId="637">
      <formula>$B96&lt;&gt;""</formula>
    </cfRule>
  </conditionalFormatting>
  <conditionalFormatting sqref="B99:B108">
    <cfRule type="expression" priority="61" dxfId="633">
      <formula>$J99&gt;0</formula>
    </cfRule>
  </conditionalFormatting>
  <conditionalFormatting sqref="B109">
    <cfRule type="expression" priority="472" dxfId="358">
      <formula>($D99="CANOPY TYPE")</formula>
    </cfRule>
    <cfRule type="expression" priority="471" dxfId="633">
      <formula>ISNUMBER(SEARCH("UV",$D99))</formula>
    </cfRule>
  </conditionalFormatting>
  <conditionalFormatting sqref="B110:B112 B127:B129 B144:B146 B161:B163 B178:B180">
    <cfRule type="expression" priority="439" dxfId="633">
      <formula>$J110&gt;0</formula>
    </cfRule>
  </conditionalFormatting>
  <conditionalFormatting sqref="B113">
    <cfRule type="expression" priority="320" dxfId="637">
      <formula>$B113&lt;&gt;""</formula>
    </cfRule>
  </conditionalFormatting>
  <conditionalFormatting sqref="B116:B125">
    <cfRule type="expression" priority="47" dxfId="633">
      <formula>$J116&gt;0</formula>
    </cfRule>
  </conditionalFormatting>
  <conditionalFormatting sqref="B126">
    <cfRule type="expression" priority="295" dxfId="633">
      <formula>ISNUMBER(SEARCH("UV",$D116))</formula>
    </cfRule>
    <cfRule type="expression" priority="296" dxfId="358">
      <formula>($D116="CANOPY TYPE")</formula>
    </cfRule>
  </conditionalFormatting>
  <conditionalFormatting sqref="B130">
    <cfRule type="expression" priority="265" dxfId="637">
      <formula>$B130&lt;&gt;""</formula>
    </cfRule>
  </conditionalFormatting>
  <conditionalFormatting sqref="B133:B142">
    <cfRule type="expression" priority="33" dxfId="633">
      <formula>$J133&gt;0</formula>
    </cfRule>
  </conditionalFormatting>
  <conditionalFormatting sqref="B143">
    <cfRule type="expression" priority="241" dxfId="358">
      <formula>($D133="CANOPY TYPE")</formula>
    </cfRule>
    <cfRule type="expression" priority="240" dxfId="633">
      <formula>ISNUMBER(SEARCH("UV",$D133))</formula>
    </cfRule>
  </conditionalFormatting>
  <conditionalFormatting sqref="B147">
    <cfRule type="expression" priority="214" dxfId="637">
      <formula>$B147&lt;&gt;""</formula>
    </cfRule>
  </conditionalFormatting>
  <conditionalFormatting sqref="B150:B159">
    <cfRule type="expression" priority="19" dxfId="633">
      <formula>$J150&gt;0</formula>
    </cfRule>
  </conditionalFormatting>
  <conditionalFormatting sqref="B160">
    <cfRule type="expression" priority="190" dxfId="358">
      <formula>($D150="CANOPY TYPE")</formula>
    </cfRule>
    <cfRule type="expression" priority="189" dxfId="633">
      <formula>ISNUMBER(SEARCH("UV",$D150))</formula>
    </cfRule>
  </conditionalFormatting>
  <conditionalFormatting sqref="B164">
    <cfRule type="expression" priority="163" dxfId="637">
      <formula>$B164&lt;&gt;""</formula>
    </cfRule>
  </conditionalFormatting>
  <conditionalFormatting sqref="B167:B176">
    <cfRule type="expression" priority="5" dxfId="633">
      <formula>$J167&gt;0</formula>
    </cfRule>
  </conditionalFormatting>
  <conditionalFormatting sqref="B177">
    <cfRule type="expression" priority="138" dxfId="633">
      <formula>ISNUMBER(SEARCH("UV",$D167))</formula>
    </cfRule>
    <cfRule type="expression" priority="139" dxfId="358">
      <formula>($D167="CANOPY TYPE")</formula>
    </cfRule>
  </conditionalFormatting>
  <conditionalFormatting sqref="B183:B197">
    <cfRule type="expression" priority="617" dxfId="633">
      <formula>$C183&gt;0</formula>
    </cfRule>
  </conditionalFormatting>
  <conditionalFormatting sqref="C14">
    <cfRule type="containsText" priority="429" operator="containsText" dxfId="204" text="CONFIG">
      <formula>NOT(ISERROR(SEARCH("CONFIG",C14)))</formula>
    </cfRule>
  </conditionalFormatting>
  <conditionalFormatting sqref="C15">
    <cfRule type="containsText" priority="434" operator="containsText" dxfId="561" text="LIGHT SELECTION">
      <formula>NOT(ISERROR(SEARCH("LIGHT SELECTION",C15)))</formula>
    </cfRule>
  </conditionalFormatting>
  <conditionalFormatting sqref="C20:C21">
    <cfRule type="cellIs" priority="669" operator="lessThan" dxfId="561">
      <formula>1</formula>
    </cfRule>
  </conditionalFormatting>
  <conditionalFormatting sqref="C22:C23">
    <cfRule type="expression" priority="409" dxfId="383">
      <formula>D22="WW PODS"</formula>
    </cfRule>
  </conditionalFormatting>
  <conditionalFormatting sqref="C24">
    <cfRule type="expression" priority="686" dxfId="559">
      <formula>ISNUMBER(SEARCH("UV",D14))</formula>
    </cfRule>
  </conditionalFormatting>
  <conditionalFormatting sqref="C25">
    <cfRule type="expression" priority="651" dxfId="472">
      <formula>(ISNUMBER(SEARCH("CMW",D14)))=TRUE</formula>
    </cfRule>
  </conditionalFormatting>
  <conditionalFormatting sqref="C26">
    <cfRule type="expression" priority="650" dxfId="472">
      <formula>(ISNUMBER(SEARCH("CMW",D14)))=TRUE</formula>
    </cfRule>
  </conditionalFormatting>
  <conditionalFormatting sqref="C27">
    <cfRule type="expression" priority="619" dxfId="472">
      <formula>(ISNUMBER(SEARCH("CMW",$D14)))=TRUE</formula>
    </cfRule>
  </conditionalFormatting>
  <conditionalFormatting sqref="C31">
    <cfRule type="containsText" priority="594" operator="containsText" dxfId="204" text="CONFIG">
      <formula>NOT(ISERROR(SEARCH("CONFIG",C31)))</formula>
    </cfRule>
  </conditionalFormatting>
  <conditionalFormatting sqref="C32">
    <cfRule type="containsText" priority="436" operator="containsText" dxfId="561" text="LIGHT SELECTION">
      <formula>NOT(ISERROR(SEARCH("LIGHT SELECTION",C32)))</formula>
    </cfRule>
  </conditionalFormatting>
  <conditionalFormatting sqref="C37:C38">
    <cfRule type="cellIs" priority="593" operator="lessThan" dxfId="561">
      <formula>1</formula>
    </cfRule>
  </conditionalFormatting>
  <conditionalFormatting sqref="C39:C40">
    <cfRule type="expression" priority="387" dxfId="383">
      <formula>D39="WW PODS"</formula>
    </cfRule>
  </conditionalFormatting>
  <conditionalFormatting sqref="C41">
    <cfRule type="expression" priority="608" dxfId="559">
      <formula>ISNUMBER(SEARCH("UV",D31))</formula>
    </cfRule>
  </conditionalFormatting>
  <conditionalFormatting sqref="C42">
    <cfRule type="expression" priority="591" dxfId="472">
      <formula>(ISNUMBER(SEARCH("CMW",D31)))=TRUE</formula>
    </cfRule>
  </conditionalFormatting>
  <conditionalFormatting sqref="C43">
    <cfRule type="expression" priority="468" dxfId="472">
      <formula>(ISNUMBER(SEARCH("CMW",D31)))=TRUE</formula>
    </cfRule>
  </conditionalFormatting>
  <conditionalFormatting sqref="C44">
    <cfRule type="expression" priority="586" dxfId="472">
      <formula>(ISNUMBER(SEARCH("CMW",$D31)))=TRUE</formula>
    </cfRule>
  </conditionalFormatting>
  <conditionalFormatting sqref="C48">
    <cfRule type="containsText" priority="563" operator="containsText" dxfId="204" text="CONFIG">
      <formula>NOT(ISERROR(SEARCH("CONFIG",C48)))</formula>
    </cfRule>
  </conditionalFormatting>
  <conditionalFormatting sqref="C49">
    <cfRule type="containsText" priority="433" operator="containsText" dxfId="561" text="LIGHT SELECTION">
      <formula>NOT(ISERROR(SEARCH("LIGHT SELECTION",C49)))</formula>
    </cfRule>
  </conditionalFormatting>
  <conditionalFormatting sqref="C54:C55">
    <cfRule type="cellIs" priority="562" operator="lessThan" dxfId="561">
      <formula>1</formula>
    </cfRule>
  </conditionalFormatting>
  <conditionalFormatting sqref="C56:C57">
    <cfRule type="expression" priority="368" dxfId="383">
      <formula>D56="WW PODS"</formula>
    </cfRule>
  </conditionalFormatting>
  <conditionalFormatting sqref="C58">
    <cfRule type="expression" priority="576" dxfId="559">
      <formula>ISNUMBER(SEARCH("UV",D48))</formula>
    </cfRule>
  </conditionalFormatting>
  <conditionalFormatting sqref="C59">
    <cfRule type="expression" priority="560" dxfId="472">
      <formula>(ISNUMBER(SEARCH("CMW",D48)))=TRUE</formula>
    </cfRule>
  </conditionalFormatting>
  <conditionalFormatting sqref="C60">
    <cfRule type="expression" priority="467" dxfId="472">
      <formula>(ISNUMBER(SEARCH("CMW",D48)))=TRUE</formula>
    </cfRule>
  </conditionalFormatting>
  <conditionalFormatting sqref="C61">
    <cfRule type="expression" priority="558" dxfId="472">
      <formula>(ISNUMBER(SEARCH("CMW",$D48)))=TRUE</formula>
    </cfRule>
  </conditionalFormatting>
  <conditionalFormatting sqref="C65">
    <cfRule type="containsText" priority="536" operator="containsText" dxfId="204" text="CONFIG">
      <formula>NOT(ISERROR(SEARCH("CONFIG",C65)))</formula>
    </cfRule>
  </conditionalFormatting>
  <conditionalFormatting sqref="C66">
    <cfRule type="containsText" priority="432" operator="containsText" dxfId="561" text="LIGHT SELECTION">
      <formula>NOT(ISERROR(SEARCH("LIGHT SELECTION",C66)))</formula>
    </cfRule>
  </conditionalFormatting>
  <conditionalFormatting sqref="C71:C72">
    <cfRule type="cellIs" priority="535" operator="lessThan" dxfId="561">
      <formula>1</formula>
    </cfRule>
  </conditionalFormatting>
  <conditionalFormatting sqref="C73:C74">
    <cfRule type="expression" priority="353" dxfId="383">
      <formula>D73="WW PODS"</formula>
    </cfRule>
  </conditionalFormatting>
  <conditionalFormatting sqref="C75">
    <cfRule type="expression" priority="549" dxfId="559">
      <formula>ISNUMBER(SEARCH("UV",D65))</formula>
    </cfRule>
  </conditionalFormatting>
  <conditionalFormatting sqref="C76">
    <cfRule type="expression" priority="532" dxfId="472">
      <formula>(ISNUMBER(SEARCH("CMW",D65)))=TRUE</formula>
    </cfRule>
  </conditionalFormatting>
  <conditionalFormatting sqref="C77">
    <cfRule type="expression" priority="466" dxfId="472">
      <formula>(ISNUMBER(SEARCH("CMW",D65)))=TRUE</formula>
    </cfRule>
  </conditionalFormatting>
  <conditionalFormatting sqref="C78">
    <cfRule type="expression" priority="530" dxfId="472">
      <formula>(ISNUMBER(SEARCH("CMW",$D65)))=TRUE</formula>
    </cfRule>
  </conditionalFormatting>
  <conditionalFormatting sqref="C82">
    <cfRule type="containsText" priority="507" operator="containsText" dxfId="204" text="CONFIG">
      <formula>NOT(ISERROR(SEARCH("CONFIG",C82)))</formula>
    </cfRule>
  </conditionalFormatting>
  <conditionalFormatting sqref="C83">
    <cfRule type="containsText" priority="431" operator="containsText" dxfId="561" text="LIGHT SELECTION">
      <formula>NOT(ISERROR(SEARCH("LIGHT SELECTION",C83)))</formula>
    </cfRule>
  </conditionalFormatting>
  <conditionalFormatting sqref="C88:C89">
    <cfRule type="cellIs" priority="506" operator="lessThan" dxfId="561">
      <formula>1</formula>
    </cfRule>
  </conditionalFormatting>
  <conditionalFormatting sqref="C90:C91">
    <cfRule type="expression" priority="338" dxfId="383">
      <formula>D90="WW PODS"</formula>
    </cfRule>
  </conditionalFormatting>
  <conditionalFormatting sqref="C92">
    <cfRule type="expression" priority="521" dxfId="559">
      <formula>ISNUMBER(SEARCH("UV",D82))</formula>
    </cfRule>
  </conditionalFormatting>
  <conditionalFormatting sqref="C93">
    <cfRule type="expression" priority="503" dxfId="472">
      <formula>(ISNUMBER(SEARCH("CMW",D82)))=TRUE</formula>
    </cfRule>
  </conditionalFormatting>
  <conditionalFormatting sqref="C94">
    <cfRule type="expression" priority="465" dxfId="472">
      <formula>(ISNUMBER(SEARCH("CMW",D82)))=TRUE</formula>
    </cfRule>
  </conditionalFormatting>
  <conditionalFormatting sqref="C95">
    <cfRule type="expression" priority="501" dxfId="472">
      <formula>(ISNUMBER(SEARCH("CMW",$D82)))=TRUE</formula>
    </cfRule>
  </conditionalFormatting>
  <conditionalFormatting sqref="C99">
    <cfRule type="containsText" priority="478" operator="containsText" dxfId="204" text="CONFIG">
      <formula>NOT(ISERROR(SEARCH("CONFIG",C99)))</formula>
    </cfRule>
  </conditionalFormatting>
  <conditionalFormatting sqref="C100">
    <cfRule type="containsText" priority="430" operator="containsText" dxfId="561" text="LIGHT SELECTION">
      <formula>NOT(ISERROR(SEARCH("LIGHT SELECTION",C100)))</formula>
    </cfRule>
  </conditionalFormatting>
  <conditionalFormatting sqref="C105:C106">
    <cfRule type="cellIs" priority="477" operator="lessThan" dxfId="561">
      <formula>1</formula>
    </cfRule>
  </conditionalFormatting>
  <conditionalFormatting sqref="C107:C108">
    <cfRule type="expression" priority="323" dxfId="383">
      <formula>D107="WW PODS"</formula>
    </cfRule>
  </conditionalFormatting>
  <conditionalFormatting sqref="C109">
    <cfRule type="expression" priority="492" dxfId="559">
      <formula>ISNUMBER(SEARCH("UV",D99))</formula>
    </cfRule>
  </conditionalFormatting>
  <conditionalFormatting sqref="C110">
    <cfRule type="expression" priority="475" dxfId="472">
      <formula>(ISNUMBER(SEARCH("CMW",D99)))=TRUE</formula>
    </cfRule>
  </conditionalFormatting>
  <conditionalFormatting sqref="C111">
    <cfRule type="expression" priority="464" dxfId="472">
      <formula>(ISNUMBER(SEARCH("CMW",D99)))=TRUE</formula>
    </cfRule>
  </conditionalFormatting>
  <conditionalFormatting sqref="C112 C129 C146 C163 C180">
    <cfRule type="expression" priority="473" dxfId="472">
      <formula>(ISNUMBER(SEARCH("CMW",$D99)))=TRUE</formula>
    </cfRule>
  </conditionalFormatting>
  <conditionalFormatting sqref="C116">
    <cfRule type="containsText" priority="301" operator="containsText" dxfId="204" text="CONFIG">
      <formula>NOT(ISERROR(SEARCH("CONFIG",C116)))</formula>
    </cfRule>
  </conditionalFormatting>
  <conditionalFormatting sqref="C117">
    <cfRule type="containsText" priority="288" operator="containsText" dxfId="561" text="LIGHT SELECTION">
      <formula>NOT(ISERROR(SEARCH("LIGHT SELECTION",C117)))</formula>
    </cfRule>
  </conditionalFormatting>
  <conditionalFormatting sqref="C122:C123">
    <cfRule type="cellIs" priority="300" operator="lessThan" dxfId="561">
      <formula>1</formula>
    </cfRule>
  </conditionalFormatting>
  <conditionalFormatting sqref="C124:C125">
    <cfRule type="expression" priority="272" dxfId="383">
      <formula>D124="WW PODS"</formula>
    </cfRule>
  </conditionalFormatting>
  <conditionalFormatting sqref="C126">
    <cfRule type="expression" priority="315" dxfId="559">
      <formula>ISNUMBER(SEARCH("UV",D116))</formula>
    </cfRule>
  </conditionalFormatting>
  <conditionalFormatting sqref="C127">
    <cfRule type="expression" priority="298" dxfId="472">
      <formula>(ISNUMBER(SEARCH("CMW",D116)))=TRUE</formula>
    </cfRule>
  </conditionalFormatting>
  <conditionalFormatting sqref="C128">
    <cfRule type="expression" priority="293" dxfId="472">
      <formula>(ISNUMBER(SEARCH("CMW",D116)))=TRUE</formula>
    </cfRule>
  </conditionalFormatting>
  <conditionalFormatting sqref="C133">
    <cfRule type="containsText" priority="246" operator="containsText" dxfId="204" text="CONFIG">
      <formula>NOT(ISERROR(SEARCH("CONFIG",C133)))</formula>
    </cfRule>
  </conditionalFormatting>
  <conditionalFormatting sqref="C134">
    <cfRule type="containsText" priority="233" operator="containsText" dxfId="561" text="LIGHT SELECTION">
      <formula>NOT(ISERROR(SEARCH("LIGHT SELECTION",C134)))</formula>
    </cfRule>
  </conditionalFormatting>
  <conditionalFormatting sqref="C139:C140">
    <cfRule type="cellIs" priority="245" operator="lessThan" dxfId="561">
      <formula>1</formula>
    </cfRule>
  </conditionalFormatting>
  <conditionalFormatting sqref="C141:C142">
    <cfRule type="expression" priority="217" dxfId="383">
      <formula>D141="WW PODS"</formula>
    </cfRule>
  </conditionalFormatting>
  <conditionalFormatting sqref="C143">
    <cfRule type="expression" priority="260" dxfId="559">
      <formula>ISNUMBER(SEARCH("UV",D133))</formula>
    </cfRule>
  </conditionalFormatting>
  <conditionalFormatting sqref="C144">
    <cfRule type="expression" priority="243" dxfId="472">
      <formula>(ISNUMBER(SEARCH("CMW",D133)))=TRUE</formula>
    </cfRule>
  </conditionalFormatting>
  <conditionalFormatting sqref="C145">
    <cfRule type="expression" priority="238" dxfId="472">
      <formula>(ISNUMBER(SEARCH("CMW",D133)))=TRUE</formula>
    </cfRule>
  </conditionalFormatting>
  <conditionalFormatting sqref="C150">
    <cfRule type="containsText" priority="195" operator="containsText" dxfId="204" text="CONFIG">
      <formula>NOT(ISERROR(SEARCH("CONFIG",C150)))</formula>
    </cfRule>
  </conditionalFormatting>
  <conditionalFormatting sqref="C151">
    <cfRule type="containsText" priority="182" operator="containsText" dxfId="561" text="LIGHT SELECTION">
      <formula>NOT(ISERROR(SEARCH("LIGHT SELECTION",C151)))</formula>
    </cfRule>
  </conditionalFormatting>
  <conditionalFormatting sqref="C156:C157">
    <cfRule type="cellIs" priority="194" operator="lessThan" dxfId="561">
      <formula>1</formula>
    </cfRule>
  </conditionalFormatting>
  <conditionalFormatting sqref="C158:C159">
    <cfRule type="expression" priority="166" dxfId="383">
      <formula>D158="WW PODS"</formula>
    </cfRule>
  </conditionalFormatting>
  <conditionalFormatting sqref="C160">
    <cfRule type="expression" priority="209" dxfId="559">
      <formula>ISNUMBER(SEARCH("UV",D150))</formula>
    </cfRule>
  </conditionalFormatting>
  <conditionalFormatting sqref="C161">
    <cfRule type="expression" priority="192" dxfId="472">
      <formula>(ISNUMBER(SEARCH("CMW",D150)))=TRUE</formula>
    </cfRule>
  </conditionalFormatting>
  <conditionalFormatting sqref="C162">
    <cfRule type="expression" priority="187" dxfId="472">
      <formula>(ISNUMBER(SEARCH("CMW",D150)))=TRUE</formula>
    </cfRule>
  </conditionalFormatting>
  <conditionalFormatting sqref="C167">
    <cfRule type="containsText" priority="144" operator="containsText" dxfId="204" text="CONFIG">
      <formula>NOT(ISERROR(SEARCH("CONFIG",C167)))</formula>
    </cfRule>
  </conditionalFormatting>
  <conditionalFormatting sqref="C168">
    <cfRule type="containsText" priority="131" operator="containsText" dxfId="561" text="LIGHT SELECTION">
      <formula>NOT(ISERROR(SEARCH("LIGHT SELECTION",C168)))</formula>
    </cfRule>
  </conditionalFormatting>
  <conditionalFormatting sqref="C173:C174">
    <cfRule type="cellIs" priority="143" operator="lessThan" dxfId="561">
      <formula>1</formula>
    </cfRule>
  </conditionalFormatting>
  <conditionalFormatting sqref="C175:C176">
    <cfRule type="expression" priority="115" dxfId="383">
      <formula>D175="WW PODS"</formula>
    </cfRule>
  </conditionalFormatting>
  <conditionalFormatting sqref="C177">
    <cfRule type="expression" priority="158" dxfId="559">
      <formula>ISNUMBER(SEARCH("UV",D167))</formula>
    </cfRule>
  </conditionalFormatting>
  <conditionalFormatting sqref="C178">
    <cfRule type="expression" priority="141" dxfId="472">
      <formula>(ISNUMBER(SEARCH("CMW",D167)))=TRUE</formula>
    </cfRule>
  </conditionalFormatting>
  <conditionalFormatting sqref="C179">
    <cfRule type="expression" priority="136" dxfId="472">
      <formula>(ISNUMBER(SEARCH("CMW",D167)))=TRUE</formula>
    </cfRule>
  </conditionalFormatting>
  <conditionalFormatting sqref="C183:C184">
    <cfRule type="cellIs" priority="671" operator="lessThan" dxfId="554">
      <formula>1</formula>
    </cfRule>
  </conditionalFormatting>
  <conditionalFormatting sqref="C185">
    <cfRule type="cellIs" priority="660" operator="lessThan" dxfId="164">
      <formula>1</formula>
    </cfRule>
  </conditionalFormatting>
  <conditionalFormatting sqref="C186:C197">
    <cfRule type="cellIs" priority="270" operator="lessThan" dxfId="554">
      <formula>1</formula>
    </cfRule>
  </conditionalFormatting>
  <conditionalFormatting sqref="C9:D9">
    <cfRule type="cellIs" priority="661" operator="lessThan" dxfId="207">
      <formula>0</formula>
    </cfRule>
    <cfRule type="cellIs" priority="662" operator="greaterThan" dxfId="552">
      <formula>0</formula>
    </cfRule>
  </conditionalFormatting>
  <conditionalFormatting sqref="D14">
    <cfRule type="containsText" priority="672" operator="containsText" dxfId="164" text="CANOPY TYPE">
      <formula>NOT(ISERROR(SEARCH("CANOPY TYPE",D14)))</formula>
    </cfRule>
  </conditionalFormatting>
  <conditionalFormatting sqref="D15">
    <cfRule type="expression" priority="425" dxfId="206">
      <formula>(C15="LIGHT SELECTION")</formula>
    </cfRule>
  </conditionalFormatting>
  <conditionalFormatting sqref="D16:D18">
    <cfRule type="expression" priority="627" dxfId="206">
      <formula>($C16="SELECT WORKS")</formula>
    </cfRule>
  </conditionalFormatting>
  <conditionalFormatting sqref="D19">
    <cfRule type="expression" priority="269" dxfId="206">
      <formula>$C19="SELECT CLADDING"</formula>
    </cfRule>
  </conditionalFormatting>
  <conditionalFormatting sqref="D22:D23">
    <cfRule type="expression" priority="408" dxfId="358">
      <formula>($D$14="CANOPY TYPE")</formula>
    </cfRule>
  </conditionalFormatting>
  <conditionalFormatting sqref="D24">
    <cfRule type="expression" priority="685" dxfId="474">
      <formula>ISNUMBER(SEARCH("UV",D14))</formula>
    </cfRule>
  </conditionalFormatting>
  <conditionalFormatting sqref="D25">
    <cfRule type="expression" priority="613" dxfId="358">
      <formula>($D$14="CANOPY TYPE")</formula>
    </cfRule>
  </conditionalFormatting>
  <conditionalFormatting sqref="D26">
    <cfRule type="expression" priority="635" dxfId="472">
      <formula>(ISNUMBER(SEARCH("CMW",D14)))=TRUE</formula>
    </cfRule>
  </conditionalFormatting>
  <conditionalFormatting sqref="D31">
    <cfRule type="containsText" priority="595" operator="containsText" dxfId="164" text="CANOPY TYPE">
      <formula>NOT(ISERROR(SEARCH("CANOPY TYPE",D31)))</formula>
    </cfRule>
  </conditionalFormatting>
  <conditionalFormatting sqref="D32">
    <cfRule type="expression" priority="438" dxfId="206">
      <formula>(C32="LIGHT SELECTION")</formula>
    </cfRule>
  </conditionalFormatting>
  <conditionalFormatting sqref="D33:D35">
    <cfRule type="expression" priority="588" dxfId="206">
      <formula>($C33="SELECT WORKS")</formula>
    </cfRule>
  </conditionalFormatting>
  <conditionalFormatting sqref="D36">
    <cfRule type="expression" priority="417" dxfId="206">
      <formula>$C36="SELECT CLADDING"</formula>
    </cfRule>
  </conditionalFormatting>
  <conditionalFormatting sqref="D39:D40">
    <cfRule type="expression" priority="382" dxfId="358">
      <formula>($D$14="CANOPY TYPE")</formula>
    </cfRule>
  </conditionalFormatting>
  <conditionalFormatting sqref="D41">
    <cfRule type="expression" priority="607" dxfId="474">
      <formula>ISNUMBER(SEARCH("UV",D31))</formula>
    </cfRule>
  </conditionalFormatting>
  <conditionalFormatting sqref="D42">
    <cfRule type="expression" priority="581" dxfId="358">
      <formula>($D$14="CANOPY TYPE")</formula>
    </cfRule>
  </conditionalFormatting>
  <conditionalFormatting sqref="D43">
    <cfRule type="expression" priority="590" dxfId="472">
      <formula>(ISNUMBER(SEARCH("CMW",D31)))=TRUE</formula>
    </cfRule>
  </conditionalFormatting>
  <conditionalFormatting sqref="D48">
    <cfRule type="containsText" priority="420" operator="containsText" dxfId="164" text="CANOPY TYPE">
      <formula>NOT(ISERROR(SEARCH("CANOPY TYPE",D48)))</formula>
    </cfRule>
  </conditionalFormatting>
  <conditionalFormatting sqref="D49">
    <cfRule type="expression" priority="435" dxfId="206">
      <formula>(C15="LIGHT SELECTION")</formula>
    </cfRule>
  </conditionalFormatting>
  <conditionalFormatting sqref="D50:D52">
    <cfRule type="expression" priority="111" dxfId="206">
      <formula>($C50="SELECT WORKS")</formula>
    </cfRule>
  </conditionalFormatting>
  <conditionalFormatting sqref="D53">
    <cfRule type="expression" priority="418" dxfId="206">
      <formula>$C53="SELECT CLADDING"</formula>
    </cfRule>
  </conditionalFormatting>
  <conditionalFormatting sqref="D56:D57">
    <cfRule type="expression" priority="367" dxfId="358">
      <formula>($D$14="CANOPY TYPE")</formula>
    </cfRule>
  </conditionalFormatting>
  <conditionalFormatting sqref="D58">
    <cfRule type="expression" priority="575" dxfId="474">
      <formula>ISNUMBER(SEARCH("UV",D48))</formula>
    </cfRule>
  </conditionalFormatting>
  <conditionalFormatting sqref="D59">
    <cfRule type="expression" priority="554" dxfId="358">
      <formula>($D$14="CANOPY TYPE")</formula>
    </cfRule>
  </conditionalFormatting>
  <conditionalFormatting sqref="D60">
    <cfRule type="expression" priority="559" dxfId="472">
      <formula>(ISNUMBER(SEARCH("CMW",D48)))=TRUE</formula>
    </cfRule>
  </conditionalFormatting>
  <conditionalFormatting sqref="D65">
    <cfRule type="containsText" priority="419" operator="containsText" dxfId="164" text="CANOPY TYPE">
      <formula>NOT(ISERROR(SEARCH("CANOPY TYPE",D65)))</formula>
    </cfRule>
  </conditionalFormatting>
  <conditionalFormatting sqref="D66">
    <cfRule type="expression" priority="428" dxfId="206">
      <formula>(C66="LIGHT SELECTION")</formula>
    </cfRule>
  </conditionalFormatting>
  <conditionalFormatting sqref="D67:D69">
    <cfRule type="expression" priority="97" dxfId="206">
      <formula>($C67="SELECT WORKS")</formula>
    </cfRule>
  </conditionalFormatting>
  <conditionalFormatting sqref="D70">
    <cfRule type="expression" priority="533" dxfId="206">
      <formula>$C70="SELECT CLADDING"</formula>
    </cfRule>
  </conditionalFormatting>
  <conditionalFormatting sqref="D73:D74">
    <cfRule type="expression" priority="352" dxfId="358">
      <formula>($D$14="CANOPY TYPE")</formula>
    </cfRule>
  </conditionalFormatting>
  <conditionalFormatting sqref="D75">
    <cfRule type="expression" priority="548" dxfId="474">
      <formula>ISNUMBER(SEARCH("UV",D65))</formula>
    </cfRule>
  </conditionalFormatting>
  <conditionalFormatting sqref="D76">
    <cfRule type="expression" priority="526" dxfId="358">
      <formula>($D$14="CANOPY TYPE")</formula>
    </cfRule>
  </conditionalFormatting>
  <conditionalFormatting sqref="D77">
    <cfRule type="expression" priority="531" dxfId="472">
      <formula>(ISNUMBER(SEARCH("CMW",D65)))=TRUE</formula>
    </cfRule>
  </conditionalFormatting>
  <conditionalFormatting sqref="D82">
    <cfRule type="containsText" priority="508" operator="containsText" dxfId="164" text="CANOPY TYPE">
      <formula>NOT(ISERROR(SEARCH("CANOPY TYPE",D82)))</formula>
    </cfRule>
  </conditionalFormatting>
  <conditionalFormatting sqref="D83">
    <cfRule type="expression" priority="427" dxfId="206">
      <formula>(C83="LIGHT SELECTION")</formula>
    </cfRule>
  </conditionalFormatting>
  <conditionalFormatting sqref="D84:D86">
    <cfRule type="expression" priority="83" dxfId="206">
      <formula>($C84="SELECT WORKS")</formula>
    </cfRule>
  </conditionalFormatting>
  <conditionalFormatting sqref="D87">
    <cfRule type="expression" priority="504" dxfId="206">
      <formula>$C87="SELECT CLADDING"</formula>
    </cfRule>
  </conditionalFormatting>
  <conditionalFormatting sqref="D90:D91">
    <cfRule type="expression" priority="337" dxfId="358">
      <formula>($D$14="CANOPY TYPE")</formula>
    </cfRule>
  </conditionalFormatting>
  <conditionalFormatting sqref="D92">
    <cfRule type="expression" priority="520" dxfId="474">
      <formula>ISNUMBER(SEARCH("UV",D82))</formula>
    </cfRule>
  </conditionalFormatting>
  <conditionalFormatting sqref="D93">
    <cfRule type="expression" priority="497" dxfId="358">
      <formula>($D$14="CANOPY TYPE")</formula>
    </cfRule>
  </conditionalFormatting>
  <conditionalFormatting sqref="D94">
    <cfRule type="expression" priority="502" dxfId="472">
      <formula>(ISNUMBER(SEARCH("CMW",D82)))=TRUE</formula>
    </cfRule>
  </conditionalFormatting>
  <conditionalFormatting sqref="D99">
    <cfRule type="containsText" priority="479" operator="containsText" dxfId="164" text="CANOPY TYPE">
      <formula>NOT(ISERROR(SEARCH("CANOPY TYPE",D99)))</formula>
    </cfRule>
  </conditionalFormatting>
  <conditionalFormatting sqref="D100">
    <cfRule type="expression" priority="426" dxfId="206">
      <formula>(C100="LIGHT SELECTION")</formula>
    </cfRule>
  </conditionalFormatting>
  <conditionalFormatting sqref="D101:D103">
    <cfRule type="expression" priority="69" dxfId="206">
      <formula>($C101="SELECT WORKS")</formula>
    </cfRule>
  </conditionalFormatting>
  <conditionalFormatting sqref="D104">
    <cfRule type="expression" priority="416" dxfId="206">
      <formula>$C104="SELECT CLADDING"</formula>
    </cfRule>
  </conditionalFormatting>
  <conditionalFormatting sqref="D107:D108">
    <cfRule type="expression" priority="322" dxfId="358">
      <formula>($D$14="CANOPY TYPE")</formula>
    </cfRule>
  </conditionalFormatting>
  <conditionalFormatting sqref="D109">
    <cfRule type="expression" priority="491" dxfId="474">
      <formula>ISNUMBER(SEARCH("UV",D99))</formula>
    </cfRule>
  </conditionalFormatting>
  <conditionalFormatting sqref="D110">
    <cfRule type="expression" priority="469" dxfId="358">
      <formula>($D$14="CANOPY TYPE")</formula>
    </cfRule>
  </conditionalFormatting>
  <conditionalFormatting sqref="D111">
    <cfRule type="expression" priority="474" dxfId="472">
      <formula>(ISNUMBER(SEARCH("CMW",D99)))=TRUE</formula>
    </cfRule>
  </conditionalFormatting>
  <conditionalFormatting sqref="D116">
    <cfRule type="containsText" priority="302" operator="containsText" dxfId="164" text="CANOPY TYPE">
      <formula>NOT(ISERROR(SEARCH("CANOPY TYPE",D116)))</formula>
    </cfRule>
  </conditionalFormatting>
  <conditionalFormatting sqref="D117">
    <cfRule type="expression" priority="287" dxfId="206">
      <formula>(C117="LIGHT SELECTION")</formula>
    </cfRule>
  </conditionalFormatting>
  <conditionalFormatting sqref="D118:D120">
    <cfRule type="expression" priority="55" dxfId="206">
      <formula>($C118="SELECT WORKS")</formula>
    </cfRule>
  </conditionalFormatting>
  <conditionalFormatting sqref="D121">
    <cfRule type="expression" priority="286" dxfId="206">
      <formula>$C121="SELECT CLADDING"</formula>
    </cfRule>
  </conditionalFormatting>
  <conditionalFormatting sqref="D124:D125">
    <cfRule type="expression" priority="271" dxfId="358">
      <formula>($D$14="CANOPY TYPE")</formula>
    </cfRule>
  </conditionalFormatting>
  <conditionalFormatting sqref="D126">
    <cfRule type="expression" priority="314" dxfId="474">
      <formula>ISNUMBER(SEARCH("UV",D116))</formula>
    </cfRule>
  </conditionalFormatting>
  <conditionalFormatting sqref="D127">
    <cfRule type="expression" priority="294" dxfId="358">
      <formula>($D$14="CANOPY TYPE")</formula>
    </cfRule>
  </conditionalFormatting>
  <conditionalFormatting sqref="D128">
    <cfRule type="expression" priority="297" dxfId="472">
      <formula>(ISNUMBER(SEARCH("CMW",D116)))=TRUE</formula>
    </cfRule>
  </conditionalFormatting>
  <conditionalFormatting sqref="D133">
    <cfRule type="containsText" priority="247" operator="containsText" dxfId="164" text="CANOPY TYPE">
      <formula>NOT(ISERROR(SEARCH("CANOPY TYPE",D133)))</formula>
    </cfRule>
  </conditionalFormatting>
  <conditionalFormatting sqref="D134">
    <cfRule type="expression" priority="232" dxfId="206">
      <formula>(C134="LIGHT SELECTION")</formula>
    </cfRule>
  </conditionalFormatting>
  <conditionalFormatting sqref="D135:D137">
    <cfRule type="expression" priority="41" dxfId="206">
      <formula>($C135="SELECT WORKS")</formula>
    </cfRule>
  </conditionalFormatting>
  <conditionalFormatting sqref="D138">
    <cfRule type="expression" priority="231" dxfId="206">
      <formula>$C138="SELECT CLADDING"</formula>
    </cfRule>
  </conditionalFormatting>
  <conditionalFormatting sqref="D141:D142">
    <cfRule type="expression" priority="216" dxfId="358">
      <formula>($D$14="CANOPY TYPE")</formula>
    </cfRule>
  </conditionalFormatting>
  <conditionalFormatting sqref="D143">
    <cfRule type="expression" priority="259" dxfId="474">
      <formula>ISNUMBER(SEARCH("UV",D133))</formula>
    </cfRule>
  </conditionalFormatting>
  <conditionalFormatting sqref="D144">
    <cfRule type="expression" priority="239" dxfId="358">
      <formula>($D$14="CANOPY TYPE")</formula>
    </cfRule>
  </conditionalFormatting>
  <conditionalFormatting sqref="D145">
    <cfRule type="expression" priority="242" dxfId="472">
      <formula>(ISNUMBER(SEARCH("CMW",D133)))=TRUE</formula>
    </cfRule>
  </conditionalFormatting>
  <conditionalFormatting sqref="D150">
    <cfRule type="containsText" priority="196" operator="containsText" dxfId="164" text="CANOPY TYPE">
      <formula>NOT(ISERROR(SEARCH("CANOPY TYPE",D150)))</formula>
    </cfRule>
  </conditionalFormatting>
  <conditionalFormatting sqref="D151">
    <cfRule type="expression" priority="181" dxfId="206">
      <formula>(C151="LIGHT SELECTION")</formula>
    </cfRule>
  </conditionalFormatting>
  <conditionalFormatting sqref="D152:D154">
    <cfRule type="expression" priority="27" dxfId="206">
      <formula>($C152="SELECT WORKS")</formula>
    </cfRule>
  </conditionalFormatting>
  <conditionalFormatting sqref="D155">
    <cfRule type="expression" priority="180" dxfId="206">
      <formula>$C155="SELECT CLADDING"</formula>
    </cfRule>
  </conditionalFormatting>
  <conditionalFormatting sqref="D158:D159">
    <cfRule type="expression" priority="165" dxfId="358">
      <formula>($D$14="CANOPY TYPE")</formula>
    </cfRule>
  </conditionalFormatting>
  <conditionalFormatting sqref="D160">
    <cfRule type="expression" priority="208" dxfId="474">
      <formula>ISNUMBER(SEARCH("UV",D150))</formula>
    </cfRule>
  </conditionalFormatting>
  <conditionalFormatting sqref="D161">
    <cfRule type="expression" priority="188" dxfId="358">
      <formula>($D$14="CANOPY TYPE")</formula>
    </cfRule>
  </conditionalFormatting>
  <conditionalFormatting sqref="D162">
    <cfRule type="expression" priority="191" dxfId="472">
      <formula>(ISNUMBER(SEARCH("CMW",D150)))=TRUE</formula>
    </cfRule>
  </conditionalFormatting>
  <conditionalFormatting sqref="D167">
    <cfRule type="containsText" priority="145" operator="containsText" dxfId="164" text="CANOPY TYPE">
      <formula>NOT(ISERROR(SEARCH("CANOPY TYPE",D167)))</formula>
    </cfRule>
  </conditionalFormatting>
  <conditionalFormatting sqref="D168">
    <cfRule type="expression" priority="130" dxfId="206">
      <formula>(C168="LIGHT SELECTION")</formula>
    </cfRule>
  </conditionalFormatting>
  <conditionalFormatting sqref="D169:D171">
    <cfRule type="expression" priority="13" dxfId="206">
      <formula>($C169="SELECT WORKS")</formula>
    </cfRule>
  </conditionalFormatting>
  <conditionalFormatting sqref="D172">
    <cfRule type="expression" priority="129" dxfId="206">
      <formula>$C172="SELECT CLADDING"</formula>
    </cfRule>
  </conditionalFormatting>
  <conditionalFormatting sqref="D175:D176">
    <cfRule type="expression" priority="114" dxfId="358">
      <formula>($D$14="CANOPY TYPE")</formula>
    </cfRule>
  </conditionalFormatting>
  <conditionalFormatting sqref="D177">
    <cfRule type="expression" priority="157" dxfId="474">
      <formula>ISNUMBER(SEARCH("UV",D167))</formula>
    </cfRule>
  </conditionalFormatting>
  <conditionalFormatting sqref="D178">
    <cfRule type="expression" priority="137" dxfId="358">
      <formula>($D$14="CANOPY TYPE")</formula>
    </cfRule>
  </conditionalFormatting>
  <conditionalFormatting sqref="D179">
    <cfRule type="expression" priority="140" dxfId="472">
      <formula>(ISNUMBER(SEARCH("CMW",D167)))=TRUE</formula>
    </cfRule>
  </conditionalFormatting>
  <conditionalFormatting sqref="E12">
    <cfRule type="cellIs" priority="684" operator="greaterThan" dxfId="204">
      <formula>2000</formula>
    </cfRule>
    <cfRule type="expression" priority="683" dxfId="387">
      <formula>ISNUMBER(SEARCH("I-MUAP",$D$14))</formula>
    </cfRule>
    <cfRule type="expression" priority="682" dxfId="386">
      <formula>AND((ISNUMBER(SEARCH("I-MUAP",$D$14))),E12&lt;2500)</formula>
    </cfRule>
  </conditionalFormatting>
  <conditionalFormatting sqref="E15">
    <cfRule type="expression" priority="423" dxfId="315">
      <formula>(C15="LIGHT SELECTION")</formula>
    </cfRule>
  </conditionalFormatting>
  <conditionalFormatting sqref="E16:E18">
    <cfRule type="expression" priority="113" dxfId="381">
      <formula>$C16="SELECT WORKS"</formula>
    </cfRule>
  </conditionalFormatting>
  <conditionalFormatting sqref="E22:E23">
    <cfRule type="expression" priority="665" dxfId="384">
      <formula>D22="WW PODS"</formula>
    </cfRule>
    <cfRule type="expression" priority="666" dxfId="383">
      <formula>D22="FILTER TYPE"</formula>
    </cfRule>
    <cfRule type="expression" priority="667" dxfId="382">
      <formula>D22="KSA"</formula>
    </cfRule>
    <cfRule type="expression" priority="687" dxfId="381">
      <formula>(D14="CANOPY TYPE")</formula>
    </cfRule>
  </conditionalFormatting>
  <conditionalFormatting sqref="E24">
    <cfRule type="containsText" priority="674" operator="containsText" dxfId="380" text="LONG ">
      <formula>NOT(ISERROR(SEARCH("LONG ",E24)))</formula>
    </cfRule>
  </conditionalFormatting>
  <conditionalFormatting sqref="E29">
    <cfRule type="expression" priority="604" dxfId="386">
      <formula>AND((ISNUMBER(SEARCH("I-MUAP",$D$14))),E29&lt;2500)</formula>
    </cfRule>
    <cfRule type="expression" priority="605" dxfId="387">
      <formula>ISNUMBER(SEARCH("I-MUAP",$D$14))</formula>
    </cfRule>
    <cfRule type="cellIs" priority="606" operator="greaterThan" dxfId="204">
      <formula>2000</formula>
    </cfRule>
  </conditionalFormatting>
  <conditionalFormatting sqref="E33:E34">
    <cfRule type="expression" priority="587" dxfId="381">
      <formula>$C33="SELECT WORKS"</formula>
    </cfRule>
  </conditionalFormatting>
  <conditionalFormatting sqref="E39:E40">
    <cfRule type="expression" priority="397" dxfId="382">
      <formula>D39="KSA"</formula>
    </cfRule>
    <cfRule type="expression" priority="398" dxfId="381">
      <formula>(D31="CANOPY TYPE")</formula>
    </cfRule>
    <cfRule type="expression" priority="396" dxfId="383">
      <formula>D39="FILTER TYPE"</formula>
    </cfRule>
    <cfRule type="expression" priority="395" dxfId="384">
      <formula>D39="WW PODS"</formula>
    </cfRule>
  </conditionalFormatting>
  <conditionalFormatting sqref="E41">
    <cfRule type="containsText" priority="597" operator="containsText" dxfId="380" text="LONG ">
      <formula>NOT(ISERROR(SEARCH("LONG ",E41)))</formula>
    </cfRule>
  </conditionalFormatting>
  <conditionalFormatting sqref="E46">
    <cfRule type="cellIs" priority="574" operator="greaterThan" dxfId="204">
      <formula>2000</formula>
    </cfRule>
    <cfRule type="expression" priority="573" dxfId="387">
      <formula>ISNUMBER(SEARCH("I-MUAP",$D$14))</formula>
    </cfRule>
    <cfRule type="expression" priority="572" dxfId="386">
      <formula>AND((ISNUMBER(SEARCH("I-MUAP",$D$14))),E46&lt;2500)</formula>
    </cfRule>
  </conditionalFormatting>
  <conditionalFormatting sqref="E49">
    <cfRule type="expression" priority="437" dxfId="315">
      <formula>(C49="LIGHT SELECTION")</formula>
    </cfRule>
  </conditionalFormatting>
  <conditionalFormatting sqref="E50:E52">
    <cfRule type="expression" priority="110" dxfId="381">
      <formula>$C50="SELECT WORKS"</formula>
    </cfRule>
  </conditionalFormatting>
  <conditionalFormatting sqref="E56:E57">
    <cfRule type="expression" priority="369" dxfId="384">
      <formula>D56="WW PODS"</formula>
    </cfRule>
    <cfRule type="expression" priority="370" dxfId="383">
      <formula>D56="FILTER TYPE"</formula>
    </cfRule>
    <cfRule type="expression" priority="372" dxfId="381">
      <formula>(D48="CANOPY TYPE")</formula>
    </cfRule>
    <cfRule type="expression" priority="371" dxfId="382">
      <formula>D56="KSA"</formula>
    </cfRule>
  </conditionalFormatting>
  <conditionalFormatting sqref="E58">
    <cfRule type="containsText" priority="565" operator="containsText" dxfId="380" text="LONG ">
      <formula>NOT(ISERROR(SEARCH("LONG ",E58)))</formula>
    </cfRule>
  </conditionalFormatting>
  <conditionalFormatting sqref="E63">
    <cfRule type="cellIs" priority="547" operator="greaterThan" dxfId="204">
      <formula>2000</formula>
    </cfRule>
    <cfRule type="expression" priority="546" dxfId="387">
      <formula>ISNUMBER(SEARCH("I-MUAP",$D$14))</formula>
    </cfRule>
    <cfRule type="expression" priority="545" dxfId="386">
      <formula>AND((ISNUMBER(SEARCH("I-MUAP",$D$14))),E63&lt;2500)</formula>
    </cfRule>
  </conditionalFormatting>
  <conditionalFormatting sqref="E67:E69">
    <cfRule type="expression" priority="96" dxfId="381">
      <formula>$C67="SELECT WORKS"</formula>
    </cfRule>
  </conditionalFormatting>
  <conditionalFormatting sqref="E73:E74">
    <cfRule type="expression" priority="354" dxfId="384">
      <formula>D73="WW PODS"</formula>
    </cfRule>
    <cfRule type="expression" priority="356" dxfId="382">
      <formula>D73="KSA"</formula>
    </cfRule>
    <cfRule type="expression" priority="357" dxfId="381">
      <formula>(D65="CANOPY TYPE")</formula>
    </cfRule>
    <cfRule type="expression" priority="355" dxfId="383">
      <formula>D73="FILTER TYPE"</formula>
    </cfRule>
  </conditionalFormatting>
  <conditionalFormatting sqref="E75">
    <cfRule type="containsText" priority="538" operator="containsText" dxfId="380" text="LONG ">
      <formula>NOT(ISERROR(SEARCH("LONG ",E75)))</formula>
    </cfRule>
  </conditionalFormatting>
  <conditionalFormatting sqref="E80">
    <cfRule type="cellIs" priority="519" operator="greaterThan" dxfId="204">
      <formula>2000</formula>
    </cfRule>
    <cfRule type="expression" priority="517" dxfId="386">
      <formula>AND((ISNUMBER(SEARCH("I-MUAP",$D$14))),E80&lt;2500)</formula>
    </cfRule>
    <cfRule type="expression" priority="518" dxfId="387">
      <formula>ISNUMBER(SEARCH("I-MUAP",$D$14))</formula>
    </cfRule>
  </conditionalFormatting>
  <conditionalFormatting sqref="E84:E86">
    <cfRule type="expression" priority="82" dxfId="381">
      <formula>$C84="SELECT WORKS"</formula>
    </cfRule>
  </conditionalFormatting>
  <conditionalFormatting sqref="E90:E91">
    <cfRule type="expression" priority="342" dxfId="381">
      <formula>(D82="CANOPY TYPE")</formula>
    </cfRule>
    <cfRule type="expression" priority="339" dxfId="384">
      <formula>D90="WW PODS"</formula>
    </cfRule>
    <cfRule type="expression" priority="340" dxfId="383">
      <formula>D90="FILTER TYPE"</formula>
    </cfRule>
    <cfRule type="expression" priority="341" dxfId="382">
      <formula>D90="KSA"</formula>
    </cfRule>
  </conditionalFormatting>
  <conditionalFormatting sqref="E92">
    <cfRule type="containsText" priority="510" operator="containsText" dxfId="380" text="LONG ">
      <formula>NOT(ISERROR(SEARCH("LONG ",E92)))</formula>
    </cfRule>
  </conditionalFormatting>
  <conditionalFormatting sqref="E97">
    <cfRule type="expression" priority="489" dxfId="387">
      <formula>ISNUMBER(SEARCH("I-MUAP",$D$14))</formula>
    </cfRule>
    <cfRule type="cellIs" priority="490" operator="greaterThan" dxfId="204">
      <formula>2000</formula>
    </cfRule>
    <cfRule type="expression" priority="488" dxfId="386">
      <formula>AND((ISNUMBER(SEARCH("I-MUAP",$D$14))),E97&lt;2500)</formula>
    </cfRule>
  </conditionalFormatting>
  <conditionalFormatting sqref="E101:E103">
    <cfRule type="expression" priority="68" dxfId="381">
      <formula>$C101="SELECT WORKS"</formula>
    </cfRule>
  </conditionalFormatting>
  <conditionalFormatting sqref="E107:E108">
    <cfRule type="expression" priority="324" dxfId="384">
      <formula>D107="WW PODS"</formula>
    </cfRule>
    <cfRule type="expression" priority="325" dxfId="383">
      <formula>D107="FILTER TYPE"</formula>
    </cfRule>
    <cfRule type="expression" priority="326" dxfId="382">
      <formula>D107="KSA"</formula>
    </cfRule>
    <cfRule type="expression" priority="327" dxfId="381">
      <formula>(D99="CANOPY TYPE")</formula>
    </cfRule>
  </conditionalFormatting>
  <conditionalFormatting sqref="E109">
    <cfRule type="containsText" priority="481" operator="containsText" dxfId="380" text="LONG ">
      <formula>NOT(ISERROR(SEARCH("LONG ",E109)))</formula>
    </cfRule>
  </conditionalFormatting>
  <conditionalFormatting sqref="E114">
    <cfRule type="cellIs" priority="313" operator="greaterThan" dxfId="204">
      <formula>2000</formula>
    </cfRule>
    <cfRule type="expression" priority="312" dxfId="387">
      <formula>ISNUMBER(SEARCH("I-MUAP",$D$14))</formula>
    </cfRule>
    <cfRule type="expression" priority="311" dxfId="386">
      <formula>AND((ISNUMBER(SEARCH("I-MUAP",$D$14))),E114&lt;2500)</formula>
    </cfRule>
  </conditionalFormatting>
  <conditionalFormatting sqref="E118:E120">
    <cfRule type="expression" priority="54" dxfId="381">
      <formula>$C118="SELECT WORKS"</formula>
    </cfRule>
  </conditionalFormatting>
  <conditionalFormatting sqref="E124:E125">
    <cfRule type="expression" priority="273" dxfId="384">
      <formula>D124="WW PODS"</formula>
    </cfRule>
    <cfRule type="expression" priority="276" dxfId="381">
      <formula>(D116="CANOPY TYPE")</formula>
    </cfRule>
    <cfRule type="expression" priority="275" dxfId="382">
      <formula>D124="KSA"</formula>
    </cfRule>
    <cfRule type="expression" priority="274" dxfId="383">
      <formula>D124="FILTER TYPE"</formula>
    </cfRule>
  </conditionalFormatting>
  <conditionalFormatting sqref="E126">
    <cfRule type="containsText" priority="304" operator="containsText" dxfId="380" text="LONG ">
      <formula>NOT(ISERROR(SEARCH("LONG ",E126)))</formula>
    </cfRule>
  </conditionalFormatting>
  <conditionalFormatting sqref="E131">
    <cfRule type="expression" priority="257" dxfId="387">
      <formula>ISNUMBER(SEARCH("I-MUAP",$D$14))</formula>
    </cfRule>
    <cfRule type="cellIs" priority="258" operator="greaterThan" dxfId="204">
      <formula>2000</formula>
    </cfRule>
    <cfRule type="expression" priority="256" dxfId="386">
      <formula>AND((ISNUMBER(SEARCH("I-MUAP",$D$14))),E131&lt;2500)</formula>
    </cfRule>
  </conditionalFormatting>
  <conditionalFormatting sqref="E135:E137">
    <cfRule type="expression" priority="40" dxfId="381">
      <formula>$C135="SELECT WORKS"</formula>
    </cfRule>
  </conditionalFormatting>
  <conditionalFormatting sqref="E141:E142">
    <cfRule type="expression" priority="221" dxfId="381">
      <formula>(D133="CANOPY TYPE")</formula>
    </cfRule>
    <cfRule type="expression" priority="220" dxfId="382">
      <formula>D141="KSA"</formula>
    </cfRule>
    <cfRule type="expression" priority="218" dxfId="384">
      <formula>D141="WW PODS"</formula>
    </cfRule>
    <cfRule type="expression" priority="219" dxfId="383">
      <formula>D141="FILTER TYPE"</formula>
    </cfRule>
  </conditionalFormatting>
  <conditionalFormatting sqref="E143">
    <cfRule type="containsText" priority="249" operator="containsText" dxfId="380" text="LONG ">
      <formula>NOT(ISERROR(SEARCH("LONG ",E143)))</formula>
    </cfRule>
  </conditionalFormatting>
  <conditionalFormatting sqref="E148">
    <cfRule type="cellIs" priority="207" operator="greaterThan" dxfId="204">
      <formula>2000</formula>
    </cfRule>
    <cfRule type="expression" priority="206" dxfId="387">
      <formula>ISNUMBER(SEARCH("I-MUAP",$D$14))</formula>
    </cfRule>
    <cfRule type="expression" priority="205" dxfId="386">
      <formula>AND((ISNUMBER(SEARCH("I-MUAP",$D$14))),E148&lt;2500)</formula>
    </cfRule>
  </conditionalFormatting>
  <conditionalFormatting sqref="E152:E154">
    <cfRule type="expression" priority="26" dxfId="381">
      <formula>$C152="SELECT WORKS"</formula>
    </cfRule>
  </conditionalFormatting>
  <conditionalFormatting sqref="E158:E159">
    <cfRule type="expression" priority="169" dxfId="382">
      <formula>D158="KSA"</formula>
    </cfRule>
    <cfRule type="expression" priority="167" dxfId="384">
      <formula>D158="WW PODS"</formula>
    </cfRule>
    <cfRule type="expression" priority="168" dxfId="383">
      <formula>D158="FILTER TYPE"</formula>
    </cfRule>
    <cfRule type="expression" priority="170" dxfId="381">
      <formula>(D150="CANOPY TYPE")</formula>
    </cfRule>
  </conditionalFormatting>
  <conditionalFormatting sqref="E160">
    <cfRule type="containsText" priority="198" operator="containsText" dxfId="380" text="LONG ">
      <formula>NOT(ISERROR(SEARCH("LONG ",E160)))</formula>
    </cfRule>
  </conditionalFormatting>
  <conditionalFormatting sqref="E165">
    <cfRule type="cellIs" priority="156" operator="greaterThan" dxfId="204">
      <formula>2000</formula>
    </cfRule>
    <cfRule type="expression" priority="155" dxfId="387">
      <formula>ISNUMBER(SEARCH("I-MUAP",$D$14))</formula>
    </cfRule>
    <cfRule type="expression" priority="154" dxfId="386">
      <formula>AND((ISNUMBER(SEARCH("I-MUAP",$D$14))),E165&lt;2500)</formula>
    </cfRule>
  </conditionalFormatting>
  <conditionalFormatting sqref="E169:E171">
    <cfRule type="expression" priority="12" dxfId="381">
      <formula>$C169="SELECT WORKS"</formula>
    </cfRule>
  </conditionalFormatting>
  <conditionalFormatting sqref="E175:E176">
    <cfRule type="expression" priority="116" dxfId="384">
      <formula>D175="WW PODS"</formula>
    </cfRule>
    <cfRule type="expression" priority="117" dxfId="383">
      <formula>D175="FILTER TYPE"</formula>
    </cfRule>
    <cfRule type="expression" priority="118" dxfId="382">
      <formula>D175="KSA"</formula>
    </cfRule>
    <cfRule type="expression" priority="119" dxfId="381">
      <formula>(D167="CANOPY TYPE")</formula>
    </cfRule>
  </conditionalFormatting>
  <conditionalFormatting sqref="E177">
    <cfRule type="containsText" priority="147" operator="containsText" dxfId="380" text="LONG ">
      <formula>NOT(ISERROR(SEARCH("LONG ",E177)))</formula>
    </cfRule>
  </conditionalFormatting>
  <conditionalFormatting sqref="E12:F12">
    <cfRule type="cellIs" priority="678" operator="lessThan" dxfId="204">
      <formula>1000</formula>
    </cfRule>
  </conditionalFormatting>
  <conditionalFormatting sqref="E14:F14">
    <cfRule type="cellIs" priority="675" operator="lessThan" dxfId="164">
      <formula>1000</formula>
    </cfRule>
  </conditionalFormatting>
  <conditionalFormatting sqref="E25:F27">
    <cfRule type="expression" priority="614" dxfId="358">
      <formula>($D$14="CANOPY TYPE")</formula>
    </cfRule>
  </conditionalFormatting>
  <conditionalFormatting sqref="E29:F29">
    <cfRule type="cellIs" priority="601" operator="lessThan" dxfId="204">
      <formula>1000</formula>
    </cfRule>
  </conditionalFormatting>
  <conditionalFormatting sqref="E31:F31">
    <cfRule type="cellIs" priority="598" operator="lessThan" dxfId="164">
      <formula>1000</formula>
    </cfRule>
  </conditionalFormatting>
  <conditionalFormatting sqref="E32:F32">
    <cfRule type="expression" priority="461" dxfId="315">
      <formula>(C32="LIGHT SELECTION")</formula>
    </cfRule>
  </conditionalFormatting>
  <conditionalFormatting sqref="E42:F44">
    <cfRule type="expression" priority="582" dxfId="358">
      <formula>($D$14="CANOPY TYPE")</formula>
    </cfRule>
  </conditionalFormatting>
  <conditionalFormatting sqref="E46:F46">
    <cfRule type="cellIs" priority="569" operator="lessThan" dxfId="204">
      <formula>1000</formula>
    </cfRule>
  </conditionalFormatting>
  <conditionalFormatting sqref="E48:F48">
    <cfRule type="cellIs" priority="566" operator="lessThan" dxfId="164">
      <formula>1000</formula>
    </cfRule>
  </conditionalFormatting>
  <conditionalFormatting sqref="E59:F61">
    <cfRule type="expression" priority="555" dxfId="358">
      <formula>($D$14="CANOPY TYPE")</formula>
    </cfRule>
  </conditionalFormatting>
  <conditionalFormatting sqref="E63:F63">
    <cfRule type="cellIs" priority="542" operator="lessThan" dxfId="204">
      <formula>1000</formula>
    </cfRule>
  </conditionalFormatting>
  <conditionalFormatting sqref="E65:F65">
    <cfRule type="cellIs" priority="539" operator="lessThan" dxfId="164">
      <formula>1000</formula>
    </cfRule>
  </conditionalFormatting>
  <conditionalFormatting sqref="E66:F66">
    <cfRule type="expression" priority="454" dxfId="315">
      <formula>(C66="LIGHT SELECTION")</formula>
    </cfRule>
  </conditionalFormatting>
  <conditionalFormatting sqref="E76:F78">
    <cfRule type="expression" priority="527" dxfId="358">
      <formula>($D$14="CANOPY TYPE")</formula>
    </cfRule>
  </conditionalFormatting>
  <conditionalFormatting sqref="E80:F80">
    <cfRule type="cellIs" priority="514" operator="lessThan" dxfId="204">
      <formula>1000</formula>
    </cfRule>
  </conditionalFormatting>
  <conditionalFormatting sqref="E82:F82">
    <cfRule type="cellIs" priority="511" operator="lessThan" dxfId="164">
      <formula>1000</formula>
    </cfRule>
  </conditionalFormatting>
  <conditionalFormatting sqref="E83:F83">
    <cfRule type="expression" priority="450" dxfId="315">
      <formula>(C83="LIGHT SELECTION")</formula>
    </cfRule>
  </conditionalFormatting>
  <conditionalFormatting sqref="E93:F95">
    <cfRule type="expression" priority="498" dxfId="358">
      <formula>($D$14="CANOPY TYPE")</formula>
    </cfRule>
  </conditionalFormatting>
  <conditionalFormatting sqref="E97:F97">
    <cfRule type="cellIs" priority="485" operator="lessThan" dxfId="204">
      <formula>1000</formula>
    </cfRule>
  </conditionalFormatting>
  <conditionalFormatting sqref="E99:F99">
    <cfRule type="cellIs" priority="482" operator="lessThan" dxfId="164">
      <formula>1000</formula>
    </cfRule>
  </conditionalFormatting>
  <conditionalFormatting sqref="E100:F100">
    <cfRule type="expression" priority="446" dxfId="315">
      <formula>(C100="LIGHT SELECTION")</formula>
    </cfRule>
  </conditionalFormatting>
  <conditionalFormatting sqref="E110:F112 E127:F129 E144:F146 E161:F163 E178:F180">
    <cfRule type="expression" priority="470" dxfId="358">
      <formula>($D$14="CANOPY TYPE")</formula>
    </cfRule>
  </conditionalFormatting>
  <conditionalFormatting sqref="E114:F114">
    <cfRule type="cellIs" priority="308" operator="lessThan" dxfId="204">
      <formula>1000</formula>
    </cfRule>
  </conditionalFormatting>
  <conditionalFormatting sqref="E116:F116">
    <cfRule type="cellIs" priority="305" operator="lessThan" dxfId="164">
      <formula>1000</formula>
    </cfRule>
  </conditionalFormatting>
  <conditionalFormatting sqref="E117:F117">
    <cfRule type="expression" priority="291" dxfId="315">
      <formula>(C117="LIGHT SELECTION")</formula>
    </cfRule>
  </conditionalFormatting>
  <conditionalFormatting sqref="E131:F131">
    <cfRule type="cellIs" priority="253" operator="lessThan" dxfId="204">
      <formula>1000</formula>
    </cfRule>
  </conditionalFormatting>
  <conditionalFormatting sqref="E133:F133">
    <cfRule type="cellIs" priority="250" operator="lessThan" dxfId="164">
      <formula>1000</formula>
    </cfRule>
  </conditionalFormatting>
  <conditionalFormatting sqref="E134:F134">
    <cfRule type="expression" priority="236" dxfId="315">
      <formula>(C134="LIGHT SELECTION")</formula>
    </cfRule>
  </conditionalFormatting>
  <conditionalFormatting sqref="E148:F148">
    <cfRule type="cellIs" priority="202" operator="lessThan" dxfId="204">
      <formula>1000</formula>
    </cfRule>
  </conditionalFormatting>
  <conditionalFormatting sqref="E150:F150">
    <cfRule type="cellIs" priority="199" operator="lessThan" dxfId="164">
      <formula>1000</formula>
    </cfRule>
  </conditionalFormatting>
  <conditionalFormatting sqref="E151:F151">
    <cfRule type="expression" priority="185" dxfId="315">
      <formula>(C151="LIGHT SELECTION")</formula>
    </cfRule>
  </conditionalFormatting>
  <conditionalFormatting sqref="E165:F165">
    <cfRule type="cellIs" priority="151" operator="lessThan" dxfId="204">
      <formula>1000</formula>
    </cfRule>
  </conditionalFormatting>
  <conditionalFormatting sqref="E167:F167">
    <cfRule type="cellIs" priority="148" operator="lessThan" dxfId="164">
      <formula>1000</formula>
    </cfRule>
  </conditionalFormatting>
  <conditionalFormatting sqref="E168:F168">
    <cfRule type="expression" priority="134" dxfId="315">
      <formula>(C168="LIGHT SELECTION")</formula>
    </cfRule>
  </conditionalFormatting>
  <conditionalFormatting sqref="F12">
    <cfRule type="cellIs" priority="679" operator="greaterThan" dxfId="204">
      <formula>3001</formula>
    </cfRule>
  </conditionalFormatting>
  <conditionalFormatting sqref="F15">
    <cfRule type="expression" priority="668" dxfId="215">
      <formula>(C15="LIGHT SELECTION")</formula>
    </cfRule>
    <cfRule type="expression" priority="670" dxfId="216">
      <formula>(C15="FLO")</formula>
    </cfRule>
    <cfRule type="expression" priority="463" dxfId="214">
      <formula>(C15="LED STRIP")</formula>
    </cfRule>
    <cfRule type="expression" priority="701" dxfId="315">
      <formula>(D49="LIGHT SELECTION")</formula>
    </cfRule>
  </conditionalFormatting>
  <conditionalFormatting sqref="F22:F23">
    <cfRule type="expression" priority="700" dxfId="205">
      <formula>D22="KSA"</formula>
    </cfRule>
    <cfRule type="expression" priority="692" dxfId="206">
      <formula>D22="NF"</formula>
    </cfRule>
    <cfRule type="expression" priority="693" dxfId="208">
      <formula>D22="WW PODS"</formula>
    </cfRule>
    <cfRule type="expression" priority="694" dxfId="206">
      <formula>D22="GRILLE"</formula>
    </cfRule>
    <cfRule type="expression" priority="695" dxfId="206">
      <formula>D22="CENTREX"</formula>
    </cfRule>
    <cfRule type="expression" priority="696" dxfId="206" stopIfTrue="1">
      <formula>D14="canopy type"</formula>
    </cfRule>
    <cfRule type="expression" priority="697" dxfId="207">
      <formula>(((I14*3600)/(C22*I11))^2+20)&gt;300</formula>
    </cfRule>
    <cfRule type="expression" priority="698" dxfId="205" stopIfTrue="1">
      <formula>(ISNUMBER(SEARCH("UV",D14)))</formula>
    </cfRule>
    <cfRule type="expression" priority="699" dxfId="207">
      <formula>(((I14*3600)/(C22*I11))^2+20)&gt;180</formula>
    </cfRule>
  </conditionalFormatting>
  <conditionalFormatting sqref="F24">
    <cfRule type="cellIs" priority="673" operator="lessThan" dxfId="204">
      <formula>2100</formula>
    </cfRule>
  </conditionalFormatting>
  <conditionalFormatting sqref="F29">
    <cfRule type="cellIs" priority="602" operator="greaterThan" dxfId="204">
      <formula>3001</formula>
    </cfRule>
  </conditionalFormatting>
  <conditionalFormatting sqref="F32">
    <cfRule type="expression" priority="462" dxfId="216">
      <formula>(C32="FLO")</formula>
    </cfRule>
    <cfRule type="expression" priority="460" dxfId="215">
      <formula>(C32="LIGHT SELECTION")</formula>
    </cfRule>
    <cfRule type="expression" priority="459" dxfId="214">
      <formula>(C32="LED STRIP")</formula>
    </cfRule>
  </conditionalFormatting>
  <conditionalFormatting sqref="F39:F40">
    <cfRule type="expression" priority="406" dxfId="207">
      <formula>(((I31*3600)/(C39*I28))^2+20)&gt;180</formula>
    </cfRule>
    <cfRule type="expression" priority="407" dxfId="205">
      <formula>D39="KSA"</formula>
    </cfRule>
    <cfRule type="expression" priority="399" dxfId="206">
      <formula>D39="NF"</formula>
    </cfRule>
    <cfRule type="expression" priority="400" dxfId="208">
      <formula>D39="WW PODS"</formula>
    </cfRule>
    <cfRule type="expression" priority="401" dxfId="206">
      <formula>D39="GRILLE"</formula>
    </cfRule>
    <cfRule type="expression" priority="402" dxfId="206">
      <formula>D39="CENTREX"</formula>
    </cfRule>
    <cfRule type="expression" priority="403" dxfId="206" stopIfTrue="1">
      <formula>D31="canopy type"</formula>
    </cfRule>
    <cfRule type="expression" priority="404" dxfId="207">
      <formula>(((I31*3600)/(C39*I28))^2+20)&gt;300</formula>
    </cfRule>
    <cfRule type="expression" priority="405" dxfId="205" stopIfTrue="1">
      <formula>(ISNUMBER(SEARCH("UV",D31)))</formula>
    </cfRule>
  </conditionalFormatting>
  <conditionalFormatting sqref="F41">
    <cfRule type="cellIs" priority="596" operator="lessThan" dxfId="204">
      <formula>2100</formula>
    </cfRule>
  </conditionalFormatting>
  <conditionalFormatting sqref="F46">
    <cfRule type="cellIs" priority="570" operator="greaterThan" dxfId="204">
      <formula>3001</formula>
    </cfRule>
  </conditionalFormatting>
  <conditionalFormatting sqref="F49">
    <cfRule type="expression" priority="702" dxfId="315">
      <formula>(#REF!="LIGHT SELECTION")</formula>
    </cfRule>
    <cfRule type="expression" priority="458" dxfId="216">
      <formula>(C49="FLO")</formula>
    </cfRule>
    <cfRule type="expression" priority="457" dxfId="215">
      <formula>(C49="LIGHT SELECTION")</formula>
    </cfRule>
    <cfRule type="expression" priority="456" dxfId="214">
      <formula>(C49="LED STRIP")</formula>
    </cfRule>
  </conditionalFormatting>
  <conditionalFormatting sqref="F56:F57">
    <cfRule type="expression" priority="379" dxfId="205" stopIfTrue="1">
      <formula>(ISNUMBER(SEARCH("UV",D48)))</formula>
    </cfRule>
    <cfRule type="expression" priority="380" dxfId="207">
      <formula>(((I48*3600)/(C56*I45))^2+20)&gt;180</formula>
    </cfRule>
    <cfRule type="expression" priority="378" dxfId="207">
      <formula>(((I48*3600)/(C56*I45))^2+20)&gt;300</formula>
    </cfRule>
    <cfRule type="expression" priority="377" dxfId="206" stopIfTrue="1">
      <formula>D48="canopy type"</formula>
    </cfRule>
    <cfRule type="expression" priority="376" dxfId="206">
      <formula>D56="CENTREX"</formula>
    </cfRule>
    <cfRule type="expression" priority="375" dxfId="206">
      <formula>D56="GRILLE"</formula>
    </cfRule>
    <cfRule type="expression" priority="374" dxfId="208">
      <formula>D56="WW PODS"</formula>
    </cfRule>
    <cfRule type="expression" priority="373" dxfId="206">
      <formula>D56="NF"</formula>
    </cfRule>
    <cfRule type="expression" priority="381" dxfId="205">
      <formula>D56="KSA"</formula>
    </cfRule>
  </conditionalFormatting>
  <conditionalFormatting sqref="F58">
    <cfRule type="cellIs" priority="564" operator="lessThan" dxfId="204">
      <formula>2100</formula>
    </cfRule>
  </conditionalFormatting>
  <conditionalFormatting sqref="F63">
    <cfRule type="cellIs" priority="543" operator="greaterThan" dxfId="204">
      <formula>3001</formula>
    </cfRule>
  </conditionalFormatting>
  <conditionalFormatting sqref="F66">
    <cfRule type="expression" priority="452" dxfId="214">
      <formula>(C66="LED STRIP")</formula>
    </cfRule>
    <cfRule type="expression" priority="453" dxfId="215">
      <formula>(C66="LIGHT SELECTION")</formula>
    </cfRule>
    <cfRule type="expression" priority="455" dxfId="216">
      <formula>(C66="FLO")</formula>
    </cfRule>
  </conditionalFormatting>
  <conditionalFormatting sqref="F73:F74">
    <cfRule type="expression" priority="358" dxfId="206">
      <formula>D73="NF"</formula>
    </cfRule>
    <cfRule type="expression" priority="359" dxfId="208">
      <formula>D73="WW PODS"</formula>
    </cfRule>
    <cfRule type="expression" priority="360" dxfId="206">
      <formula>D73="GRILLE"</formula>
    </cfRule>
    <cfRule type="expression" priority="361" dxfId="206">
      <formula>D73="CENTREX"</formula>
    </cfRule>
    <cfRule type="expression" priority="362" dxfId="206" stopIfTrue="1">
      <formula>D65="canopy type"</formula>
    </cfRule>
    <cfRule type="expression" priority="363" dxfId="207">
      <formula>(((I65*3600)/(C73*I62))^2+20)&gt;300</formula>
    </cfRule>
    <cfRule type="expression" priority="364" dxfId="205" stopIfTrue="1">
      <formula>(ISNUMBER(SEARCH("UV",D65)))</formula>
    </cfRule>
    <cfRule type="expression" priority="365" dxfId="207">
      <formula>(((I65*3600)/(C73*I62))^2+20)&gt;180</formula>
    </cfRule>
    <cfRule type="expression" priority="366" dxfId="205">
      <formula>D73="KSA"</formula>
    </cfRule>
  </conditionalFormatting>
  <conditionalFormatting sqref="F75">
    <cfRule type="cellIs" priority="537" operator="lessThan" dxfId="204">
      <formula>2100</formula>
    </cfRule>
  </conditionalFormatting>
  <conditionalFormatting sqref="F80">
    <cfRule type="cellIs" priority="515" operator="greaterThan" dxfId="204">
      <formula>3001</formula>
    </cfRule>
  </conditionalFormatting>
  <conditionalFormatting sqref="F83">
    <cfRule type="expression" priority="448" dxfId="214">
      <formula>(C83="LED STRIP")</formula>
    </cfRule>
    <cfRule type="expression" priority="451" dxfId="216">
      <formula>(C83="FLO")</formula>
    </cfRule>
    <cfRule type="expression" priority="449" dxfId="215">
      <formula>(C83="LIGHT SELECTION")</formula>
    </cfRule>
  </conditionalFormatting>
  <conditionalFormatting sqref="F90:F91">
    <cfRule type="expression" priority="343" dxfId="206">
      <formula>D90="NF"</formula>
    </cfRule>
    <cfRule type="expression" priority="344" dxfId="208">
      <formula>D90="WW PODS"</formula>
    </cfRule>
    <cfRule type="expression" priority="345" dxfId="206">
      <formula>D90="GRILLE"</formula>
    </cfRule>
    <cfRule type="expression" priority="346" dxfId="206">
      <formula>D90="CENTREX"</formula>
    </cfRule>
    <cfRule type="expression" priority="347" dxfId="206" stopIfTrue="1">
      <formula>D82="canopy type"</formula>
    </cfRule>
    <cfRule type="expression" priority="348" dxfId="207">
      <formula>(((I82*3600)/(C90*I79))^2+20)&gt;300</formula>
    </cfRule>
    <cfRule type="expression" priority="349" dxfId="205" stopIfTrue="1">
      <formula>(ISNUMBER(SEARCH("UV",D82)))</formula>
    </cfRule>
    <cfRule type="expression" priority="351" dxfId="205">
      <formula>D90="KSA"</formula>
    </cfRule>
    <cfRule type="expression" priority="350" dxfId="207">
      <formula>(((I82*3600)/(C90*I79))^2+20)&gt;180</formula>
    </cfRule>
  </conditionalFormatting>
  <conditionalFormatting sqref="F92">
    <cfRule type="cellIs" priority="509" operator="lessThan" dxfId="204">
      <formula>2100</formula>
    </cfRule>
  </conditionalFormatting>
  <conditionalFormatting sqref="F97">
    <cfRule type="cellIs" priority="486" operator="greaterThan" dxfId="204">
      <formula>3001</formula>
    </cfRule>
  </conditionalFormatting>
  <conditionalFormatting sqref="F100">
    <cfRule type="expression" priority="447" dxfId="216">
      <formula>(C100="FLO")</formula>
    </cfRule>
    <cfRule type="expression" priority="444" dxfId="214">
      <formula>(C100="LED STRIP")</formula>
    </cfRule>
    <cfRule type="expression" priority="445" dxfId="215">
      <formula>(C100="LIGHT SELECTION")</formula>
    </cfRule>
  </conditionalFormatting>
  <conditionalFormatting sqref="F107:F108">
    <cfRule type="expression" priority="329" dxfId="208">
      <formula>D107="WW PODS"</formula>
    </cfRule>
    <cfRule type="expression" priority="330" dxfId="206">
      <formula>D107="GRILLE"</formula>
    </cfRule>
    <cfRule type="expression" priority="334" dxfId="205" stopIfTrue="1">
      <formula>(ISNUMBER(SEARCH("UV",D99)))</formula>
    </cfRule>
    <cfRule type="expression" priority="333" dxfId="207">
      <formula>(((I99*3600)/(C107*I96))^2+20)&gt;300</formula>
    </cfRule>
    <cfRule type="expression" priority="335" dxfId="207">
      <formula>(((I99*3600)/(C107*I96))^2+20)&gt;180</formula>
    </cfRule>
    <cfRule type="expression" priority="332" dxfId="206" stopIfTrue="1">
      <formula>D99="canopy type"</formula>
    </cfRule>
    <cfRule type="expression" priority="331" dxfId="206">
      <formula>D107="CENTREX"</formula>
    </cfRule>
    <cfRule type="expression" priority="336" dxfId="205">
      <formula>D107="KSA"</formula>
    </cfRule>
    <cfRule type="expression" priority="328" dxfId="206">
      <formula>D107="NF"</formula>
    </cfRule>
  </conditionalFormatting>
  <conditionalFormatting sqref="F109">
    <cfRule type="cellIs" priority="480" operator="lessThan" dxfId="204">
      <formula>2100</formula>
    </cfRule>
  </conditionalFormatting>
  <conditionalFormatting sqref="F114">
    <cfRule type="cellIs" priority="309" operator="greaterThan" dxfId="204">
      <formula>3001</formula>
    </cfRule>
  </conditionalFormatting>
  <conditionalFormatting sqref="F117">
    <cfRule type="expression" priority="292" dxfId="216">
      <formula>(C117="FLO")</formula>
    </cfRule>
    <cfRule type="expression" priority="290" dxfId="215">
      <formula>(C117="LIGHT SELECTION")</formula>
    </cfRule>
    <cfRule type="expression" priority="289" dxfId="214">
      <formula>(C117="LED STRIP")</formula>
    </cfRule>
  </conditionalFormatting>
  <conditionalFormatting sqref="F124:F125">
    <cfRule type="expression" priority="279" dxfId="206">
      <formula>D124="GRILLE"</formula>
    </cfRule>
    <cfRule type="expression" priority="278" dxfId="208">
      <formula>D124="WW PODS"</formula>
    </cfRule>
    <cfRule type="expression" priority="277" dxfId="206">
      <formula>D124="NF"</formula>
    </cfRule>
    <cfRule type="expression" priority="281" dxfId="206" stopIfTrue="1">
      <formula>D116="canopy type"</formula>
    </cfRule>
    <cfRule type="expression" priority="282" dxfId="207">
      <formula>(((I116*3600)/(C124*I113))^2+20)&gt;300</formula>
    </cfRule>
    <cfRule type="expression" priority="283" dxfId="205" stopIfTrue="1">
      <formula>(ISNUMBER(SEARCH("UV",D116)))</formula>
    </cfRule>
    <cfRule type="expression" priority="284" dxfId="207">
      <formula>(((I116*3600)/(C124*I113))^2+20)&gt;180</formula>
    </cfRule>
    <cfRule type="expression" priority="285" dxfId="205">
      <formula>D124="KSA"</formula>
    </cfRule>
    <cfRule type="expression" priority="280" dxfId="206">
      <formula>D124="CENTREX"</formula>
    </cfRule>
  </conditionalFormatting>
  <conditionalFormatting sqref="F126">
    <cfRule type="cellIs" priority="303" operator="lessThan" dxfId="204">
      <formula>2100</formula>
    </cfRule>
  </conditionalFormatting>
  <conditionalFormatting sqref="F131">
    <cfRule type="cellIs" priority="254" operator="greaterThan" dxfId="204">
      <formula>3001</formula>
    </cfRule>
  </conditionalFormatting>
  <conditionalFormatting sqref="F134">
    <cfRule type="expression" priority="234" dxfId="214">
      <formula>(C134="LED STRIP")</formula>
    </cfRule>
    <cfRule type="expression" priority="237" dxfId="216">
      <formula>(C134="FLO")</formula>
    </cfRule>
    <cfRule type="expression" priority="235" dxfId="215">
      <formula>(C134="LIGHT SELECTION")</formula>
    </cfRule>
  </conditionalFormatting>
  <conditionalFormatting sqref="F141:F142">
    <cfRule type="expression" priority="223" dxfId="208">
      <formula>D141="WW PODS"</formula>
    </cfRule>
    <cfRule type="expression" priority="224" dxfId="206">
      <formula>D141="GRILLE"</formula>
    </cfRule>
    <cfRule type="expression" priority="225" dxfId="206">
      <formula>D141="CENTREX"</formula>
    </cfRule>
    <cfRule type="expression" priority="222" dxfId="206">
      <formula>D141="NF"</formula>
    </cfRule>
    <cfRule type="expression" priority="226" dxfId="206" stopIfTrue="1">
      <formula>D133="canopy type"</formula>
    </cfRule>
    <cfRule type="expression" priority="227" dxfId="207">
      <formula>(((I133*3600)/(C141*I130))^2+20)&gt;300</formula>
    </cfRule>
    <cfRule type="expression" priority="228" dxfId="205" stopIfTrue="1">
      <formula>(ISNUMBER(SEARCH("UV",D133)))</formula>
    </cfRule>
    <cfRule type="expression" priority="229" dxfId="207">
      <formula>(((I133*3600)/(C141*I130))^2+20)&gt;180</formula>
    </cfRule>
    <cfRule type="expression" priority="230" dxfId="205">
      <formula>D141="KSA"</formula>
    </cfRule>
  </conditionalFormatting>
  <conditionalFormatting sqref="F143">
    <cfRule type="cellIs" priority="248" operator="lessThan" dxfId="204">
      <formula>2100</formula>
    </cfRule>
  </conditionalFormatting>
  <conditionalFormatting sqref="F148">
    <cfRule type="cellIs" priority="203" operator="greaterThan" dxfId="204">
      <formula>3001</formula>
    </cfRule>
  </conditionalFormatting>
  <conditionalFormatting sqref="F151">
    <cfRule type="expression" priority="183" dxfId="214">
      <formula>(C151="LED STRIP")</formula>
    </cfRule>
    <cfRule type="expression" priority="184" dxfId="215">
      <formula>(C151="LIGHT SELECTION")</formula>
    </cfRule>
    <cfRule type="expression" priority="186" dxfId="216">
      <formula>(C151="FLO")</formula>
    </cfRule>
  </conditionalFormatting>
  <conditionalFormatting sqref="F158:F159">
    <cfRule type="expression" priority="178" dxfId="207">
      <formula>(((I150*3600)/(C158*I147))^2+20)&gt;180</formula>
    </cfRule>
    <cfRule type="expression" priority="171" dxfId="206">
      <formula>D158="NF"</formula>
    </cfRule>
    <cfRule type="expression" priority="172" dxfId="208">
      <formula>D158="WW PODS"</formula>
    </cfRule>
    <cfRule type="expression" priority="173" dxfId="206">
      <formula>D158="GRILLE"</formula>
    </cfRule>
    <cfRule type="expression" priority="174" dxfId="206">
      <formula>D158="CENTREX"</formula>
    </cfRule>
    <cfRule type="expression" priority="175" dxfId="206" stopIfTrue="1">
      <formula>D150="canopy type"</formula>
    </cfRule>
    <cfRule type="expression" priority="176" dxfId="207">
      <formula>(((I150*3600)/(C158*I147))^2+20)&gt;300</formula>
    </cfRule>
    <cfRule type="expression" priority="179" dxfId="205">
      <formula>D158="KSA"</formula>
    </cfRule>
    <cfRule type="expression" priority="177" dxfId="205" stopIfTrue="1">
      <formula>(ISNUMBER(SEARCH("UV",D150)))</formula>
    </cfRule>
  </conditionalFormatting>
  <conditionalFormatting sqref="F160">
    <cfRule type="cellIs" priority="197" operator="lessThan" dxfId="204">
      <formula>2100</formula>
    </cfRule>
  </conditionalFormatting>
  <conditionalFormatting sqref="F165">
    <cfRule type="cellIs" priority="152" operator="greaterThan" dxfId="204">
      <formula>3001</formula>
    </cfRule>
  </conditionalFormatting>
  <conditionalFormatting sqref="F168">
    <cfRule type="expression" priority="135" dxfId="216">
      <formula>(C168="FLO")</formula>
    </cfRule>
    <cfRule type="expression" priority="133" dxfId="215">
      <formula>(C168="LIGHT SELECTION")</formula>
    </cfRule>
    <cfRule type="expression" priority="132" dxfId="214">
      <formula>(C168="LED STRIP")</formula>
    </cfRule>
  </conditionalFormatting>
  <conditionalFormatting sqref="F175:F176">
    <cfRule type="expression" priority="126" dxfId="205" stopIfTrue="1">
      <formula>(ISNUMBER(SEARCH("UV",D167)))</formula>
    </cfRule>
    <cfRule type="expression" priority="125" dxfId="207">
      <formula>(((I167*3600)/(C175*I164))^2+20)&gt;300</formula>
    </cfRule>
    <cfRule type="expression" priority="124" dxfId="206" stopIfTrue="1">
      <formula>D167="canopy type"</formula>
    </cfRule>
    <cfRule type="expression" priority="123" dxfId="206">
      <formula>D175="CENTREX"</formula>
    </cfRule>
    <cfRule type="expression" priority="122" dxfId="206">
      <formula>D175="GRILLE"</formula>
    </cfRule>
    <cfRule type="expression" priority="121" dxfId="208">
      <formula>D175="WW PODS"</formula>
    </cfRule>
    <cfRule type="expression" priority="127" dxfId="207">
      <formula>(((I167*3600)/(C175*I164))^2+20)&gt;180</formula>
    </cfRule>
    <cfRule type="expression" priority="120" dxfId="206">
      <formula>D175="NF"</formula>
    </cfRule>
    <cfRule type="expression" priority="128" dxfId="205">
      <formula>D175="KSA"</formula>
    </cfRule>
  </conditionalFormatting>
  <conditionalFormatting sqref="F177">
    <cfRule type="cellIs" priority="146" operator="lessThan" dxfId="204">
      <formula>2100</formula>
    </cfRule>
  </conditionalFormatting>
  <conditionalFormatting sqref="G11">
    <cfRule type="expression" priority="681" dxfId="176">
      <formula>((F14-50)/H14)&lt;950</formula>
    </cfRule>
  </conditionalFormatting>
  <conditionalFormatting sqref="G12">
    <cfRule type="expression" priority="680" dxfId="175">
      <formula>((F14-50)/H14)&lt;950</formula>
    </cfRule>
  </conditionalFormatting>
  <conditionalFormatting sqref="G14">
    <cfRule type="cellIs" priority="676" operator="lessThan" dxfId="164">
      <formula>400</formula>
    </cfRule>
  </conditionalFormatting>
  <conditionalFormatting sqref="G28">
    <cfRule type="expression" priority="625" dxfId="176">
      <formula>((F31-50)/H31)&lt;950</formula>
    </cfRule>
  </conditionalFormatting>
  <conditionalFormatting sqref="G29">
    <cfRule type="expression" priority="603" dxfId="175">
      <formula>((F31-50)/H31)&lt;950</formula>
    </cfRule>
  </conditionalFormatting>
  <conditionalFormatting sqref="G31">
    <cfRule type="cellIs" priority="599" operator="lessThan" dxfId="164">
      <formula>400</formula>
    </cfRule>
  </conditionalFormatting>
  <conditionalFormatting sqref="G45">
    <cfRule type="expression" priority="641" dxfId="176">
      <formula>((F48-50)/H48)&lt;950</formula>
    </cfRule>
  </conditionalFormatting>
  <conditionalFormatting sqref="G46">
    <cfRule type="expression" priority="571" dxfId="175">
      <formula>((F48-50)/H48)&lt;950</formula>
    </cfRule>
  </conditionalFormatting>
  <conditionalFormatting sqref="G48">
    <cfRule type="cellIs" priority="567" operator="lessThan" dxfId="164">
      <formula>400</formula>
    </cfRule>
  </conditionalFormatting>
  <conditionalFormatting sqref="G62">
    <cfRule type="expression" priority="642" dxfId="176">
      <formula>((F65-50)/H65)&lt;950</formula>
    </cfRule>
  </conditionalFormatting>
  <conditionalFormatting sqref="G63">
    <cfRule type="expression" priority="544" dxfId="175">
      <formula>((F65-50)/H65)&lt;950</formula>
    </cfRule>
  </conditionalFormatting>
  <conditionalFormatting sqref="G65">
    <cfRule type="cellIs" priority="540" operator="lessThan" dxfId="164">
      <formula>400</formula>
    </cfRule>
  </conditionalFormatting>
  <conditionalFormatting sqref="G79">
    <cfRule type="expression" priority="643" dxfId="176">
      <formula>((F82-50)/H82)&lt;950</formula>
    </cfRule>
  </conditionalFormatting>
  <conditionalFormatting sqref="G80">
    <cfRule type="expression" priority="516" dxfId="175">
      <formula>((F82-50)/H82)&lt;950</formula>
    </cfRule>
  </conditionalFormatting>
  <conditionalFormatting sqref="G82">
    <cfRule type="cellIs" priority="512" operator="lessThan" dxfId="164">
      <formula>400</formula>
    </cfRule>
  </conditionalFormatting>
  <conditionalFormatting sqref="G96">
    <cfRule type="expression" priority="653" dxfId="176">
      <formula>((F99-50)/H99)&lt;950</formula>
    </cfRule>
  </conditionalFormatting>
  <conditionalFormatting sqref="G97">
    <cfRule type="expression" priority="487" dxfId="175">
      <formula>((F99-50)/H99)&lt;950</formula>
    </cfRule>
  </conditionalFormatting>
  <conditionalFormatting sqref="G99">
    <cfRule type="cellIs" priority="483" operator="lessThan" dxfId="164">
      <formula>400</formula>
    </cfRule>
  </conditionalFormatting>
  <conditionalFormatting sqref="G113">
    <cfRule type="expression" priority="321" dxfId="176">
      <formula>((F116-50)/H116)&lt;950</formula>
    </cfRule>
  </conditionalFormatting>
  <conditionalFormatting sqref="G114">
    <cfRule type="expression" priority="310" dxfId="175">
      <formula>((F116-50)/H116)&lt;950</formula>
    </cfRule>
  </conditionalFormatting>
  <conditionalFormatting sqref="G116">
    <cfRule type="cellIs" priority="306" operator="lessThan" dxfId="164">
      <formula>400</formula>
    </cfRule>
  </conditionalFormatting>
  <conditionalFormatting sqref="G130">
    <cfRule type="expression" priority="266" dxfId="176">
      <formula>((F133-50)/H133)&lt;950</formula>
    </cfRule>
  </conditionalFormatting>
  <conditionalFormatting sqref="G131">
    <cfRule type="expression" priority="255" dxfId="175">
      <formula>((F133-50)/H133)&lt;950</formula>
    </cfRule>
  </conditionalFormatting>
  <conditionalFormatting sqref="G133">
    <cfRule type="cellIs" priority="251" operator="lessThan" dxfId="164">
      <formula>400</formula>
    </cfRule>
  </conditionalFormatting>
  <conditionalFormatting sqref="G147">
    <cfRule type="expression" priority="215" dxfId="176">
      <formula>((F150-50)/H150)&lt;950</formula>
    </cfRule>
  </conditionalFormatting>
  <conditionalFormatting sqref="G148">
    <cfRule type="expression" priority="204" dxfId="175">
      <formula>((F150-50)/H150)&lt;950</formula>
    </cfRule>
  </conditionalFormatting>
  <conditionalFormatting sqref="G150">
    <cfRule type="cellIs" priority="200" operator="lessThan" dxfId="164">
      <formula>400</formula>
    </cfRule>
  </conditionalFormatting>
  <conditionalFormatting sqref="G164">
    <cfRule type="expression" priority="164" dxfId="176">
      <formula>((F167-50)/H167)&lt;950</formula>
    </cfRule>
  </conditionalFormatting>
  <conditionalFormatting sqref="G165">
    <cfRule type="expression" priority="153" dxfId="175">
      <formula>((F167-50)/H167)&lt;950</formula>
    </cfRule>
  </conditionalFormatting>
  <conditionalFormatting sqref="G167">
    <cfRule type="cellIs" priority="149" operator="lessThan" dxfId="164">
      <formula>400</formula>
    </cfRule>
  </conditionalFormatting>
  <conditionalFormatting sqref="I14">
    <cfRule type="cellIs" priority="677" operator="lessThan" dxfId="164">
      <formula>0.1</formula>
    </cfRule>
  </conditionalFormatting>
  <conditionalFormatting sqref="I31">
    <cfRule type="cellIs" priority="600" operator="lessThan" dxfId="164">
      <formula>0.1</formula>
    </cfRule>
  </conditionalFormatting>
  <conditionalFormatting sqref="I48">
    <cfRule type="cellIs" priority="568" operator="lessThan" dxfId="164">
      <formula>0.1</formula>
    </cfRule>
  </conditionalFormatting>
  <conditionalFormatting sqref="I65">
    <cfRule type="cellIs" priority="541" operator="lessThan" dxfId="164">
      <formula>0.1</formula>
    </cfRule>
  </conditionalFormatting>
  <conditionalFormatting sqref="I82">
    <cfRule type="cellIs" priority="513" operator="lessThan" dxfId="164">
      <formula>0.1</formula>
    </cfRule>
  </conditionalFormatting>
  <conditionalFormatting sqref="I99">
    <cfRule type="cellIs" priority="484" operator="lessThan" dxfId="164">
      <formula>0.1</formula>
    </cfRule>
  </conditionalFormatting>
  <conditionalFormatting sqref="I116">
    <cfRule type="cellIs" priority="307" operator="lessThan" dxfId="164">
      <formula>0.1</formula>
    </cfRule>
  </conditionalFormatting>
  <conditionalFormatting sqref="I133">
    <cfRule type="cellIs" priority="252" operator="lessThan" dxfId="164">
      <formula>0.1</formula>
    </cfRule>
  </conditionalFormatting>
  <conditionalFormatting sqref="I150">
    <cfRule type="cellIs" priority="201" operator="lessThan" dxfId="164">
      <formula>0.1</formula>
    </cfRule>
  </conditionalFormatting>
  <conditionalFormatting sqref="I167">
    <cfRule type="cellIs" priority="150" operator="lessThan" dxfId="164">
      <formula>0.1</formula>
    </cfRule>
  </conditionalFormatting>
  <conditionalFormatting sqref="J14:J27">
    <cfRule type="cellIs" priority="410" operator="greaterThan" dxfId="153">
      <formula>0</formula>
    </cfRule>
  </conditionalFormatting>
  <conditionalFormatting sqref="J31:J44">
    <cfRule type="cellIs" priority="383" operator="greaterThan" dxfId="153">
      <formula>0</formula>
    </cfRule>
  </conditionalFormatting>
  <conditionalFormatting sqref="J48:J61">
    <cfRule type="cellIs" priority="99" operator="greaterThan" dxfId="153">
      <formula>0</formula>
    </cfRule>
  </conditionalFormatting>
  <conditionalFormatting sqref="J65:J78">
    <cfRule type="cellIs" priority="85" operator="greaterThan" dxfId="153">
      <formula>0</formula>
    </cfRule>
  </conditionalFormatting>
  <conditionalFormatting sqref="J82:J95">
    <cfRule type="cellIs" priority="71" operator="greaterThan" dxfId="153">
      <formula>0</formula>
    </cfRule>
  </conditionalFormatting>
  <conditionalFormatting sqref="J99:J112">
    <cfRule type="cellIs" priority="57" operator="greaterThan" dxfId="153">
      <formula>0</formula>
    </cfRule>
  </conditionalFormatting>
  <conditionalFormatting sqref="J116:J129">
    <cfRule type="cellIs" priority="43" operator="greaterThan" dxfId="153">
      <formula>0</formula>
    </cfRule>
  </conditionalFormatting>
  <conditionalFormatting sqref="J133:J146">
    <cfRule type="cellIs" priority="29" operator="greaterThan" dxfId="153">
      <formula>0</formula>
    </cfRule>
  </conditionalFormatting>
  <conditionalFormatting sqref="J150:J163">
    <cfRule type="cellIs" priority="15" operator="greaterThan" dxfId="153">
      <formula>0</formula>
    </cfRule>
  </conditionalFormatting>
  <conditionalFormatting sqref="J167:J180">
    <cfRule type="cellIs" priority="1" operator="greaterThan" dxfId="153">
      <formula>0</formula>
    </cfRule>
  </conditionalFormatting>
  <conditionalFormatting sqref="J183:J197">
    <cfRule type="expression" priority="267" dxfId="153">
      <formula>C183&gt;0</formula>
    </cfRule>
  </conditionalFormatting>
  <conditionalFormatting sqref="J199">
    <cfRule type="expression" priority="658" dxfId="2">
      <formula>#REF!="EURO"</formula>
    </cfRule>
  </conditionalFormatting>
  <conditionalFormatting sqref="K14:K27">
    <cfRule type="cellIs" priority="424" operator="greaterThan" dxfId="141">
      <formula>0</formula>
    </cfRule>
  </conditionalFormatting>
  <conditionalFormatting sqref="K31:K44">
    <cfRule type="cellIs" priority="386" operator="greaterThan" dxfId="141">
      <formula>0</formula>
    </cfRule>
  </conditionalFormatting>
  <conditionalFormatting sqref="K48:K61">
    <cfRule type="cellIs" priority="102" operator="greaterThan" dxfId="141">
      <formula>0</formula>
    </cfRule>
  </conditionalFormatting>
  <conditionalFormatting sqref="K65:K78">
    <cfRule type="cellIs" priority="88" operator="greaterThan" dxfId="141">
      <formula>0</formula>
    </cfRule>
  </conditionalFormatting>
  <conditionalFormatting sqref="K82:K95">
    <cfRule type="cellIs" priority="74" operator="greaterThan" dxfId="141">
      <formula>0</formula>
    </cfRule>
  </conditionalFormatting>
  <conditionalFormatting sqref="K99:K112">
    <cfRule type="cellIs" priority="60" operator="greaterThan" dxfId="141">
      <formula>0</formula>
    </cfRule>
  </conditionalFormatting>
  <conditionalFormatting sqref="K116:K129">
    <cfRule type="cellIs" priority="46" operator="greaterThan" dxfId="141">
      <formula>0</formula>
    </cfRule>
  </conditionalFormatting>
  <conditionalFormatting sqref="K133:K146">
    <cfRule type="cellIs" priority="32" operator="greaterThan" dxfId="141">
      <formula>0</formula>
    </cfRule>
  </conditionalFormatting>
  <conditionalFormatting sqref="K150:K163">
    <cfRule type="cellIs" priority="18" operator="greaterThan" dxfId="141">
      <formula>0</formula>
    </cfRule>
  </conditionalFormatting>
  <conditionalFormatting sqref="K167:K180">
    <cfRule type="cellIs" priority="4" operator="greaterThan" dxfId="141">
      <formula>0</formula>
    </cfRule>
  </conditionalFormatting>
  <conditionalFormatting sqref="K183:K197">
    <cfRule type="cellIs" priority="268" operator="greaterThan" dxfId="141">
      <formula>0</formula>
    </cfRule>
  </conditionalFormatting>
  <conditionalFormatting sqref="K199">
    <cfRule type="expression" priority="657" dxfId="2">
      <formula>$B$9="EURO"</formula>
    </cfRule>
    <cfRule type="expression" priority="656" dxfId="3">
      <formula>$B$9="USD"</formula>
    </cfRule>
    <cfRule type="expression" priority="655" dxfId="0">
      <formula>$B$9="CZK"</formula>
    </cfRule>
    <cfRule type="expression" priority="654" dxfId="4">
      <formula>$B$9="PLN"</formula>
    </cfRule>
  </conditionalFormatting>
  <conditionalFormatting sqref="L14:L27">
    <cfRule type="expression" priority="421" dxfId="116">
      <formula>$C$9&lt;0</formula>
    </cfRule>
    <cfRule type="expression" priority="422" dxfId="115">
      <formula>$C$9&gt;0</formula>
    </cfRule>
  </conditionalFormatting>
  <conditionalFormatting sqref="L31:L44">
    <cfRule type="expression" priority="385" dxfId="115">
      <formula>$C$9&gt;0</formula>
    </cfRule>
    <cfRule type="expression" priority="384" dxfId="116">
      <formula>$C$9&lt;0</formula>
    </cfRule>
  </conditionalFormatting>
  <conditionalFormatting sqref="L48:L61">
    <cfRule type="expression" priority="100" dxfId="116">
      <formula>$C$9&lt;0</formula>
    </cfRule>
    <cfRule type="expression" priority="101" dxfId="115">
      <formula>$C$9&gt;0</formula>
    </cfRule>
  </conditionalFormatting>
  <conditionalFormatting sqref="L65:L78">
    <cfRule type="expression" priority="86" dxfId="116">
      <formula>$C$9&lt;0</formula>
    </cfRule>
    <cfRule type="expression" priority="87" dxfId="115">
      <formula>$C$9&gt;0</formula>
    </cfRule>
  </conditionalFormatting>
  <conditionalFormatting sqref="L82:L95">
    <cfRule type="expression" priority="72" dxfId="116">
      <formula>$C$9&lt;0</formula>
    </cfRule>
    <cfRule type="expression" priority="73" dxfId="115">
      <formula>$C$9&gt;0</formula>
    </cfRule>
  </conditionalFormatting>
  <conditionalFormatting sqref="L99:L112">
    <cfRule type="expression" priority="58" dxfId="116">
      <formula>$C$9&lt;0</formula>
    </cfRule>
    <cfRule type="expression" priority="59" dxfId="115">
      <formula>$C$9&gt;0</formula>
    </cfRule>
  </conditionalFormatting>
  <conditionalFormatting sqref="L116:L129">
    <cfRule type="expression" priority="44" dxfId="116">
      <formula>$C$9&lt;0</formula>
    </cfRule>
    <cfRule type="expression" priority="45" dxfId="115">
      <formula>$C$9&gt;0</formula>
    </cfRule>
  </conditionalFormatting>
  <conditionalFormatting sqref="L133:L146">
    <cfRule type="expression" priority="31" dxfId="115">
      <formula>$C$9&gt;0</formula>
    </cfRule>
    <cfRule type="expression" priority="30" dxfId="116">
      <formula>$C$9&lt;0</formula>
    </cfRule>
  </conditionalFormatting>
  <conditionalFormatting sqref="L150:L163">
    <cfRule type="expression" priority="17" dxfId="115">
      <formula>$C$9&gt;0</formula>
    </cfRule>
    <cfRule type="expression" priority="16" dxfId="116">
      <formula>$C$9&lt;0</formula>
    </cfRule>
  </conditionalFormatting>
  <conditionalFormatting sqref="L167:L180">
    <cfRule type="expression" priority="3" dxfId="115">
      <formula>$C$9&gt;0</formula>
    </cfRule>
    <cfRule type="expression" priority="2" dxfId="116">
      <formula>$C$9&lt;0</formula>
    </cfRule>
  </conditionalFormatting>
  <conditionalFormatting sqref="L183:L197">
    <cfRule type="expression" priority="644" dxfId="116">
      <formula>$C$9&lt;0</formula>
    </cfRule>
    <cfRule type="expression" priority="645" dxfId="115">
      <formula>$C$9&gt;0</formula>
    </cfRule>
  </conditionalFormatting>
  <conditionalFormatting sqref="N9 N12">
    <cfRule type="expression" priority="688" dxfId="4">
      <formula>$B$9="PLN"</formula>
    </cfRule>
    <cfRule type="expression" priority="689" dxfId="0">
      <formula>$B$9="CZK"</formula>
    </cfRule>
    <cfRule type="expression" priority="690" dxfId="3">
      <formula>$B$9="USD"</formula>
    </cfRule>
    <cfRule type="expression" priority="691" dxfId="2">
      <formula>$B$9="EURO"</formula>
    </cfRule>
  </conditionalFormatting>
  <conditionalFormatting sqref="N14:N27">
    <cfRule type="expression" priority="630" dxfId="3">
      <formula>$B$9="USD"</formula>
    </cfRule>
    <cfRule type="expression" priority="629" dxfId="2">
      <formula>$B$9="EURO"</formula>
    </cfRule>
    <cfRule type="cellIs" priority="628" operator="greaterThan" dxfId="1">
      <formula>0</formula>
    </cfRule>
    <cfRule type="expression" priority="632" dxfId="0">
      <formula>$B$9="CZK"</formula>
    </cfRule>
    <cfRule type="expression" priority="631" dxfId="4">
      <formula>$B$9="PLN"</formula>
    </cfRule>
  </conditionalFormatting>
  <conditionalFormatting sqref="N29">
    <cfRule type="expression" priority="609" dxfId="4">
      <formula>$B$9="PLN"</formula>
    </cfRule>
    <cfRule type="expression" priority="612" dxfId="2">
      <formula>$B$9="EURO"</formula>
    </cfRule>
    <cfRule type="expression" priority="611" dxfId="3">
      <formula>$B$9="USD"</formula>
    </cfRule>
    <cfRule type="expression" priority="610" dxfId="0">
      <formula>$B$9="CZK"</formula>
    </cfRule>
  </conditionalFormatting>
  <conditionalFormatting sqref="N31:N44">
    <cfRule type="cellIs" priority="389" operator="greaterThan" dxfId="1">
      <formula>0</formula>
    </cfRule>
    <cfRule type="expression" priority="390" dxfId="2">
      <formula>$B$9="EURO"</formula>
    </cfRule>
    <cfRule type="expression" priority="391" dxfId="3">
      <formula>$B$9="USD"</formula>
    </cfRule>
    <cfRule type="expression" priority="392" dxfId="4">
      <formula>$B$9="PLN"</formula>
    </cfRule>
    <cfRule type="expression" priority="393" dxfId="0">
      <formula>$B$9="CZK"</formula>
    </cfRule>
  </conditionalFormatting>
  <conditionalFormatting sqref="N46">
    <cfRule type="expression" priority="577" dxfId="4">
      <formula>$B$9="PLN"</formula>
    </cfRule>
    <cfRule type="expression" priority="579" dxfId="3">
      <formula>$B$9="USD"</formula>
    </cfRule>
    <cfRule type="expression" priority="580" dxfId="2">
      <formula>$B$9="EURO"</formula>
    </cfRule>
    <cfRule type="expression" priority="578" dxfId="0">
      <formula>$B$9="CZK"</formula>
    </cfRule>
  </conditionalFormatting>
  <conditionalFormatting sqref="N48:N61">
    <cfRule type="expression" priority="105" dxfId="2">
      <formula>$B$9="EURO"</formula>
    </cfRule>
    <cfRule type="cellIs" priority="104" operator="greaterThan" dxfId="1">
      <formula>0</formula>
    </cfRule>
    <cfRule type="expression" priority="108" dxfId="0">
      <formula>$B$9="CZK"</formula>
    </cfRule>
    <cfRule type="expression" priority="107" dxfId="4">
      <formula>$B$9="PLN"</formula>
    </cfRule>
    <cfRule type="expression" priority="106" dxfId="3">
      <formula>$B$9="USD"</formula>
    </cfRule>
  </conditionalFormatting>
  <conditionalFormatting sqref="N63">
    <cfRule type="expression" priority="550" dxfId="4">
      <formula>$B$9="PLN"</formula>
    </cfRule>
    <cfRule type="expression" priority="551" dxfId="0">
      <formula>$B$9="CZK"</formula>
    </cfRule>
    <cfRule type="expression" priority="552" dxfId="3">
      <formula>$B$9="USD"</formula>
    </cfRule>
    <cfRule type="expression" priority="553" dxfId="2">
      <formula>$B$9="EURO"</formula>
    </cfRule>
  </conditionalFormatting>
  <conditionalFormatting sqref="N65:N78">
    <cfRule type="expression" priority="93" dxfId="4">
      <formula>$B$9="PLN"</formula>
    </cfRule>
    <cfRule type="expression" priority="94" dxfId="0">
      <formula>$B$9="CZK"</formula>
    </cfRule>
    <cfRule type="expression" priority="92" dxfId="3">
      <formula>$B$9="USD"</formula>
    </cfRule>
    <cfRule type="expression" priority="91" dxfId="2">
      <formula>$B$9="EURO"</formula>
    </cfRule>
    <cfRule type="cellIs" priority="90" operator="greaterThan" dxfId="1">
      <formula>0</formula>
    </cfRule>
  </conditionalFormatting>
  <conditionalFormatting sqref="N80">
    <cfRule type="expression" priority="523" dxfId="0">
      <formula>$B$9="CZK"</formula>
    </cfRule>
    <cfRule type="expression" priority="524" dxfId="3">
      <formula>$B$9="USD"</formula>
    </cfRule>
    <cfRule type="expression" priority="522" dxfId="4">
      <formula>$B$9="PLN"</formula>
    </cfRule>
    <cfRule type="expression" priority="525" dxfId="2">
      <formula>$B$9="EURO"</formula>
    </cfRule>
  </conditionalFormatting>
  <conditionalFormatting sqref="N82:N95">
    <cfRule type="expression" priority="79" dxfId="4">
      <formula>$B$9="PLN"</formula>
    </cfRule>
    <cfRule type="expression" priority="78" dxfId="3">
      <formula>$B$9="USD"</formula>
    </cfRule>
    <cfRule type="expression" priority="80" dxfId="0">
      <formula>$B$9="CZK"</formula>
    </cfRule>
    <cfRule type="cellIs" priority="76" operator="greaterThan" dxfId="1">
      <formula>0</formula>
    </cfRule>
    <cfRule type="expression" priority="77" dxfId="2">
      <formula>$B$9="EURO"</formula>
    </cfRule>
  </conditionalFormatting>
  <conditionalFormatting sqref="N97">
    <cfRule type="expression" priority="494" dxfId="0">
      <formula>$B$9="CZK"</formula>
    </cfRule>
    <cfRule type="expression" priority="493" dxfId="4">
      <formula>$B$9="PLN"</formula>
    </cfRule>
    <cfRule type="expression" priority="496" dxfId="2">
      <formula>$B$9="EURO"</formula>
    </cfRule>
    <cfRule type="expression" priority="495" dxfId="3">
      <formula>$B$9="USD"</formula>
    </cfRule>
  </conditionalFormatting>
  <conditionalFormatting sqref="N99:N112">
    <cfRule type="cellIs" priority="62" operator="greaterThan" dxfId="1">
      <formula>0</formula>
    </cfRule>
    <cfRule type="expression" priority="63" dxfId="2">
      <formula>$B$9="EURO"</formula>
    </cfRule>
    <cfRule type="expression" priority="64" dxfId="3">
      <formula>$B$9="USD"</formula>
    </cfRule>
    <cfRule type="expression" priority="65" dxfId="4">
      <formula>$B$9="PLN"</formula>
    </cfRule>
    <cfRule type="expression" priority="66" dxfId="0">
      <formula>$B$9="CZK"</formula>
    </cfRule>
  </conditionalFormatting>
  <conditionalFormatting sqref="N114">
    <cfRule type="expression" priority="317" dxfId="0">
      <formula>$B$9="CZK"</formula>
    </cfRule>
    <cfRule type="expression" priority="318" dxfId="3">
      <formula>$B$9="USD"</formula>
    </cfRule>
    <cfRule type="expression" priority="319" dxfId="2">
      <formula>$B$9="EURO"</formula>
    </cfRule>
    <cfRule type="expression" priority="316" dxfId="4">
      <formula>$B$9="PLN"</formula>
    </cfRule>
  </conditionalFormatting>
  <conditionalFormatting sqref="N116:N129">
    <cfRule type="cellIs" priority="48" operator="greaterThan" dxfId="1">
      <formula>0</formula>
    </cfRule>
    <cfRule type="expression" priority="52" dxfId="0">
      <formula>$B$9="CZK"</formula>
    </cfRule>
    <cfRule type="expression" priority="51" dxfId="4">
      <formula>$B$9="PLN"</formula>
    </cfRule>
    <cfRule type="expression" priority="50" dxfId="3">
      <formula>$B$9="USD"</formula>
    </cfRule>
    <cfRule type="expression" priority="49" dxfId="2">
      <formula>$B$9="EURO"</formula>
    </cfRule>
  </conditionalFormatting>
  <conditionalFormatting sqref="N131">
    <cfRule type="expression" priority="261" dxfId="4">
      <formula>$B$9="PLN"</formula>
    </cfRule>
    <cfRule type="expression" priority="262" dxfId="0">
      <formula>$B$9="CZK"</formula>
    </cfRule>
    <cfRule type="expression" priority="263" dxfId="3">
      <formula>$B$9="USD"</formula>
    </cfRule>
    <cfRule type="expression" priority="264" dxfId="2">
      <formula>$B$9="EURO"</formula>
    </cfRule>
  </conditionalFormatting>
  <conditionalFormatting sqref="N133:N146">
    <cfRule type="expression" priority="37" dxfId="4">
      <formula>$B$9="PLN"</formula>
    </cfRule>
    <cfRule type="expression" priority="36" dxfId="3">
      <formula>$B$9="USD"</formula>
    </cfRule>
    <cfRule type="expression" priority="38" dxfId="0">
      <formula>$B$9="CZK"</formula>
    </cfRule>
    <cfRule type="expression" priority="35" dxfId="2">
      <formula>$B$9="EURO"</formula>
    </cfRule>
    <cfRule type="cellIs" priority="34" operator="greaterThan" dxfId="1">
      <formula>0</formula>
    </cfRule>
  </conditionalFormatting>
  <conditionalFormatting sqref="N148">
    <cfRule type="expression" priority="213" dxfId="2">
      <formula>$B$9="EURO"</formula>
    </cfRule>
    <cfRule type="expression" priority="211" dxfId="0">
      <formula>$B$9="CZK"</formula>
    </cfRule>
    <cfRule type="expression" priority="210" dxfId="4">
      <formula>$B$9="PLN"</formula>
    </cfRule>
    <cfRule type="expression" priority="212" dxfId="3">
      <formula>$B$9="USD"</formula>
    </cfRule>
  </conditionalFormatting>
  <conditionalFormatting sqref="N150:N163">
    <cfRule type="expression" priority="22" dxfId="3">
      <formula>$B$9="USD"</formula>
    </cfRule>
    <cfRule type="cellIs" priority="20" operator="greaterThan" dxfId="1">
      <formula>0</formula>
    </cfRule>
    <cfRule type="expression" priority="21" dxfId="2">
      <formula>$B$9="EURO"</formula>
    </cfRule>
    <cfRule type="expression" priority="24" dxfId="0">
      <formula>$B$9="CZK"</formula>
    </cfRule>
    <cfRule type="expression" priority="23" dxfId="4">
      <formula>$B$9="PLN"</formula>
    </cfRule>
  </conditionalFormatting>
  <conditionalFormatting sqref="N165">
    <cfRule type="expression" priority="161" dxfId="3">
      <formula>$B$9="USD"</formula>
    </cfRule>
    <cfRule type="expression" priority="160" dxfId="0">
      <formula>$B$9="CZK"</formula>
    </cfRule>
    <cfRule type="expression" priority="162" dxfId="2">
      <formula>$B$9="EURO"</formula>
    </cfRule>
    <cfRule type="expression" priority="159" dxfId="4">
      <formula>$B$9="PLN"</formula>
    </cfRule>
  </conditionalFormatting>
  <conditionalFormatting sqref="N167:N180">
    <cfRule type="expression" priority="10" dxfId="0">
      <formula>$B$9="CZK"</formula>
    </cfRule>
    <cfRule type="expression" priority="7" dxfId="2">
      <formula>$B$9="EURO"</formula>
    </cfRule>
    <cfRule type="cellIs" priority="6" operator="greaterThan" dxfId="1">
      <formula>0</formula>
    </cfRule>
    <cfRule type="expression" priority="8" dxfId="3">
      <formula>$B$9="USD"</formula>
    </cfRule>
    <cfRule type="expression" priority="9" dxfId="4">
      <formula>$B$9="PLN"</formula>
    </cfRule>
  </conditionalFormatting>
  <conditionalFormatting sqref="N183:N197">
    <cfRule type="expression" priority="640" dxfId="0">
      <formula>$B$9="CZK"</formula>
    </cfRule>
    <cfRule type="expression" priority="639" dxfId="4">
      <formula>$B$9="PLN"</formula>
    </cfRule>
    <cfRule type="expression" priority="638" dxfId="3">
      <formula>$B$9="USD"</formula>
    </cfRule>
    <cfRule type="expression" priority="637" dxfId="2">
      <formula>$B$9="EURO"</formula>
    </cfRule>
    <cfRule type="cellIs" priority="636" operator="greaterThan" dxfId="1">
      <formula>0</formula>
    </cfRule>
  </conditionalFormatting>
  <conditionalFormatting sqref="N182:O182">
    <cfRule type="expression" priority="647" dxfId="0">
      <formula>$B$9="CZK"</formula>
    </cfRule>
    <cfRule type="expression" priority="646" dxfId="4">
      <formula>$B$9="PLN"</formula>
    </cfRule>
    <cfRule type="expression" priority="649" dxfId="2">
      <formula>$B$9="EURO"</formula>
    </cfRule>
    <cfRule type="expression" priority="648" dxfId="3">
      <formula>$B$9="USD"</formula>
    </cfRule>
  </conditionalFormatting>
  <conditionalFormatting sqref="O14:O27">
    <cfRule type="cellIs" priority="633" operator="greaterThan" dxfId="5">
      <formula>0</formula>
    </cfRule>
  </conditionalFormatting>
  <conditionalFormatting sqref="O31:O44">
    <cfRule type="cellIs" priority="394" operator="greaterThan" dxfId="5">
      <formula>0</formula>
    </cfRule>
  </conditionalFormatting>
  <conditionalFormatting sqref="O48:O61">
    <cfRule type="cellIs" priority="109" operator="greaterThan" dxfId="5">
      <formula>0</formula>
    </cfRule>
  </conditionalFormatting>
  <conditionalFormatting sqref="O65:O78">
    <cfRule type="cellIs" priority="95" operator="greaterThan" dxfId="5">
      <formula>0</formula>
    </cfRule>
  </conditionalFormatting>
  <conditionalFormatting sqref="O82:O95">
    <cfRule type="cellIs" priority="81" operator="greaterThan" dxfId="5">
      <formula>0</formula>
    </cfRule>
  </conditionalFormatting>
  <conditionalFormatting sqref="O99:O112">
    <cfRule type="cellIs" priority="67" operator="greaterThan" dxfId="5">
      <formula>0</formula>
    </cfRule>
  </conditionalFormatting>
  <conditionalFormatting sqref="O116:O129">
    <cfRule type="cellIs" priority="53" operator="greaterThan" dxfId="5">
      <formula>0</formula>
    </cfRule>
  </conditionalFormatting>
  <conditionalFormatting sqref="O133:O146">
    <cfRule type="cellIs" priority="39" operator="greaterThan" dxfId="5">
      <formula>0</formula>
    </cfRule>
  </conditionalFormatting>
  <conditionalFormatting sqref="O150:O163">
    <cfRule type="cellIs" priority="25" operator="greaterThan" dxfId="5">
      <formula>0</formula>
    </cfRule>
  </conditionalFormatting>
  <conditionalFormatting sqref="O167:O180">
    <cfRule type="cellIs" priority="11" operator="greaterThan" dxfId="5">
      <formula>0</formula>
    </cfRule>
  </conditionalFormatting>
  <conditionalFormatting sqref="O183:O197">
    <cfRule type="cellIs" priority="659" operator="greaterThan" dxfId="5">
      <formula>0</formula>
    </cfRule>
  </conditionalFormatting>
  <conditionalFormatting sqref="Q16">
    <cfRule type="expression" priority="414" dxfId="4">
      <formula>$B$9="PLN"</formula>
    </cfRule>
    <cfRule type="expression" priority="413" dxfId="3">
      <formula>$B$9="USD"</formula>
    </cfRule>
    <cfRule type="expression" priority="412" dxfId="2">
      <formula>$B$9="EURO"</formula>
    </cfRule>
    <cfRule type="cellIs" priority="411" operator="greaterThan" dxfId="1">
      <formula>0</formula>
    </cfRule>
    <cfRule type="expression" priority="415" dxfId="0">
      <formula>$B$9="CZK"</formula>
    </cfRule>
  </conditionalFormatting>
  <dataValidations count="16">
    <dataValidation sqref="D26 D43 D60 D77 D94 D111 D128 D145 D162 D179" showDropDown="0" showInputMessage="1" showErrorMessage="1" allowBlank="1" type="list">
      <formula1>"0,1,2,3,4,5,6,7,8,9,10"</formula1>
    </dataValidation>
    <dataValidation sqref="G181" showDropDown="0" showInputMessage="1" showErrorMessage="1" allowBlank="1" type="list">
      <formula1>#REF!</formula1>
    </dataValidation>
    <dataValidation sqref="C14 C31 C48 C65 C82 C99 C116 C133 C150 C167" showDropDown="0" showInputMessage="1" showErrorMessage="1" allowBlank="1" type="list">
      <formula1>"WALL, ISLAND"</formula1>
    </dataValidation>
    <dataValidation sqref="E14 E31 E48 E65 E82 E99 E116 E133 E150 E167" showDropDown="0" showInputMessage="1" showErrorMessage="1" allowBlank="1" operator="greaterThan"/>
    <dataValidation sqref="C20:C21 C37:C38 C54:C55 C71:C72 C88:C89 C105:C106 C122:C123 C139:C140 C156:C157 C173:C174" showDropDown="0" showInputMessage="1" showErrorMessage="1" allowBlank="1" type="list">
      <formula1>"0,1,2,3,4,5,6,7,8,9,10,11,12,13,14,15,16,17,18,19,20"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7 C44 C61 C78 C95 C112 C129 C146 C163 C180" showDropDown="0" showInputMessage="1" showErrorMessage="1" allowBlank="1" type="list">
      <formula1>"0,0.5,1,1.5,2,2.5,3,3.5,4,4.5,5"</formula1>
    </dataValidation>
    <dataValidation sqref="C15 C32 C49 C66 C83 C100 C117 C134 C151 C168 C185 C202 C219 C236 C253 C270 C287 C304" showDropDown="0" showInputMessage="0" showErrorMessage="0" allowBlank="1" type="list">
      <formula1>Lists!$A$1:$A$5</formula1>
    </dataValidation>
    <dataValidation sqref="C16 C33 C50 C67 C84 C101 C118 C135 C152 C169 C186 C203 C220 C237 C254 C271 C288 C305" showDropDown="0" showInputMessage="0" showErrorMessage="0" allowBlank="1" type="list">
      <formula1>Lists!$B$1:$B$17</formula1>
    </dataValidation>
    <dataValidation sqref="C17 C34 C51 C68 C85 C102 C119 C136 C153 C170 C187 C204 C221 C238 C255 C272 C289 C306" showDropDown="0" showInputMessage="0" showErrorMessage="0" allowBlank="1" type="list">
      <formula1>Lists!$B$1:$B$18</formula1>
    </dataValidation>
    <dataValidation sqref="C19 C36 C53 C70 C87 C104 C121 C138 C155 C172 C189 C206 C223 C240 C257 C274 C291 C308" showDropDown="0" showInputMessage="0" showErrorMessage="0" allowBlank="1" type="list">
      <formula1>Lists!$C$1:$C$2</formula1>
    </dataValidation>
    <dataValidation sqref="C25 C42 C59 C76 C93 C110 C127 C144 C161 C178 C195 C212 C229 C246 C263 C280 C297" showDropDown="0" showInputMessage="0" showErrorMessage="0" allowBlank="1" type="list">
      <formula1>Lists!$D$1:$D$4</formula1>
    </dataValidation>
    <dataValidation sqref="C26 C43 C60 C77 C94 C111 C128 C145 C162 C179 C196 C213 C230 C247 C264 C281 C298" showDropDown="0" showInputMessage="0" showErrorMessage="0" allowBlank="1" type="list">
      <formula1>Lists!$E$1:$E$10</formula1>
    </dataValidation>
    <dataValidation sqref="D183" showDropDown="0" showInputMessage="0" showErrorMessage="0" allowBlank="1" type="list">
      <formula1>Lists!$F$1:$F$193</formula1>
    </dataValidation>
    <dataValidation sqref="D184" showDropDown="0" showInputMessage="0" showErrorMessage="0" allowBlank="1" type="list">
      <formula1>Lists!$G$1:$G$12</formula1>
    </dataValidation>
    <dataValidation sqref="D185" showDropDown="0" showInputMessage="0" showErrorMessage="0" allowBlank="1" type="list">
      <formula1>Lists!$G$1:$G$12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1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 codeName="Sheet36">
    <tabColor theme="8" tint="0.7999816888943144"/>
    <outlinePr summaryBelow="1" summaryRight="1"/>
    <pageSetUpPr fitToPage="1"/>
  </sheetPr>
  <dimension ref="A1:Z310"/>
  <sheetViews>
    <sheetView showGridLines="0" topLeftCell="G2" zoomScale="106" zoomScaleNormal="80" zoomScaleSheetLayoutView="50" workbookViewId="0">
      <selection activeCell="P182" sqref="P182"/>
    </sheetView>
  </sheetViews>
  <sheetFormatPr baseColWidth="10" defaultColWidth="8.83203125" defaultRowHeight="15" customHeight="1" outlineLevelRow="1"/>
  <cols>
    <col width="2" customWidth="1" style="666" min="1" max="1"/>
    <col width="29.6640625" customWidth="1" style="1095" min="2" max="2"/>
    <col width="24.6640625" customWidth="1" style="1095" min="3" max="3"/>
    <col width="27.1640625" customWidth="1" style="1095" min="4" max="4"/>
    <col width="26.6640625" customWidth="1" style="1095" min="5" max="5"/>
    <col width="18.83203125" customWidth="1" style="1095" min="6" max="6"/>
    <col width="22.6640625" customWidth="1" style="1095" min="7" max="7"/>
    <col width="10" bestFit="1" customWidth="1" style="1096" min="8" max="8"/>
    <col width="11.6640625" bestFit="1" customWidth="1" style="1096" min="9" max="9"/>
    <col width="12.33203125" customWidth="1" style="1097" min="10" max="10"/>
    <col width="15" customWidth="1" style="1098" min="11" max="11"/>
    <col width="7.6640625" bestFit="1" customWidth="1" style="1098" min="12" max="12"/>
    <col hidden="1" width="12.33203125" customWidth="1" style="1099" min="13" max="13"/>
    <col width="12.8320312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8"/>
    <col width="8.83203125" customWidth="1" style="1095" min="99" max="16384"/>
  </cols>
  <sheetData>
    <row r="1" ht="15" customHeight="1" s="1085">
      <c r="B1" s="1116" t="inlineStr">
        <is>
          <t>F24 - 19  CANOPY COST SHEET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 t="n"/>
      <c r="F3" s="690" t="inlineStr">
        <is>
          <t>Project Name</t>
        </is>
      </c>
      <c r="G3" s="1071" t="n"/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 t="n"/>
      <c r="F5" s="690" t="inlineStr">
        <is>
          <t>Location</t>
        </is>
      </c>
      <c r="G5" s="1071" t="n"/>
      <c r="M5" s="684" t="n"/>
      <c r="N5" s="685" t="n"/>
      <c r="P5" s="1118" t="inlineStr">
        <is>
          <t>RECO CANOPIES MUST HAVE COALESCERS</t>
        </is>
      </c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 t="n"/>
      <c r="F7" s="690" t="inlineStr">
        <is>
          <t>Date</t>
        </is>
      </c>
      <c r="G7" s="1075" t="n"/>
      <c r="N7" s="699" t="inlineStr">
        <is>
          <t>Revision No</t>
        </is>
      </c>
      <c r="O7" s="809" t="inlineStr">
        <is>
          <t>B</t>
        </is>
      </c>
      <c r="P7" s="1091" t="inlineStr">
        <is>
          <t>GP SHOULD BE MINIMUM 44%</t>
        </is>
      </c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47" t="n"/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8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 xml:space="preserve">ITEM 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68">
        <f>N12-N19</f>
        <v/>
      </c>
      <c r="Q12" s="1095" t="n"/>
      <c r="R12" s="1095" t="n"/>
      <c r="S12" s="713" t="n"/>
      <c r="T12" s="1095" t="n"/>
      <c r="X12" s="1095" t="n"/>
      <c r="Y12" s="1095" t="n"/>
      <c r="Z12" s="1095" t="n"/>
    </row>
    <row r="13" hidden="1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hidden="1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CANOPY TYPE</t>
        </is>
      </c>
      <c r="E14" s="734" t="n"/>
      <c r="F14" s="734" t="n"/>
      <c r="G14" s="734" t="n"/>
      <c r="H14" s="735" t="n"/>
      <c r="I14" s="734" t="n"/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hidden="1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LIGHT SELECTION</t>
        </is>
      </c>
      <c r="D15" s="741" t="n"/>
      <c r="E15" s="848" t="n"/>
      <c r="F15" s="743" t="n"/>
      <c r="G15" s="744" t="n"/>
      <c r="H15" s="668" t="n"/>
      <c r="I15" s="668" t="n"/>
      <c r="J15" s="736">
        <f>IF(ISNA(C12),0,IF(D15=0,0,IF(C15="FLO",VLOOKUP(E15,'Base Costs'!$M$4:$N$14,2,FALSE),IF(C15="LED STRIP",VLOOKUP(E15,'Base Costs'!$M$4:$N$14,2,FALSE),(VLOOKUP(C15,'Base Costs'!$M$4:$N$14,2,FALSE))))))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hidden="1" outlineLevel="1" ht="15" customHeight="1" s="1085">
      <c r="A16" s="666" t="n">
        <v>234</v>
      </c>
      <c r="B16" s="269" t="inlineStr">
        <is>
          <t>SPECIAL WORKS</t>
        </is>
      </c>
      <c r="C16" s="33" t="inlineStr">
        <is>
          <t>SELECT WORKS</t>
        </is>
      </c>
      <c r="D16" s="735" t="n"/>
      <c r="E16" s="753">
        <f>IF(C16="","",VLOOKUP(C16,CCBASE!$A$53:$D$73,4,FALSE))</f>
        <v/>
      </c>
      <c r="F16" s="754" t="n"/>
      <c r="G16" s="749" t="n"/>
      <c r="H16" s="750" t="n"/>
      <c r="I16" s="755" t="n"/>
      <c r="J16" s="736">
        <f>IF(C16="",0,VLOOKUP(C16,CCBASE!$A$53:$C$73,2,FALSE))</f>
        <v/>
      </c>
      <c r="K16" s="737">
        <f>J16*D16</f>
        <v/>
      </c>
      <c r="L16" s="738" t="n">
        <v>0.44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hidden="1" outlineLevel="1" ht="15" customHeight="1" s="1085">
      <c r="B17" s="269" t="inlineStr">
        <is>
          <t>SPECIAL WORKS</t>
        </is>
      </c>
      <c r="C17" s="752" t="inlineStr">
        <is>
          <t>SELECT WORKS</t>
        </is>
      </c>
      <c r="D17" s="735" t="n"/>
      <c r="E17" s="753">
        <f>IF(C17="","",VLOOKUP(C17,CCBASE!$A$53:$D$73,4,FALSE))</f>
        <v/>
      </c>
      <c r="F17" s="754" t="n"/>
      <c r="G17" s="749" t="n"/>
      <c r="H17" s="750" t="n"/>
      <c r="I17" s="755" t="n"/>
      <c r="J17" s="736">
        <f>IF(C17="",0,VLOOKUP(C17,CCBASE!$A$53:$C$73,2,FALSE))</f>
        <v/>
      </c>
      <c r="K17" s="737">
        <f>J17*D17</f>
        <v/>
      </c>
      <c r="L17" s="738" t="n">
        <v>0.44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hidden="1" outlineLevel="1" ht="15" customHeight="1" s="1085">
      <c r="B18" s="978" t="inlineStr">
        <is>
          <t>SPECIAL WORKS</t>
        </is>
      </c>
      <c r="C18" s="979" t="inlineStr">
        <is>
          <t>BIM/ REVIT per CANOPY</t>
        </is>
      </c>
      <c r="D18" s="980" t="n">
        <v>1</v>
      </c>
      <c r="E18" s="981">
        <f>IF(C18="","",VLOOKUP(C18,CCBASE!$A$53:$D$73,4,FALSE))</f>
        <v/>
      </c>
      <c r="F18" s="982" t="n"/>
      <c r="G18" s="977" t="n"/>
      <c r="H18" s="983" t="n"/>
      <c r="I18" s="984" t="n"/>
      <c r="J18" s="985">
        <f>IF(C18="",0,VLOOKUP(C18,CCBASE!$A$53:$C$73,2,FALSE))</f>
        <v/>
      </c>
      <c r="K18" s="986">
        <f>J18*D18</f>
        <v/>
      </c>
      <c r="L18" s="987" t="n">
        <v>0.44</v>
      </c>
      <c r="M18" s="988">
        <f>K18/(1-L18)*(1+$C$9)</f>
        <v/>
      </c>
      <c r="N18" s="986">
        <f>M18*VLOOKUP($B$9,'Base Costs'!$A$32:$B$37,2,FALSE)</f>
        <v/>
      </c>
      <c r="O18" s="989">
        <f>M18-K18</f>
        <v/>
      </c>
      <c r="P18" s="990" t="inlineStr">
        <is>
          <t>always include</t>
        </is>
      </c>
      <c r="S18" s="694" t="n"/>
      <c r="Y18" s="1095" t="n"/>
    </row>
    <row r="19" hidden="1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SELECT CLADDING</t>
        </is>
      </c>
      <c r="D19" s="756">
        <f>IF(NOT(ISBLANK(C19)), ROUNDUP($F14/1000,0), 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S19" s="694" t="n"/>
      <c r="Y19" s="1095" t="n"/>
    </row>
    <row r="20" hidden="1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hidden="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hidden="1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S22" s="694" t="n"/>
      <c r="Y22" s="1095" t="n"/>
    </row>
    <row r="23" hidden="1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>
        <f>IF(ISNA(D23),0,(VLOOKUP(D23,'Base Costs'!$Q$4:$R$14,2,FALSE)))</f>
        <v/>
      </c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hidden="1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hidden="1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hidden="1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hidden="1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collapsed="1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 xml:space="preserve">ITEM 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68">
        <f>N29-N36</f>
        <v/>
      </c>
      <c r="Q29" s="1095" t="n"/>
      <c r="R29" s="1095" t="n"/>
      <c r="S29" s="713" t="n"/>
      <c r="T29" s="1095" t="n"/>
      <c r="X29" s="1095" t="n"/>
      <c r="Y29" s="1095" t="n"/>
      <c r="Z29" s="1095" t="n"/>
    </row>
    <row r="30" hidden="1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hidden="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hidden="1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hidden="1" outlineLevel="1" ht="15" customHeight="1" s="1085">
      <c r="A33" s="666" t="n">
        <v>234</v>
      </c>
      <c r="B33" s="731" t="inlineStr">
        <is>
          <t>SPECIAL WORKS</t>
        </is>
      </c>
      <c r="C33" s="752" t="inlineStr">
        <is>
          <t>SELECT WORKS</t>
        </is>
      </c>
      <c r="D33" s="735" t="n"/>
      <c r="E33" s="753">
        <f>IF(C33="","",VLOOKUP(C33,CCBASE!$A$53:$D$73,4,FALSE))</f>
        <v/>
      </c>
      <c r="F33" s="754" t="n"/>
      <c r="G33" s="749" t="n"/>
      <c r="H33" s="750" t="n"/>
      <c r="I33" s="755" t="n"/>
      <c r="J33" s="736">
        <f>IF(C33="",0,VLOOKUP(C33,CCBASE!$A$53:$C$73,2,FALSE))</f>
        <v/>
      </c>
      <c r="K33" s="737">
        <f>J33*D33</f>
        <v/>
      </c>
      <c r="L33" s="738" t="n">
        <v>0.44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hidden="1" outlineLevel="1" ht="15" customHeight="1" s="1085">
      <c r="B34" s="731" t="inlineStr">
        <is>
          <t>SPECIAL WORKS</t>
        </is>
      </c>
      <c r="C34" s="752" t="inlineStr">
        <is>
          <t>SELECT WORKS</t>
        </is>
      </c>
      <c r="D34" s="735" t="n"/>
      <c r="E34" s="753">
        <f>IF(C34="","",VLOOKUP(C34,CCBASE!$A$53:$D$73,4,FALSE))</f>
        <v/>
      </c>
      <c r="F34" s="754" t="n"/>
      <c r="G34" s="749" t="n"/>
      <c r="H34" s="750" t="n"/>
      <c r="I34" s="755" t="n"/>
      <c r="J34" s="736">
        <f>IF(C34="",0,VLOOKUP(C34,CCBASE!$A$53:$C$73,2,FALSE))</f>
        <v/>
      </c>
      <c r="K34" s="737">
        <f>J34*D34</f>
        <v/>
      </c>
      <c r="L34" s="738" t="n">
        <v>0.44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hidden="1" outlineLevel="1" ht="15" customHeight="1" s="1085">
      <c r="B35" s="978" t="inlineStr">
        <is>
          <t>SPECIAL WORKS</t>
        </is>
      </c>
      <c r="C35" s="979" t="inlineStr">
        <is>
          <t>BIM/ REVIT per CANOPY</t>
        </is>
      </c>
      <c r="D35" s="980" t="n"/>
      <c r="E35" s="1111" t="n"/>
      <c r="G35" s="977" t="n"/>
      <c r="H35" s="983" t="n"/>
      <c r="I35" s="984" t="n"/>
      <c r="J35" s="985">
        <f>IF(C35="",0,VLOOKUP(C35,CCBASE!$A$53:$C$73,2,FALSE))</f>
        <v/>
      </c>
      <c r="K35" s="986">
        <f>J35*D35</f>
        <v/>
      </c>
      <c r="L35" s="987" t="n">
        <v>0.44</v>
      </c>
      <c r="M35" s="988">
        <f>K35/(1-L35)*(1+$C$9)</f>
        <v/>
      </c>
      <c r="N35" s="986">
        <f>M35*VLOOKUP($B$9,'Base Costs'!$A$32:$B$37,2,FALSE)</f>
        <v/>
      </c>
      <c r="O35" s="989">
        <f>M35-K35</f>
        <v/>
      </c>
      <c r="P35" s="990" t="inlineStr">
        <is>
          <t>always include</t>
        </is>
      </c>
      <c r="S35" s="694" t="n"/>
      <c r="Y35" s="1095" t="n"/>
    </row>
    <row r="36" hidden="1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SELECT CLADDING</t>
        </is>
      </c>
      <c r="D36" s="756">
        <f>IF(NOT(ISBLANK(C36)), ROUNDUP($F31/1000,0), 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Y36" s="1095" t="n"/>
    </row>
    <row r="37" hidden="1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hidden="1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hidden="1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S39" s="694" t="n"/>
      <c r="Y39" s="1095" t="n"/>
    </row>
    <row r="40" hidden="1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>
        <f>IF(ISNA(D40),0,(VLOOKUP(D40,'Base Costs'!$Q$4:$R$13,2,FALSE)))</f>
        <v/>
      </c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hidden="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hidden="1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hidden="1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hidden="1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collapsed="1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68">
        <f>N46-N53</f>
        <v/>
      </c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731" t="inlineStr">
        <is>
          <t>SPECIAL WORKS</t>
        </is>
      </c>
      <c r="C50" s="752" t="inlineStr">
        <is>
          <t>SELECT WORKS</t>
        </is>
      </c>
      <c r="D50" s="735" t="n"/>
      <c r="E50" s="753">
        <f>IF(C50="","",VLOOKUP(C50,CCBASE!$A$53:$D$73,4,FALSE))</f>
        <v/>
      </c>
      <c r="F50" s="754" t="n"/>
      <c r="G50" s="749" t="n"/>
      <c r="H50" s="750" t="n"/>
      <c r="I50" s="755" t="n"/>
      <c r="J50" s="736">
        <f>IF(C50="",0,VLOOKUP(C50,CCBASE!$A$53:$C$73,2,FALSE))</f>
        <v/>
      </c>
      <c r="K50" s="737">
        <f>J50*D50</f>
        <v/>
      </c>
      <c r="L50" s="738" t="n">
        <v>0.44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731" t="inlineStr">
        <is>
          <t>SPECIAL WORKS</t>
        </is>
      </c>
      <c r="C51" s="752" t="inlineStr">
        <is>
          <t>SELECT WORKS</t>
        </is>
      </c>
      <c r="D51" s="735" t="n"/>
      <c r="E51" s="753">
        <f>IF(C51="","",VLOOKUP(C51,CCBASE!$A$53:$D$73,4,FALSE))</f>
        <v/>
      </c>
      <c r="F51" s="754" t="n"/>
      <c r="G51" s="749" t="n"/>
      <c r="H51" s="750" t="n"/>
      <c r="I51" s="755" t="n"/>
      <c r="J51" s="736">
        <f>IF(C51="",0,VLOOKUP(C51,CCBASE!$A$53:$C$73,2,FALSE))</f>
        <v/>
      </c>
      <c r="K51" s="737">
        <f>J51*D51</f>
        <v/>
      </c>
      <c r="L51" s="738" t="n">
        <v>0.44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978" t="inlineStr">
        <is>
          <t>SPECIAL WORKS</t>
        </is>
      </c>
      <c r="C52" s="979" t="inlineStr">
        <is>
          <t>BIM/ REVIT per CANOPY</t>
        </is>
      </c>
      <c r="D52" s="980" t="n"/>
      <c r="E52" s="981">
        <f>IF(C52="","",VLOOKUP(C52,CCBASE!$A$53:$D$73,4,FALSE))</f>
        <v/>
      </c>
      <c r="F52" s="982" t="n"/>
      <c r="G52" s="977" t="n"/>
      <c r="H52" s="983" t="n"/>
      <c r="I52" s="984" t="n"/>
      <c r="J52" s="985">
        <f>IF(C52="",0,VLOOKUP(C52,CCBASE!$A$53:$C$73,2,FALSE))</f>
        <v/>
      </c>
      <c r="K52" s="986">
        <f>J52*D52</f>
        <v/>
      </c>
      <c r="L52" s="987" t="n">
        <v>0.44</v>
      </c>
      <c r="M52" s="988">
        <f>K52/(1-L52)*(1+$C$9)</f>
        <v/>
      </c>
      <c r="N52" s="986">
        <f>M52*VLOOKUP($B$9,'Base Costs'!$A$32:$B$37,2,FALSE)</f>
        <v/>
      </c>
      <c r="O52" s="989">
        <f>M52-K52</f>
        <v/>
      </c>
      <c r="P52" s="990" t="inlineStr">
        <is>
          <t>always include</t>
        </is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SELECT CLADDING</t>
        </is>
      </c>
      <c r="D53" s="756">
        <f>IF(NOT(ISBLANK(C53)), ROUNDUP($F48/1000,0), 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>
        <f>IF(ISNA(D57),0,(VLOOKUP(D57,'Base Costs'!$Q$4:$R$13,2,FALSE)))</f>
        <v/>
      </c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68">
        <f>N63-N70</f>
        <v/>
      </c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731" t="inlineStr">
        <is>
          <t>SPECIAL WORKS</t>
        </is>
      </c>
      <c r="C67" s="752" t="inlineStr">
        <is>
          <t>SELECT WORKS</t>
        </is>
      </c>
      <c r="D67" s="735" t="n"/>
      <c r="E67" s="753">
        <f>IF(C67="","",VLOOKUP(C67,CCBASE!$A$53:$D$73,4,FALSE))</f>
        <v/>
      </c>
      <c r="F67" s="754" t="n"/>
      <c r="G67" s="749" t="n"/>
      <c r="H67" s="750" t="n"/>
      <c r="I67" s="755" t="n"/>
      <c r="J67" s="736">
        <f>IF(C67="",0,VLOOKUP(C67,CCBASE!$A$53:$C$73,2,FALSE))</f>
        <v/>
      </c>
      <c r="K67" s="737">
        <f>J67*D67</f>
        <v/>
      </c>
      <c r="L67" s="738" t="n">
        <v>0.44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731" t="inlineStr">
        <is>
          <t>SPECIAL WORKS</t>
        </is>
      </c>
      <c r="C68" s="752" t="inlineStr">
        <is>
          <t>SELECT WORKS</t>
        </is>
      </c>
      <c r="D68" s="735" t="n"/>
      <c r="E68" s="753">
        <f>IF(C68="","",VLOOKUP(C68,CCBASE!$A$53:$D$73,4,FALSE))</f>
        <v/>
      </c>
      <c r="F68" s="754" t="n"/>
      <c r="G68" s="749" t="n"/>
      <c r="H68" s="750" t="n"/>
      <c r="I68" s="755" t="n"/>
      <c r="J68" s="736">
        <f>IF(C68="",0,VLOOKUP(C68,CCBASE!$A$53:$C$73,2,FALSE))</f>
        <v/>
      </c>
      <c r="K68" s="737">
        <f>J68*D68</f>
        <v/>
      </c>
      <c r="L68" s="738" t="n">
        <v>0.44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978" t="inlineStr">
        <is>
          <t>SPECIAL WORKS</t>
        </is>
      </c>
      <c r="C69" s="979" t="inlineStr">
        <is>
          <t>BIM/ REVIT per CANOPY</t>
        </is>
      </c>
      <c r="D69" s="980" t="n"/>
      <c r="E69" s="981">
        <f>IF(C69="","",VLOOKUP(C69,CCBASE!$A$53:$D$73,4,FALSE))</f>
        <v/>
      </c>
      <c r="F69" s="982" t="n"/>
      <c r="G69" s="977" t="n"/>
      <c r="H69" s="983" t="n"/>
      <c r="I69" s="984" t="n"/>
      <c r="J69" s="985">
        <f>IF(C69="",0,VLOOKUP(C69,CCBASE!$A$53:$C$73,2,FALSE))</f>
        <v/>
      </c>
      <c r="K69" s="986">
        <f>J69*D69</f>
        <v/>
      </c>
      <c r="L69" s="987" t="n">
        <v>0.44</v>
      </c>
      <c r="M69" s="988">
        <f>K69/(1-L69)*(1+$C$9)</f>
        <v/>
      </c>
      <c r="N69" s="986">
        <f>M69*VLOOKUP($B$9,'Base Costs'!$A$32:$B$37,2,FALSE)</f>
        <v/>
      </c>
      <c r="O69" s="989">
        <f>M69-K69</f>
        <v/>
      </c>
      <c r="P69" s="990" t="inlineStr">
        <is>
          <t>always include</t>
        </is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IF(NOT(ISBLANK(C70)), ROUNDUP(F65/1000,0), 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>
        <f>IF(ISNA(D74),0,(VLOOKUP(D74,'Base Costs'!$Q$4:$R$13,2,FALSE)))</f>
        <v/>
      </c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68">
        <f>N80-N87</f>
        <v/>
      </c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731" t="inlineStr">
        <is>
          <t>SPECIAL WORKS</t>
        </is>
      </c>
      <c r="C84" s="752" t="inlineStr">
        <is>
          <t>SELECT WORKS</t>
        </is>
      </c>
      <c r="D84" s="735" t="n"/>
      <c r="E84" s="753">
        <f>IF(C84="","",VLOOKUP(C84,CCBASE!$A$53:$D$73,4,FALSE))</f>
        <v/>
      </c>
      <c r="F84" s="754" t="n"/>
      <c r="G84" s="749" t="n"/>
      <c r="H84" s="750" t="n"/>
      <c r="I84" s="755" t="n"/>
      <c r="J84" s="736">
        <f>IF(C84="",0,VLOOKUP(C84,CCBASE!$A$53:$C$73,2,FALSE))</f>
        <v/>
      </c>
      <c r="K84" s="737">
        <f>J84*D84</f>
        <v/>
      </c>
      <c r="L84" s="738" t="n">
        <v>0.44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SPECIAL WORKS</t>
        </is>
      </c>
      <c r="C85" s="752" t="inlineStr">
        <is>
          <t>SELECT WORKS</t>
        </is>
      </c>
      <c r="D85" s="735" t="n"/>
      <c r="E85" s="753">
        <f>IF(C85="","",VLOOKUP(C85,CCBASE!$A$53:$D$73,4,FALSE))</f>
        <v/>
      </c>
      <c r="F85" s="754" t="n"/>
      <c r="G85" s="749" t="n"/>
      <c r="H85" s="750" t="n"/>
      <c r="I85" s="755" t="n"/>
      <c r="J85" s="736">
        <f>IF(C85="",0,VLOOKUP(C85,CCBASE!$A$53:$C$73,2,FALSE))</f>
        <v/>
      </c>
      <c r="K85" s="737">
        <f>J85*D85</f>
        <v/>
      </c>
      <c r="L85" s="738" t="n">
        <v>0.44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978" t="inlineStr">
        <is>
          <t>SPECIAL WORKS</t>
        </is>
      </c>
      <c r="C86" s="979" t="inlineStr">
        <is>
          <t>BIM/ REVIT per CANOPY</t>
        </is>
      </c>
      <c r="D86" s="980" t="n"/>
      <c r="E86" s="981">
        <f>IF(C86="","",VLOOKUP(C86,CCBASE!$A$53:$D$73,4,FALSE))</f>
        <v/>
      </c>
      <c r="F86" s="982" t="n"/>
      <c r="G86" s="977" t="n"/>
      <c r="H86" s="983" t="n"/>
      <c r="I86" s="984" t="n"/>
      <c r="J86" s="985">
        <f>IF(C86="",0,VLOOKUP(C86,CCBASE!$A$53:$C$73,2,FALSE))</f>
        <v/>
      </c>
      <c r="K86" s="986">
        <f>J86*D86</f>
        <v/>
      </c>
      <c r="L86" s="987" t="n">
        <v>0.44</v>
      </c>
      <c r="M86" s="988">
        <f>K86/(1-L86)*(1+$C$9)</f>
        <v/>
      </c>
      <c r="N86" s="986">
        <f>M86*VLOOKUP($B$9,'Base Costs'!$A$32:$B$37,2,FALSE)</f>
        <v/>
      </c>
      <c r="O86" s="989">
        <f>M86-K86</f>
        <v/>
      </c>
      <c r="P86" s="990" t="inlineStr">
        <is>
          <t>always include</t>
        </is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IF(NOT(ISBLANK(C87)), ROUNDUP(F82/1000,0), 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>
        <f>IF(ISNA(D91),0,(VLOOKUP(D91,'Base Costs'!$Q$4:$R$13,2,FALSE)))</f>
        <v/>
      </c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IF(ISNUMBER(SEARCH("UV",D99)),49.7,71.75)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68">
        <f>N97-N104</f>
        <v/>
      </c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731" t="inlineStr">
        <is>
          <t>SPECIAL WORKS</t>
        </is>
      </c>
      <c r="C101" s="752" t="inlineStr">
        <is>
          <t>SELECT WORKS</t>
        </is>
      </c>
      <c r="D101" s="735" t="n"/>
      <c r="E101" s="753">
        <f>IF(C101="","",VLOOKUP(C101,CCBASE!$A$53:$D$73,4,FALSE))</f>
        <v/>
      </c>
      <c r="F101" s="754" t="n"/>
      <c r="G101" s="749" t="n"/>
      <c r="H101" s="750" t="n"/>
      <c r="I101" s="755" t="n"/>
      <c r="J101" s="736">
        <f>IF(C101="",0,VLOOKUP(C101,CCBASE!$A$53:$C$73,2,FALSE))</f>
        <v/>
      </c>
      <c r="K101" s="737">
        <f>J101*D101</f>
        <v/>
      </c>
      <c r="L101" s="738" t="n">
        <v>0.44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584" t="inlineStr">
        <is>
          <t>SPECIAL WORKS</t>
        </is>
      </c>
      <c r="C102" s="33" t="inlineStr">
        <is>
          <t>SELECT WORKS</t>
        </is>
      </c>
      <c r="D102" s="735" t="n"/>
      <c r="E102" s="753">
        <f>IF(C102="","",VLOOKUP(C102,CCBASE!$A$53:$D$73,4,FALSE))</f>
        <v/>
      </c>
      <c r="F102" s="754" t="n"/>
      <c r="G102" s="749" t="n"/>
      <c r="H102" s="750" t="n"/>
      <c r="I102" s="755" t="n"/>
      <c r="J102" s="736">
        <f>IF(C102="",0,VLOOKUP(C102,CCBASE!$A$53:$C$73,2,FALSE))</f>
        <v/>
      </c>
      <c r="K102" s="737">
        <f>J102*D102</f>
        <v/>
      </c>
      <c r="L102" s="738" t="n">
        <v>0.44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991" t="inlineStr">
        <is>
          <t>SPECIAL WORKS</t>
        </is>
      </c>
      <c r="C103" s="992" t="inlineStr">
        <is>
          <t>BIM/ REVIT per CANOPY</t>
        </is>
      </c>
      <c r="D103" s="980" t="n"/>
      <c r="E103" s="981">
        <f>IF(C103="","",VLOOKUP(C103,CCBASE!$A$53:$D$73,4,FALSE))</f>
        <v/>
      </c>
      <c r="F103" s="982" t="n"/>
      <c r="G103" s="977" t="n"/>
      <c r="H103" s="983" t="n"/>
      <c r="I103" s="984" t="n"/>
      <c r="J103" s="985">
        <f>IF(C103="",0,VLOOKUP(C103,CCBASE!$A$53:$C$73,2,FALSE))</f>
        <v/>
      </c>
      <c r="K103" s="986">
        <f>J103*D103</f>
        <v/>
      </c>
      <c r="L103" s="987" t="n">
        <v>0.44</v>
      </c>
      <c r="M103" s="988">
        <f>K103/(1-L103)*(1+$C$9)</f>
        <v/>
      </c>
      <c r="N103" s="986">
        <f>M103*VLOOKUP($B$9,'Base Costs'!$A$32:$B$37,2,FALSE)</f>
        <v/>
      </c>
      <c r="O103" s="989">
        <f>M103-K103</f>
        <v/>
      </c>
      <c r="P103" s="990" t="inlineStr">
        <is>
          <t>always include</t>
        </is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IF(NOT(ISBLANK(C104)), ROUNDUP(F99/1000,0), 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>
        <f>IF(ISNA(D108),0,(VLOOKUP(D108,'Base Costs'!$Q$4:$R$13,2,FALSE)))</f>
        <v/>
      </c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IF(ISNUMBER(SEARCH("UV",D116)),49.7,71.75)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68">
        <f>N114-N121</f>
        <v/>
      </c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731" t="inlineStr">
        <is>
          <t>SPECIAL WORKS</t>
        </is>
      </c>
      <c r="C118" s="752" t="inlineStr">
        <is>
          <t>SELECT WORKS</t>
        </is>
      </c>
      <c r="D118" s="735" t="n"/>
      <c r="E118" s="753">
        <f>IF(C118="","",VLOOKUP(C118,CCBASE!$A$53:$D$73,4,FALSE))</f>
        <v/>
      </c>
      <c r="F118" s="754" t="n"/>
      <c r="G118" s="749" t="n"/>
      <c r="H118" s="750" t="n"/>
      <c r="I118" s="755" t="n"/>
      <c r="J118" s="736">
        <f>IF(C118="",0,VLOOKUP(C118,CCBASE!$A$53:$C$73,2,FALSE))</f>
        <v/>
      </c>
      <c r="K118" s="737">
        <f>J118*D118</f>
        <v/>
      </c>
      <c r="L118" s="738" t="n">
        <v>0.44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584" t="inlineStr">
        <is>
          <t>SPECIAL WORKS</t>
        </is>
      </c>
      <c r="C119" s="33" t="inlineStr">
        <is>
          <t>SELECT WORKS</t>
        </is>
      </c>
      <c r="D119" s="735" t="n"/>
      <c r="E119" s="753">
        <f>IF(C119="","",VLOOKUP(C119,CCBASE!$A$53:$D$73,4,FALSE))</f>
        <v/>
      </c>
      <c r="F119" s="754" t="n"/>
      <c r="G119" s="749" t="n"/>
      <c r="H119" s="750" t="n"/>
      <c r="I119" s="755" t="n"/>
      <c r="J119" s="736">
        <f>IF(C119="",0,VLOOKUP(C119,CCBASE!$A$53:$C$73,2,FALSE))</f>
        <v/>
      </c>
      <c r="K119" s="737">
        <f>J119*D119</f>
        <v/>
      </c>
      <c r="L119" s="738" t="n">
        <v>0.44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991" t="inlineStr">
        <is>
          <t>SPECIAL WORKS</t>
        </is>
      </c>
      <c r="C120" s="992" t="inlineStr">
        <is>
          <t>BIM/ REVIT per CANOPY</t>
        </is>
      </c>
      <c r="D120" s="980" t="n"/>
      <c r="E120" s="981">
        <f>IF(C120="","",VLOOKUP(C120,CCBASE!$A$53:$D$73,4,FALSE))</f>
        <v/>
      </c>
      <c r="F120" s="982" t="n"/>
      <c r="G120" s="977" t="n"/>
      <c r="H120" s="983" t="n"/>
      <c r="I120" s="984" t="n"/>
      <c r="J120" s="985">
        <f>IF(C120="",0,VLOOKUP(C120,CCBASE!$A$53:$C$73,2,FALSE))</f>
        <v/>
      </c>
      <c r="K120" s="986">
        <f>J120*D120</f>
        <v/>
      </c>
      <c r="L120" s="987" t="n">
        <v>0.44</v>
      </c>
      <c r="M120" s="988">
        <f>K120/(1-L120)*(1+$C$9)</f>
        <v/>
      </c>
      <c r="N120" s="986">
        <f>M120*VLOOKUP($B$9,'Base Costs'!$A$32:$B$37,2,FALSE)</f>
        <v/>
      </c>
      <c r="O120" s="989">
        <f>M120-K120</f>
        <v/>
      </c>
      <c r="P120" s="990" t="inlineStr">
        <is>
          <t>always include</t>
        </is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IF(NOT(ISBLANK(C121)), ROUNDUP(F116/1000,0), 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>
        <f>IF(ISNA(D125),0,(VLOOKUP(D125,'Base Costs'!$Q$4:$R$13,2,FALSE)))</f>
        <v/>
      </c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68">
        <f>N131-N138</f>
        <v/>
      </c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733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731" t="inlineStr">
        <is>
          <t>SPECIAL WORKS</t>
        </is>
      </c>
      <c r="C135" s="752" t="inlineStr">
        <is>
          <t>SELECT WORKS</t>
        </is>
      </c>
      <c r="D135" s="735" t="n"/>
      <c r="E135" s="753">
        <f>IF(C135="","",VLOOKUP(C135,CCBASE!$A$53:$D$73,4,FALSE))</f>
        <v/>
      </c>
      <c r="F135" s="754" t="n"/>
      <c r="G135" s="749" t="n"/>
      <c r="H135" s="750" t="n"/>
      <c r="I135" s="755" t="n"/>
      <c r="J135" s="736">
        <f>IF(C135="",0,VLOOKUP(C135,CCBASE!$A$53:$C$73,2,FALSE))</f>
        <v/>
      </c>
      <c r="K135" s="737">
        <f>J135*D135</f>
        <v/>
      </c>
      <c r="L135" s="738" t="n">
        <v>0.44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584" t="inlineStr">
        <is>
          <t>SPECIAL WORKS</t>
        </is>
      </c>
      <c r="C136" s="33" t="inlineStr">
        <is>
          <t>SELECT WORKS</t>
        </is>
      </c>
      <c r="D136" s="735" t="n"/>
      <c r="E136" s="753">
        <f>IF(C136="","",VLOOKUP(C136,CCBASE!$A$53:$D$73,4,FALSE))</f>
        <v/>
      </c>
      <c r="F136" s="754" t="n"/>
      <c r="G136" s="749" t="n"/>
      <c r="H136" s="750" t="n"/>
      <c r="I136" s="755" t="n"/>
      <c r="J136" s="736">
        <f>IF(C136="",0,VLOOKUP(C136,CCBASE!$A$53:$C$73,2,FALSE))</f>
        <v/>
      </c>
      <c r="K136" s="737">
        <f>J136*D136</f>
        <v/>
      </c>
      <c r="L136" s="738" t="n">
        <v>0.44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991" t="inlineStr">
        <is>
          <t>SPECIAL WORKS</t>
        </is>
      </c>
      <c r="C137" s="992" t="inlineStr">
        <is>
          <t>BIM/ REVIT per CANOPY</t>
        </is>
      </c>
      <c r="D137" s="980" t="n"/>
      <c r="E137" s="981">
        <f>IF(C137="","",VLOOKUP(C137,CCBASE!$A$53:$D$73,4,FALSE))</f>
        <v/>
      </c>
      <c r="F137" s="982" t="n"/>
      <c r="G137" s="977" t="n"/>
      <c r="H137" s="983" t="n"/>
      <c r="I137" s="984" t="n"/>
      <c r="J137" s="985">
        <f>IF(C137="",0,VLOOKUP(C137,CCBASE!$A$53:$C$73,2,FALSE))</f>
        <v/>
      </c>
      <c r="K137" s="986">
        <f>J137*D137</f>
        <v/>
      </c>
      <c r="L137" s="987" t="n">
        <v>0.44</v>
      </c>
      <c r="M137" s="988">
        <f>K137/(1-L137)*(1+$C$9)</f>
        <v/>
      </c>
      <c r="N137" s="986">
        <f>M137*VLOOKUP($B$9,'Base Costs'!$A$32:$B$37,2,FALSE)</f>
        <v/>
      </c>
      <c r="O137" s="989">
        <f>M137-K137</f>
        <v/>
      </c>
      <c r="P137" s="990" t="inlineStr">
        <is>
          <t>always include</t>
        </is>
      </c>
      <c r="S137" s="694" t="n"/>
      <c r="Y137" s="1095" t="n"/>
    </row>
    <row r="138" hidden="1" outlineLevel="1" ht="15" customHeight="1" s="1085">
      <c r="A138" s="666" t="n">
        <v>289</v>
      </c>
      <c r="B138" s="584" t="inlineStr">
        <is>
          <t>WALL CLADDING</t>
        </is>
      </c>
      <c r="C138" s="33" t="inlineStr">
        <is>
          <t>SELECT CLADDING</t>
        </is>
      </c>
      <c r="D138" s="756">
        <f>IF(NOT(ISBLANK(C138)), ROUNDUP(F133/1000,0), 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584" t="inlineStr">
        <is>
          <t>INFILL PANEL</t>
        </is>
      </c>
      <c r="C139" s="752" t="n"/>
      <c r="D139" s="742" t="inlineStr">
        <is>
          <t>m²</t>
        </is>
      </c>
      <c r="E139" s="749" t="n"/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>
        <f>IF(ISNA(D142),0,(VLOOKUP(D142,'Base Costs'!$Q$4:$R$13,2,FALSE)))</f>
        <v/>
      </c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IF(ISNUMBER(SEARCH("UV",D150)),49.7,71.75)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68">
        <f>N148-N155</f>
        <v/>
      </c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731" t="inlineStr">
        <is>
          <t>SPECIAL WORKS</t>
        </is>
      </c>
      <c r="C152" s="752" t="inlineStr">
        <is>
          <t>SELECT WORKS</t>
        </is>
      </c>
      <c r="D152" s="735" t="n"/>
      <c r="E152" s="753">
        <f>IF(C152="","",VLOOKUP(C152,CCBASE!$A$53:$D$73,4,FALSE))</f>
        <v/>
      </c>
      <c r="F152" s="754" t="n"/>
      <c r="G152" s="749" t="n"/>
      <c r="H152" s="750" t="n"/>
      <c r="I152" s="755" t="n"/>
      <c r="J152" s="736">
        <f>IF(C152="",0,VLOOKUP(C152,CCBASE!$A$53:$C$73,2,FALSE))</f>
        <v/>
      </c>
      <c r="K152" s="737">
        <f>J152*D152</f>
        <v/>
      </c>
      <c r="L152" s="738" t="n">
        <v>0.44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584" t="inlineStr">
        <is>
          <t>SPECIAL WORKS</t>
        </is>
      </c>
      <c r="C153" s="33" t="inlineStr">
        <is>
          <t>SELECT WORKS</t>
        </is>
      </c>
      <c r="D153" s="735" t="n"/>
      <c r="E153" s="753">
        <f>IF(C153="","",VLOOKUP(C153,CCBASE!$A$53:$D$73,4,FALSE))</f>
        <v/>
      </c>
      <c r="F153" s="754" t="n"/>
      <c r="G153" s="749" t="n"/>
      <c r="H153" s="750" t="n"/>
      <c r="I153" s="755" t="n"/>
      <c r="J153" s="736">
        <f>IF(C153="",0,VLOOKUP(C153,CCBASE!$A$53:$C$73,2,FALSE))</f>
        <v/>
      </c>
      <c r="K153" s="737">
        <f>J153*D153</f>
        <v/>
      </c>
      <c r="L153" s="738" t="n">
        <v>0.44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991" t="inlineStr">
        <is>
          <t>SPECIAL WORKS</t>
        </is>
      </c>
      <c r="C154" s="992" t="inlineStr">
        <is>
          <t>BIM/ REVIT per CANOPY</t>
        </is>
      </c>
      <c r="D154" s="980" t="n"/>
      <c r="E154" s="981">
        <f>IF(C154="","",VLOOKUP(C154,CCBASE!$A$53:$D$73,4,FALSE))</f>
        <v/>
      </c>
      <c r="F154" s="982" t="n"/>
      <c r="G154" s="977" t="n"/>
      <c r="H154" s="983" t="n"/>
      <c r="I154" s="984" t="n"/>
      <c r="J154" s="985">
        <f>IF(C154="",0,VLOOKUP(C154,CCBASE!$A$53:$C$73,2,FALSE))</f>
        <v/>
      </c>
      <c r="K154" s="986">
        <f>J154*D154</f>
        <v/>
      </c>
      <c r="L154" s="987" t="n">
        <v>0.44</v>
      </c>
      <c r="M154" s="988">
        <f>K154/(1-L154)*(1+$C$9)</f>
        <v/>
      </c>
      <c r="N154" s="986">
        <f>M154*VLOOKUP($B$9,'Base Costs'!$A$32:$B$37,2,FALSE)</f>
        <v/>
      </c>
      <c r="O154" s="989">
        <f>M154-K154</f>
        <v/>
      </c>
      <c r="P154" s="990" t="inlineStr">
        <is>
          <t>always include</t>
        </is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IF(NOT(ISBLANK(C155)), ROUNDUP(F150/1000,0), 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>
        <f>IF(ISNA(D159),0,(VLOOKUP(D159,'Base Costs'!$Q$4:$R$13,2,FALSE)))</f>
        <v/>
      </c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IF(ISNUMBER(SEARCH("UV",D167)),49.7,71.75)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68">
        <f>N165-N172</f>
        <v/>
      </c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731" t="inlineStr">
        <is>
          <t>SPECIAL WORKS</t>
        </is>
      </c>
      <c r="C169" s="752" t="inlineStr">
        <is>
          <t>SELECT WORKS</t>
        </is>
      </c>
      <c r="D169" s="735" t="n"/>
      <c r="E169" s="753">
        <f>IF(C169="","",VLOOKUP(C169,CCBASE!$A$53:$D$73,4,FALSE))</f>
        <v/>
      </c>
      <c r="F169" s="754" t="n"/>
      <c r="G169" s="749" t="n"/>
      <c r="H169" s="750" t="n"/>
      <c r="I169" s="755" t="n"/>
      <c r="J169" s="736">
        <f>IF(C169="",0,VLOOKUP(C169,CCBASE!$A$53:$C$73,2,FALSE))</f>
        <v/>
      </c>
      <c r="K169" s="737">
        <f>J169*D169</f>
        <v/>
      </c>
      <c r="L169" s="738" t="n">
        <v>0.44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584" t="inlineStr">
        <is>
          <t>SPECIAL WORKS</t>
        </is>
      </c>
      <c r="C170" s="33" t="inlineStr">
        <is>
          <t>SELECT WORKS</t>
        </is>
      </c>
      <c r="D170" s="735" t="n"/>
      <c r="E170" s="753">
        <f>IF(C170="","",VLOOKUP(C170,CCBASE!$A$53:$D$73,4,FALSE))</f>
        <v/>
      </c>
      <c r="F170" s="754" t="n"/>
      <c r="G170" s="749" t="n"/>
      <c r="H170" s="750" t="n"/>
      <c r="I170" s="755" t="n"/>
      <c r="J170" s="736">
        <f>IF(C170="",0,VLOOKUP(C170,CCBASE!$A$53:$C$73,2,FALSE))</f>
        <v/>
      </c>
      <c r="K170" s="737">
        <f>J170*D170</f>
        <v/>
      </c>
      <c r="L170" s="738" t="n">
        <v>0.44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991" t="inlineStr">
        <is>
          <t>SPECIAL WORKS</t>
        </is>
      </c>
      <c r="C171" s="992" t="inlineStr">
        <is>
          <t>BIM/ REVIT per CANOPY</t>
        </is>
      </c>
      <c r="D171" s="980" t="n"/>
      <c r="E171" s="981">
        <f>IF(C171="","",VLOOKUP(C171,CCBASE!$A$53:$D$73,4,FALSE))</f>
        <v/>
      </c>
      <c r="F171" s="982" t="n"/>
      <c r="G171" s="977" t="n"/>
      <c r="H171" s="983" t="n"/>
      <c r="I171" s="984" t="n"/>
      <c r="J171" s="985">
        <f>IF(C171="",0,VLOOKUP(C171,CCBASE!$A$53:$C$73,2,FALSE))</f>
        <v/>
      </c>
      <c r="K171" s="986">
        <f>J171*D171</f>
        <v/>
      </c>
      <c r="L171" s="987" t="n">
        <v>0.44</v>
      </c>
      <c r="M171" s="988">
        <f>K171/(1-L171)*(1+$C$9)</f>
        <v/>
      </c>
      <c r="N171" s="986">
        <f>M171*VLOOKUP($B$9,'Base Costs'!$A$32:$B$37,2,FALSE)</f>
        <v/>
      </c>
      <c r="O171" s="989">
        <f>M171-K171</f>
        <v/>
      </c>
      <c r="P171" s="990" t="inlineStr">
        <is>
          <t>always include</t>
        </is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IF(NOT(ISBLANK(C172)), ROUNDUP(F167/1000,0), 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>
        <f>IF(ISNA(D176),0,(VLOOKUP(D176,'Base Costs'!$Q$4:$R$13,2,FALSE)))</f>
        <v/>
      </c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10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P182" s="1068">
        <f>N182-N193</f>
        <v/>
      </c>
      <c r="S182" s="694" t="n"/>
    </row>
    <row r="183" ht="15" customHeight="1" s="1085">
      <c r="A183" s="666" t="n">
        <v>222</v>
      </c>
      <c r="B183" s="589" t="inlineStr">
        <is>
          <t>DELIVERY 1 x 7.5T TAIL LIFT 3200KGS</t>
        </is>
      </c>
      <c r="C183" s="774" t="n"/>
      <c r="D183" s="775" t="inlineStr">
        <is>
          <t>SELECT LOCATION…</t>
        </is>
      </c>
      <c r="E183" s="1111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Q183" s="745" t="n"/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/>
      <c r="D184" s="775" t="inlineStr">
        <is>
          <t>PLANT SELECTION (weekly)</t>
        </is>
      </c>
      <c r="E184" s="1108" t="inlineStr">
        <is>
          <t>Install of 6no Pieces of Canopy Max</t>
        </is>
      </c>
      <c r="G184" s="748" t="n"/>
      <c r="H184" s="748" t="n"/>
      <c r="I184" s="748" t="n"/>
      <c r="J184" s="776">
        <f>VLOOKUP(D184,'Base Costs'!$A$3:$B$15,2,FALSE)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269" t="inlineStr">
        <is>
          <t xml:space="preserve">PLANT HIRE </t>
        </is>
      </c>
      <c r="C185" s="777" t="n"/>
      <c r="D185" s="775" t="inlineStr">
        <is>
          <t>PLANT SELECTION (weekly)</t>
        </is>
      </c>
      <c r="E185" s="1108" t="inlineStr">
        <is>
          <t>Install of 6no Pieces of Canopy Max</t>
        </is>
      </c>
      <c r="G185" s="748" t="n"/>
      <c r="H185" s="748" t="n"/>
      <c r="I185" s="748" t="n"/>
      <c r="J185" s="776">
        <f>VLOOKUP(D185,'Base Costs'!$A$3:$B$15,2,FALSE)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S185" s="694" t="n"/>
    </row>
    <row r="186" ht="15" customHeight="1" s="1085">
      <c r="A186" s="666" t="n">
        <v>222</v>
      </c>
      <c r="B186" s="270" t="n"/>
      <c r="C186" s="946" t="n"/>
      <c r="D186" s="775" t="inlineStr">
        <is>
          <t>SELECT LOCATION…</t>
        </is>
      </c>
      <c r="E186" s="1109" t="n"/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610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>
        <f>ROUNDUP((IF(C14="WALL",(F14/1000),(F14/1000)*2)+IF(C31="WALL",(F31/1000),(F31/1000)*2)+IF(C48="WALL",(F48/1000),(F48/1000)*2)+IF(C65="WALL",(F65/1000),(F65/1000)*2)+IF(C82="WALL",(F82/1000),(F82/1000)*2)+IF(C99="WALL",(F99/1000),(F99/1000)*2)+IF(C116="WALL",(F116/1000),(F116/1000)*2)+IF(C133="WALL",(F133/1000),(F133/1000)*2)+IF(C150="WALL",(F150/1000),(F150/1000)*2)+IF(C167="WALL",(F167/1000),(F167/1000)*2)),0)</f>
        <v/>
      </c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731" t="inlineStr">
        <is>
          <t>INSTALLATION NORMAL HOURS</t>
        </is>
      </c>
      <c r="C189" s="777" t="n"/>
      <c r="D189" s="1102" t="inlineStr">
        <is>
          <t>2 Pieces = 1 Day, 4 Pieces = 1.5 Days, 6 Pieces = 2 Days, 8 Pieces = 2.5 Days (1 Section up to 3m long equals 2 Pieces) + logistics</t>
        </is>
      </c>
      <c r="J189" s="776" t="n">
        <v>610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S189" s="694" t="n"/>
    </row>
    <row r="190" ht="15" customHeight="1" s="1085">
      <c r="A190" s="666" t="n">
        <v>400</v>
      </c>
      <c r="B190" s="731" t="inlineStr">
        <is>
          <t>INSTALLATION AFTER HOURS</t>
        </is>
      </c>
      <c r="C190" s="777" t="n"/>
      <c r="D190" s="1102" t="inlineStr">
        <is>
          <t>2 Pieces = 1 Day, 4 Pieces = 1.5 Days, 6 Pieces = 2 Days, 8 Pieces = 2.5 Days (1 Section up to 3m long equals 2 Pieces) + logistics</t>
        </is>
      </c>
      <c r="J190" s="776" t="n">
        <v>1220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610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220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15" t="inlineStr">
        <is>
          <t>ONE Engineer,  1 day per 4no UV or W/W Sections of Canopy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9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09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20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2">
    <mergeCell ref="B203:O203"/>
    <mergeCell ref="H91:I91"/>
    <mergeCell ref="D189:I189"/>
    <mergeCell ref="E121:F121"/>
    <mergeCell ref="H38:I38"/>
    <mergeCell ref="H125:I125"/>
    <mergeCell ref="B200:O200"/>
    <mergeCell ref="G186:I186"/>
    <mergeCell ref="D194:F194"/>
    <mergeCell ref="C5:D5"/>
    <mergeCell ref="H141:I141"/>
    <mergeCell ref="E185:F185"/>
    <mergeCell ref="D197:F197"/>
    <mergeCell ref="B182:G182"/>
    <mergeCell ref="B202:O202"/>
    <mergeCell ref="H55:I55"/>
    <mergeCell ref="H40:I40"/>
    <mergeCell ref="H74:I74"/>
    <mergeCell ref="H176:I176"/>
    <mergeCell ref="H56:I56"/>
    <mergeCell ref="P7:R7"/>
    <mergeCell ref="E35:F35"/>
    <mergeCell ref="H39:I39"/>
    <mergeCell ref="E87:F87"/>
    <mergeCell ref="G9:J9"/>
    <mergeCell ref="H21:I21"/>
    <mergeCell ref="H73:I73"/>
    <mergeCell ref="H157:I157"/>
    <mergeCell ref="D195:E195"/>
    <mergeCell ref="D193:F193"/>
    <mergeCell ref="E138:F138"/>
    <mergeCell ref="E19:F19"/>
    <mergeCell ref="H142:I142"/>
    <mergeCell ref="E155:F155"/>
    <mergeCell ref="H89:I89"/>
    <mergeCell ref="H123:I123"/>
    <mergeCell ref="G5:J5"/>
    <mergeCell ref="B1:C1"/>
    <mergeCell ref="E9:F9"/>
    <mergeCell ref="H108:I108"/>
    <mergeCell ref="H106:I106"/>
    <mergeCell ref="E186:F186"/>
    <mergeCell ref="G183:I183"/>
    <mergeCell ref="E104:F104"/>
    <mergeCell ref="H72:I72"/>
    <mergeCell ref="H174:I174"/>
    <mergeCell ref="H90:I90"/>
    <mergeCell ref="B205:O205"/>
    <mergeCell ref="H57:I57"/>
    <mergeCell ref="G7:J7"/>
    <mergeCell ref="H159:I159"/>
    <mergeCell ref="E36:F36"/>
    <mergeCell ref="H22:I22"/>
    <mergeCell ref="E70:F70"/>
    <mergeCell ref="H140:I140"/>
    <mergeCell ref="H158:I158"/>
    <mergeCell ref="D196:E196"/>
    <mergeCell ref="E172:F172"/>
    <mergeCell ref="C7:D7"/>
    <mergeCell ref="D190:I190"/>
    <mergeCell ref="G3:J3"/>
    <mergeCell ref="E183:F183"/>
    <mergeCell ref="H124:I124"/>
    <mergeCell ref="B201:O201"/>
    <mergeCell ref="E184:F184"/>
    <mergeCell ref="H107:I107"/>
    <mergeCell ref="E53:F53"/>
    <mergeCell ref="B204:O204"/>
    <mergeCell ref="H23:I23"/>
    <mergeCell ref="C3:D3"/>
    <mergeCell ref="P5:T5"/>
    <mergeCell ref="H175:I175"/>
  </mergeCells>
  <conditionalFormatting sqref="B9">
    <cfRule type="containsText" priority="663" operator="containsText" dxfId="680" text="SELECT">
      <formula>NOT(ISERROR(SEARCH("SELECT",B9)))</formula>
    </cfRule>
    <cfRule type="expression" priority="664" dxfId="680">
      <formula>B9="CURRENCY"</formula>
    </cfRule>
  </conditionalFormatting>
  <conditionalFormatting sqref="B11">
    <cfRule type="expression" priority="626" dxfId="637">
      <formula>$B11&lt;&gt;""</formula>
    </cfRule>
  </conditionalFormatting>
  <conditionalFormatting sqref="B14:B23">
    <cfRule type="expression" priority="618" dxfId="633">
      <formula>$J14&gt;0</formula>
    </cfRule>
  </conditionalFormatting>
  <conditionalFormatting sqref="B24">
    <cfRule type="expression" priority="615" dxfId="633">
      <formula>ISNUMBER(SEARCH("UV",$D14))</formula>
    </cfRule>
    <cfRule type="expression" priority="616" dxfId="358">
      <formula>($D14="CANOPY TYPE")</formula>
    </cfRule>
  </conditionalFormatting>
  <conditionalFormatting sqref="B25:B27">
    <cfRule type="expression" priority="443" dxfId="633">
      <formula>$J25&gt;0</formula>
    </cfRule>
  </conditionalFormatting>
  <conditionalFormatting sqref="B28">
    <cfRule type="expression" priority="624" dxfId="637">
      <formula>$B28&lt;&gt;""</formula>
    </cfRule>
  </conditionalFormatting>
  <conditionalFormatting sqref="B31:B40">
    <cfRule type="expression" priority="388" dxfId="633">
      <formula>$J31&gt;0</formula>
    </cfRule>
  </conditionalFormatting>
  <conditionalFormatting sqref="B41">
    <cfRule type="expression" priority="583" dxfId="633">
      <formula>ISNUMBER(SEARCH("UV",$D31))</formula>
    </cfRule>
    <cfRule type="expression" priority="584" dxfId="358">
      <formula>($D31="CANOPY TYPE")</formula>
    </cfRule>
  </conditionalFormatting>
  <conditionalFormatting sqref="B42:B44">
    <cfRule type="expression" priority="585" dxfId="633">
      <formula>$J42&gt;0</formula>
    </cfRule>
  </conditionalFormatting>
  <conditionalFormatting sqref="B45">
    <cfRule type="expression" priority="623" dxfId="637">
      <formula>$B45&lt;&gt;""</formula>
    </cfRule>
  </conditionalFormatting>
  <conditionalFormatting sqref="B48:B57">
    <cfRule type="expression" priority="103" dxfId="633">
      <formula>$J48&gt;0</formula>
    </cfRule>
  </conditionalFormatting>
  <conditionalFormatting sqref="B58">
    <cfRule type="expression" priority="557" dxfId="358">
      <formula>($D48="CANOPY TYPE")</formula>
    </cfRule>
    <cfRule type="expression" priority="556" dxfId="633">
      <formula>ISNUMBER(SEARCH("UV",$D48))</formula>
    </cfRule>
  </conditionalFormatting>
  <conditionalFormatting sqref="B59:B61">
    <cfRule type="expression" priority="442" dxfId="633">
      <formula>$J59&gt;0</formula>
    </cfRule>
  </conditionalFormatting>
  <conditionalFormatting sqref="B62">
    <cfRule type="expression" priority="622" dxfId="637">
      <formula>$B62&lt;&gt;""</formula>
    </cfRule>
  </conditionalFormatting>
  <conditionalFormatting sqref="B65:B74">
    <cfRule type="expression" priority="89" dxfId="633">
      <formula>$J65&gt;0</formula>
    </cfRule>
  </conditionalFormatting>
  <conditionalFormatting sqref="B75">
    <cfRule type="expression" priority="528" dxfId="633">
      <formula>ISNUMBER(SEARCH("UV",$D65))</formula>
    </cfRule>
    <cfRule type="expression" priority="529" dxfId="358">
      <formula>($D65="CANOPY TYPE")</formula>
    </cfRule>
  </conditionalFormatting>
  <conditionalFormatting sqref="B76:B78">
    <cfRule type="expression" priority="441" dxfId="633">
      <formula>$J76&gt;0</formula>
    </cfRule>
  </conditionalFormatting>
  <conditionalFormatting sqref="B79">
    <cfRule type="expression" priority="621" dxfId="637">
      <formula>$B79&lt;&gt;""</formula>
    </cfRule>
  </conditionalFormatting>
  <conditionalFormatting sqref="B82:B91">
    <cfRule type="expression" priority="75" dxfId="633">
      <formula>$J82&gt;0</formula>
    </cfRule>
  </conditionalFormatting>
  <conditionalFormatting sqref="B92">
    <cfRule type="expression" priority="499" dxfId="633">
      <formula>ISNUMBER(SEARCH("UV",$D82))</formula>
    </cfRule>
    <cfRule type="expression" priority="500" dxfId="358">
      <formula>($D82="CANOPY TYPE")</formula>
    </cfRule>
  </conditionalFormatting>
  <conditionalFormatting sqref="B93:B95">
    <cfRule type="expression" priority="440" dxfId="633">
      <formula>$J93&gt;0</formula>
    </cfRule>
  </conditionalFormatting>
  <conditionalFormatting sqref="B96">
    <cfRule type="expression" priority="620" dxfId="637">
      <formula>$B96&lt;&gt;""</formula>
    </cfRule>
  </conditionalFormatting>
  <conditionalFormatting sqref="B99:B108">
    <cfRule type="expression" priority="61" dxfId="633">
      <formula>$J99&gt;0</formula>
    </cfRule>
  </conditionalFormatting>
  <conditionalFormatting sqref="B109">
    <cfRule type="expression" priority="472" dxfId="358">
      <formula>($D99="CANOPY TYPE")</formula>
    </cfRule>
    <cfRule type="expression" priority="471" dxfId="633">
      <formula>ISNUMBER(SEARCH("UV",$D99))</formula>
    </cfRule>
  </conditionalFormatting>
  <conditionalFormatting sqref="B110:B112 B127:B129 B144:B146 B161:B163 B178:B180">
    <cfRule type="expression" priority="439" dxfId="633">
      <formula>$J110&gt;0</formula>
    </cfRule>
  </conditionalFormatting>
  <conditionalFormatting sqref="B113">
    <cfRule type="expression" priority="320" dxfId="637">
      <formula>$B113&lt;&gt;""</formula>
    </cfRule>
  </conditionalFormatting>
  <conditionalFormatting sqref="B116:B125">
    <cfRule type="expression" priority="47" dxfId="633">
      <formula>$J116&gt;0</formula>
    </cfRule>
  </conditionalFormatting>
  <conditionalFormatting sqref="B126">
    <cfRule type="expression" priority="295" dxfId="633">
      <formula>ISNUMBER(SEARCH("UV",$D116))</formula>
    </cfRule>
    <cfRule type="expression" priority="296" dxfId="358">
      <formula>($D116="CANOPY TYPE")</formula>
    </cfRule>
  </conditionalFormatting>
  <conditionalFormatting sqref="B130">
    <cfRule type="expression" priority="265" dxfId="637">
      <formula>$B130&lt;&gt;""</formula>
    </cfRule>
  </conditionalFormatting>
  <conditionalFormatting sqref="B133:B142">
    <cfRule type="expression" priority="33" dxfId="633">
      <formula>$J133&gt;0</formula>
    </cfRule>
  </conditionalFormatting>
  <conditionalFormatting sqref="B143">
    <cfRule type="expression" priority="241" dxfId="358">
      <formula>($D133="CANOPY TYPE")</formula>
    </cfRule>
    <cfRule type="expression" priority="240" dxfId="633">
      <formula>ISNUMBER(SEARCH("UV",$D133))</formula>
    </cfRule>
  </conditionalFormatting>
  <conditionalFormatting sqref="B147">
    <cfRule type="expression" priority="214" dxfId="637">
      <formula>$B147&lt;&gt;""</formula>
    </cfRule>
  </conditionalFormatting>
  <conditionalFormatting sqref="B150:B159">
    <cfRule type="expression" priority="19" dxfId="633">
      <formula>$J150&gt;0</formula>
    </cfRule>
  </conditionalFormatting>
  <conditionalFormatting sqref="B160">
    <cfRule type="expression" priority="190" dxfId="358">
      <formula>($D150="CANOPY TYPE")</formula>
    </cfRule>
    <cfRule type="expression" priority="189" dxfId="633">
      <formula>ISNUMBER(SEARCH("UV",$D150))</formula>
    </cfRule>
  </conditionalFormatting>
  <conditionalFormatting sqref="B164">
    <cfRule type="expression" priority="163" dxfId="637">
      <formula>$B164&lt;&gt;""</formula>
    </cfRule>
  </conditionalFormatting>
  <conditionalFormatting sqref="B167:B176">
    <cfRule type="expression" priority="5" dxfId="633">
      <formula>$J167&gt;0</formula>
    </cfRule>
  </conditionalFormatting>
  <conditionalFormatting sqref="B177">
    <cfRule type="expression" priority="138" dxfId="633">
      <formula>ISNUMBER(SEARCH("UV",$D167))</formula>
    </cfRule>
    <cfRule type="expression" priority="139" dxfId="358">
      <formula>($D167="CANOPY TYPE")</formula>
    </cfRule>
  </conditionalFormatting>
  <conditionalFormatting sqref="B183:B197">
    <cfRule type="expression" priority="617" dxfId="633">
      <formula>$C183&gt;0</formula>
    </cfRule>
  </conditionalFormatting>
  <conditionalFormatting sqref="C14">
    <cfRule type="containsText" priority="429" operator="containsText" dxfId="204" text="CONFIG">
      <formula>NOT(ISERROR(SEARCH("CONFIG",C14)))</formula>
    </cfRule>
  </conditionalFormatting>
  <conditionalFormatting sqref="C15">
    <cfRule type="containsText" priority="434" operator="containsText" dxfId="561" text="LIGHT SELECTION">
      <formula>NOT(ISERROR(SEARCH("LIGHT SELECTION",C15)))</formula>
    </cfRule>
  </conditionalFormatting>
  <conditionalFormatting sqref="C20:C21">
    <cfRule type="cellIs" priority="669" operator="lessThan" dxfId="561">
      <formula>1</formula>
    </cfRule>
  </conditionalFormatting>
  <conditionalFormatting sqref="C22:C23">
    <cfRule type="expression" priority="409" dxfId="383">
      <formula>D22="WW PODS"</formula>
    </cfRule>
  </conditionalFormatting>
  <conditionalFormatting sqref="C24">
    <cfRule type="expression" priority="686" dxfId="559">
      <formula>ISNUMBER(SEARCH("UV",D14))</formula>
    </cfRule>
  </conditionalFormatting>
  <conditionalFormatting sqref="C25">
    <cfRule type="expression" priority="651" dxfId="472">
      <formula>(ISNUMBER(SEARCH("CMW",D14)))=TRUE</formula>
    </cfRule>
  </conditionalFormatting>
  <conditionalFormatting sqref="C26">
    <cfRule type="expression" priority="650" dxfId="472">
      <formula>(ISNUMBER(SEARCH("CMW",D14)))=TRUE</formula>
    </cfRule>
  </conditionalFormatting>
  <conditionalFormatting sqref="C27">
    <cfRule type="expression" priority="619" dxfId="472">
      <formula>(ISNUMBER(SEARCH("CMW",$D14)))=TRUE</formula>
    </cfRule>
  </conditionalFormatting>
  <conditionalFormatting sqref="C31">
    <cfRule type="containsText" priority="594" operator="containsText" dxfId="204" text="CONFIG">
      <formula>NOT(ISERROR(SEARCH("CONFIG",C31)))</formula>
    </cfRule>
  </conditionalFormatting>
  <conditionalFormatting sqref="C32">
    <cfRule type="containsText" priority="436" operator="containsText" dxfId="561" text="LIGHT SELECTION">
      <formula>NOT(ISERROR(SEARCH("LIGHT SELECTION",C32)))</formula>
    </cfRule>
  </conditionalFormatting>
  <conditionalFormatting sqref="C37:C38">
    <cfRule type="cellIs" priority="593" operator="lessThan" dxfId="561">
      <formula>1</formula>
    </cfRule>
  </conditionalFormatting>
  <conditionalFormatting sqref="C39:C40">
    <cfRule type="expression" priority="387" dxfId="383">
      <formula>D39="WW PODS"</formula>
    </cfRule>
  </conditionalFormatting>
  <conditionalFormatting sqref="C41">
    <cfRule type="expression" priority="608" dxfId="559">
      <formula>ISNUMBER(SEARCH("UV",D31))</formula>
    </cfRule>
  </conditionalFormatting>
  <conditionalFormatting sqref="C42">
    <cfRule type="expression" priority="591" dxfId="472">
      <formula>(ISNUMBER(SEARCH("CMW",D31)))=TRUE</formula>
    </cfRule>
  </conditionalFormatting>
  <conditionalFormatting sqref="C43">
    <cfRule type="expression" priority="468" dxfId="472">
      <formula>(ISNUMBER(SEARCH("CMW",D31)))=TRUE</formula>
    </cfRule>
  </conditionalFormatting>
  <conditionalFormatting sqref="C44">
    <cfRule type="expression" priority="586" dxfId="472">
      <formula>(ISNUMBER(SEARCH("CMW",$D31)))=TRUE</formula>
    </cfRule>
  </conditionalFormatting>
  <conditionalFormatting sqref="C48">
    <cfRule type="containsText" priority="563" operator="containsText" dxfId="204" text="CONFIG">
      <formula>NOT(ISERROR(SEARCH("CONFIG",C48)))</formula>
    </cfRule>
  </conditionalFormatting>
  <conditionalFormatting sqref="C49">
    <cfRule type="containsText" priority="433" operator="containsText" dxfId="561" text="LIGHT SELECTION">
      <formula>NOT(ISERROR(SEARCH("LIGHT SELECTION",C49)))</formula>
    </cfRule>
  </conditionalFormatting>
  <conditionalFormatting sqref="C54:C55">
    <cfRule type="cellIs" priority="562" operator="lessThan" dxfId="561">
      <formula>1</formula>
    </cfRule>
  </conditionalFormatting>
  <conditionalFormatting sqref="C56:C57">
    <cfRule type="expression" priority="368" dxfId="383">
      <formula>D56="WW PODS"</formula>
    </cfRule>
  </conditionalFormatting>
  <conditionalFormatting sqref="C58">
    <cfRule type="expression" priority="576" dxfId="559">
      <formula>ISNUMBER(SEARCH("UV",D48))</formula>
    </cfRule>
  </conditionalFormatting>
  <conditionalFormatting sqref="C59">
    <cfRule type="expression" priority="560" dxfId="472">
      <formula>(ISNUMBER(SEARCH("CMW",D48)))=TRUE</formula>
    </cfRule>
  </conditionalFormatting>
  <conditionalFormatting sqref="C60">
    <cfRule type="expression" priority="467" dxfId="472">
      <formula>(ISNUMBER(SEARCH("CMW",D48)))=TRUE</formula>
    </cfRule>
  </conditionalFormatting>
  <conditionalFormatting sqref="C61">
    <cfRule type="expression" priority="558" dxfId="472">
      <formula>(ISNUMBER(SEARCH("CMW",$D48)))=TRUE</formula>
    </cfRule>
  </conditionalFormatting>
  <conditionalFormatting sqref="C65">
    <cfRule type="containsText" priority="536" operator="containsText" dxfId="204" text="CONFIG">
      <formula>NOT(ISERROR(SEARCH("CONFIG",C65)))</formula>
    </cfRule>
  </conditionalFormatting>
  <conditionalFormatting sqref="C66">
    <cfRule type="containsText" priority="432" operator="containsText" dxfId="561" text="LIGHT SELECTION">
      <formula>NOT(ISERROR(SEARCH("LIGHT SELECTION",C66)))</formula>
    </cfRule>
  </conditionalFormatting>
  <conditionalFormatting sqref="C71:C72">
    <cfRule type="cellIs" priority="535" operator="lessThan" dxfId="561">
      <formula>1</formula>
    </cfRule>
  </conditionalFormatting>
  <conditionalFormatting sqref="C73:C74">
    <cfRule type="expression" priority="353" dxfId="383">
      <formula>D73="WW PODS"</formula>
    </cfRule>
  </conditionalFormatting>
  <conditionalFormatting sqref="C75">
    <cfRule type="expression" priority="549" dxfId="559">
      <formula>ISNUMBER(SEARCH("UV",D65))</formula>
    </cfRule>
  </conditionalFormatting>
  <conditionalFormatting sqref="C76">
    <cfRule type="expression" priority="532" dxfId="472">
      <formula>(ISNUMBER(SEARCH("CMW",D65)))=TRUE</formula>
    </cfRule>
  </conditionalFormatting>
  <conditionalFormatting sqref="C77">
    <cfRule type="expression" priority="466" dxfId="472">
      <formula>(ISNUMBER(SEARCH("CMW",D65)))=TRUE</formula>
    </cfRule>
  </conditionalFormatting>
  <conditionalFormatting sqref="C78">
    <cfRule type="expression" priority="530" dxfId="472">
      <formula>(ISNUMBER(SEARCH("CMW",$D65)))=TRUE</formula>
    </cfRule>
  </conditionalFormatting>
  <conditionalFormatting sqref="C82">
    <cfRule type="containsText" priority="507" operator="containsText" dxfId="204" text="CONFIG">
      <formula>NOT(ISERROR(SEARCH("CONFIG",C82)))</formula>
    </cfRule>
  </conditionalFormatting>
  <conditionalFormatting sqref="C83">
    <cfRule type="containsText" priority="431" operator="containsText" dxfId="561" text="LIGHT SELECTION">
      <formula>NOT(ISERROR(SEARCH("LIGHT SELECTION",C83)))</formula>
    </cfRule>
  </conditionalFormatting>
  <conditionalFormatting sqref="C88:C89">
    <cfRule type="cellIs" priority="506" operator="lessThan" dxfId="561">
      <formula>1</formula>
    </cfRule>
  </conditionalFormatting>
  <conditionalFormatting sqref="C90:C91">
    <cfRule type="expression" priority="338" dxfId="383">
      <formula>D90="WW PODS"</formula>
    </cfRule>
  </conditionalFormatting>
  <conditionalFormatting sqref="C92">
    <cfRule type="expression" priority="521" dxfId="559">
      <formula>ISNUMBER(SEARCH("UV",D82))</formula>
    </cfRule>
  </conditionalFormatting>
  <conditionalFormatting sqref="C93">
    <cfRule type="expression" priority="503" dxfId="472">
      <formula>(ISNUMBER(SEARCH("CMW",D82)))=TRUE</formula>
    </cfRule>
  </conditionalFormatting>
  <conditionalFormatting sqref="C94">
    <cfRule type="expression" priority="465" dxfId="472">
      <formula>(ISNUMBER(SEARCH("CMW",D82)))=TRUE</formula>
    </cfRule>
  </conditionalFormatting>
  <conditionalFormatting sqref="C95">
    <cfRule type="expression" priority="501" dxfId="472">
      <formula>(ISNUMBER(SEARCH("CMW",$D82)))=TRUE</formula>
    </cfRule>
  </conditionalFormatting>
  <conditionalFormatting sqref="C99">
    <cfRule type="containsText" priority="478" operator="containsText" dxfId="204" text="CONFIG">
      <formula>NOT(ISERROR(SEARCH("CONFIG",C99)))</formula>
    </cfRule>
  </conditionalFormatting>
  <conditionalFormatting sqref="C100">
    <cfRule type="containsText" priority="430" operator="containsText" dxfId="561" text="LIGHT SELECTION">
      <formula>NOT(ISERROR(SEARCH("LIGHT SELECTION",C100)))</formula>
    </cfRule>
  </conditionalFormatting>
  <conditionalFormatting sqref="C105:C106">
    <cfRule type="cellIs" priority="477" operator="lessThan" dxfId="561">
      <formula>1</formula>
    </cfRule>
  </conditionalFormatting>
  <conditionalFormatting sqref="C107:C108">
    <cfRule type="expression" priority="323" dxfId="383">
      <formula>D107="WW PODS"</formula>
    </cfRule>
  </conditionalFormatting>
  <conditionalFormatting sqref="C109">
    <cfRule type="expression" priority="492" dxfId="559">
      <formula>ISNUMBER(SEARCH("UV",D99))</formula>
    </cfRule>
  </conditionalFormatting>
  <conditionalFormatting sqref="C110">
    <cfRule type="expression" priority="475" dxfId="472">
      <formula>(ISNUMBER(SEARCH("CMW",D99)))=TRUE</formula>
    </cfRule>
  </conditionalFormatting>
  <conditionalFormatting sqref="C111">
    <cfRule type="expression" priority="464" dxfId="472">
      <formula>(ISNUMBER(SEARCH("CMW",D99)))=TRUE</formula>
    </cfRule>
  </conditionalFormatting>
  <conditionalFormatting sqref="C112 C129 C146 C163 C180">
    <cfRule type="expression" priority="473" dxfId="472">
      <formula>(ISNUMBER(SEARCH("CMW",$D99)))=TRUE</formula>
    </cfRule>
  </conditionalFormatting>
  <conditionalFormatting sqref="C116">
    <cfRule type="containsText" priority="301" operator="containsText" dxfId="204" text="CONFIG">
      <formula>NOT(ISERROR(SEARCH("CONFIG",C116)))</formula>
    </cfRule>
  </conditionalFormatting>
  <conditionalFormatting sqref="C117">
    <cfRule type="containsText" priority="288" operator="containsText" dxfId="561" text="LIGHT SELECTION">
      <formula>NOT(ISERROR(SEARCH("LIGHT SELECTION",C117)))</formula>
    </cfRule>
  </conditionalFormatting>
  <conditionalFormatting sqref="C122:C123">
    <cfRule type="cellIs" priority="300" operator="lessThan" dxfId="561">
      <formula>1</formula>
    </cfRule>
  </conditionalFormatting>
  <conditionalFormatting sqref="C124:C125">
    <cfRule type="expression" priority="272" dxfId="383">
      <formula>D124="WW PODS"</formula>
    </cfRule>
  </conditionalFormatting>
  <conditionalFormatting sqref="C126">
    <cfRule type="expression" priority="315" dxfId="559">
      <formula>ISNUMBER(SEARCH("UV",D116))</formula>
    </cfRule>
  </conditionalFormatting>
  <conditionalFormatting sqref="C127">
    <cfRule type="expression" priority="298" dxfId="472">
      <formula>(ISNUMBER(SEARCH("CMW",D116)))=TRUE</formula>
    </cfRule>
  </conditionalFormatting>
  <conditionalFormatting sqref="C128">
    <cfRule type="expression" priority="293" dxfId="472">
      <formula>(ISNUMBER(SEARCH("CMW",D116)))=TRUE</formula>
    </cfRule>
  </conditionalFormatting>
  <conditionalFormatting sqref="C133">
    <cfRule type="containsText" priority="246" operator="containsText" dxfId="204" text="CONFIG">
      <formula>NOT(ISERROR(SEARCH("CONFIG",C133)))</formula>
    </cfRule>
  </conditionalFormatting>
  <conditionalFormatting sqref="C134">
    <cfRule type="containsText" priority="233" operator="containsText" dxfId="561" text="LIGHT SELECTION">
      <formula>NOT(ISERROR(SEARCH("LIGHT SELECTION",C134)))</formula>
    </cfRule>
  </conditionalFormatting>
  <conditionalFormatting sqref="C139:C140">
    <cfRule type="cellIs" priority="245" operator="lessThan" dxfId="561">
      <formula>1</formula>
    </cfRule>
  </conditionalFormatting>
  <conditionalFormatting sqref="C141:C142">
    <cfRule type="expression" priority="217" dxfId="383">
      <formula>D141="WW PODS"</formula>
    </cfRule>
  </conditionalFormatting>
  <conditionalFormatting sqref="C143">
    <cfRule type="expression" priority="260" dxfId="559">
      <formula>ISNUMBER(SEARCH("UV",D133))</formula>
    </cfRule>
  </conditionalFormatting>
  <conditionalFormatting sqref="C144">
    <cfRule type="expression" priority="243" dxfId="472">
      <formula>(ISNUMBER(SEARCH("CMW",D133)))=TRUE</formula>
    </cfRule>
  </conditionalFormatting>
  <conditionalFormatting sqref="C145">
    <cfRule type="expression" priority="238" dxfId="472">
      <formula>(ISNUMBER(SEARCH("CMW",D133)))=TRUE</formula>
    </cfRule>
  </conditionalFormatting>
  <conditionalFormatting sqref="C150">
    <cfRule type="containsText" priority="195" operator="containsText" dxfId="204" text="CONFIG">
      <formula>NOT(ISERROR(SEARCH("CONFIG",C150)))</formula>
    </cfRule>
  </conditionalFormatting>
  <conditionalFormatting sqref="C151">
    <cfRule type="containsText" priority="182" operator="containsText" dxfId="561" text="LIGHT SELECTION">
      <formula>NOT(ISERROR(SEARCH("LIGHT SELECTION",C151)))</formula>
    </cfRule>
  </conditionalFormatting>
  <conditionalFormatting sqref="C156:C157">
    <cfRule type="cellIs" priority="194" operator="lessThan" dxfId="561">
      <formula>1</formula>
    </cfRule>
  </conditionalFormatting>
  <conditionalFormatting sqref="C158:C159">
    <cfRule type="expression" priority="166" dxfId="383">
      <formula>D158="WW PODS"</formula>
    </cfRule>
  </conditionalFormatting>
  <conditionalFormatting sqref="C160">
    <cfRule type="expression" priority="209" dxfId="559">
      <formula>ISNUMBER(SEARCH("UV",D150))</formula>
    </cfRule>
  </conditionalFormatting>
  <conditionalFormatting sqref="C161">
    <cfRule type="expression" priority="192" dxfId="472">
      <formula>(ISNUMBER(SEARCH("CMW",D150)))=TRUE</formula>
    </cfRule>
  </conditionalFormatting>
  <conditionalFormatting sqref="C162">
    <cfRule type="expression" priority="187" dxfId="472">
      <formula>(ISNUMBER(SEARCH("CMW",D150)))=TRUE</formula>
    </cfRule>
  </conditionalFormatting>
  <conditionalFormatting sqref="C167">
    <cfRule type="containsText" priority="144" operator="containsText" dxfId="204" text="CONFIG">
      <formula>NOT(ISERROR(SEARCH("CONFIG",C167)))</formula>
    </cfRule>
  </conditionalFormatting>
  <conditionalFormatting sqref="C168">
    <cfRule type="containsText" priority="131" operator="containsText" dxfId="561" text="LIGHT SELECTION">
      <formula>NOT(ISERROR(SEARCH("LIGHT SELECTION",C168)))</formula>
    </cfRule>
  </conditionalFormatting>
  <conditionalFormatting sqref="C173:C174">
    <cfRule type="cellIs" priority="143" operator="lessThan" dxfId="561">
      <formula>1</formula>
    </cfRule>
  </conditionalFormatting>
  <conditionalFormatting sqref="C175:C176">
    <cfRule type="expression" priority="115" dxfId="383">
      <formula>D175="WW PODS"</formula>
    </cfRule>
  </conditionalFormatting>
  <conditionalFormatting sqref="C177">
    <cfRule type="expression" priority="158" dxfId="559">
      <formula>ISNUMBER(SEARCH("UV",D167))</formula>
    </cfRule>
  </conditionalFormatting>
  <conditionalFormatting sqref="C178">
    <cfRule type="expression" priority="141" dxfId="472">
      <formula>(ISNUMBER(SEARCH("CMW",D167)))=TRUE</formula>
    </cfRule>
  </conditionalFormatting>
  <conditionalFormatting sqref="C179">
    <cfRule type="expression" priority="136" dxfId="472">
      <formula>(ISNUMBER(SEARCH("CMW",D167)))=TRUE</formula>
    </cfRule>
  </conditionalFormatting>
  <conditionalFormatting sqref="C183:C184">
    <cfRule type="cellIs" priority="671" operator="lessThan" dxfId="554">
      <formula>1</formula>
    </cfRule>
  </conditionalFormatting>
  <conditionalFormatting sqref="C185">
    <cfRule type="cellIs" priority="660" operator="lessThan" dxfId="164">
      <formula>1</formula>
    </cfRule>
  </conditionalFormatting>
  <conditionalFormatting sqref="C186:C197">
    <cfRule type="cellIs" priority="270" operator="lessThan" dxfId="554">
      <formula>1</formula>
    </cfRule>
  </conditionalFormatting>
  <conditionalFormatting sqref="C9:D9">
    <cfRule type="cellIs" priority="661" operator="lessThan" dxfId="207">
      <formula>0</formula>
    </cfRule>
    <cfRule type="cellIs" priority="662" operator="greaterThan" dxfId="552">
      <formula>0</formula>
    </cfRule>
  </conditionalFormatting>
  <conditionalFormatting sqref="D14">
    <cfRule type="containsText" priority="672" operator="containsText" dxfId="164" text="CANOPY TYPE">
      <formula>NOT(ISERROR(SEARCH("CANOPY TYPE",D14)))</formula>
    </cfRule>
  </conditionalFormatting>
  <conditionalFormatting sqref="D15">
    <cfRule type="expression" priority="425" dxfId="206">
      <formula>(C15="LIGHT SELECTION")</formula>
    </cfRule>
  </conditionalFormatting>
  <conditionalFormatting sqref="D16:D18">
    <cfRule type="expression" priority="627" dxfId="206">
      <formula>($C16="SELECT WORKS")</formula>
    </cfRule>
  </conditionalFormatting>
  <conditionalFormatting sqref="D19">
    <cfRule type="expression" priority="269" dxfId="206">
      <formula>$C19="SELECT CLADDING"</formula>
    </cfRule>
  </conditionalFormatting>
  <conditionalFormatting sqref="D22:D23">
    <cfRule type="expression" priority="408" dxfId="358">
      <formula>($D$14="CANOPY TYPE")</formula>
    </cfRule>
  </conditionalFormatting>
  <conditionalFormatting sqref="D24">
    <cfRule type="expression" priority="685" dxfId="474">
      <formula>ISNUMBER(SEARCH("UV",D14))</formula>
    </cfRule>
  </conditionalFormatting>
  <conditionalFormatting sqref="D25">
    <cfRule type="expression" priority="613" dxfId="358">
      <formula>($D$14="CANOPY TYPE")</formula>
    </cfRule>
  </conditionalFormatting>
  <conditionalFormatting sqref="D26">
    <cfRule type="expression" priority="635" dxfId="472">
      <formula>(ISNUMBER(SEARCH("CMW",D14)))=TRUE</formula>
    </cfRule>
  </conditionalFormatting>
  <conditionalFormatting sqref="D31">
    <cfRule type="containsText" priority="595" operator="containsText" dxfId="164" text="CANOPY TYPE">
      <formula>NOT(ISERROR(SEARCH("CANOPY TYPE",D31)))</formula>
    </cfRule>
  </conditionalFormatting>
  <conditionalFormatting sqref="D32">
    <cfRule type="expression" priority="438" dxfId="206">
      <formula>(C32="LIGHT SELECTION")</formula>
    </cfRule>
  </conditionalFormatting>
  <conditionalFormatting sqref="D33:D35">
    <cfRule type="expression" priority="588" dxfId="206">
      <formula>($C33="SELECT WORKS")</formula>
    </cfRule>
  </conditionalFormatting>
  <conditionalFormatting sqref="D36">
    <cfRule type="expression" priority="417" dxfId="206">
      <formula>$C36="SELECT CLADDING"</formula>
    </cfRule>
  </conditionalFormatting>
  <conditionalFormatting sqref="D39:D40">
    <cfRule type="expression" priority="382" dxfId="358">
      <formula>($D$14="CANOPY TYPE")</formula>
    </cfRule>
  </conditionalFormatting>
  <conditionalFormatting sqref="D41">
    <cfRule type="expression" priority="607" dxfId="474">
      <formula>ISNUMBER(SEARCH("UV",D31))</formula>
    </cfRule>
  </conditionalFormatting>
  <conditionalFormatting sqref="D42">
    <cfRule type="expression" priority="581" dxfId="358">
      <formula>($D$14="CANOPY TYPE")</formula>
    </cfRule>
  </conditionalFormatting>
  <conditionalFormatting sqref="D43">
    <cfRule type="expression" priority="590" dxfId="472">
      <formula>(ISNUMBER(SEARCH("CMW",D31)))=TRUE</formula>
    </cfRule>
  </conditionalFormatting>
  <conditionalFormatting sqref="D48">
    <cfRule type="containsText" priority="420" operator="containsText" dxfId="164" text="CANOPY TYPE">
      <formula>NOT(ISERROR(SEARCH("CANOPY TYPE",D48)))</formula>
    </cfRule>
  </conditionalFormatting>
  <conditionalFormatting sqref="D49">
    <cfRule type="expression" priority="435" dxfId="206">
      <formula>(C15="LIGHT SELECTION")</formula>
    </cfRule>
  </conditionalFormatting>
  <conditionalFormatting sqref="D50:D52">
    <cfRule type="expression" priority="111" dxfId="206">
      <formula>($C50="SELECT WORKS")</formula>
    </cfRule>
  </conditionalFormatting>
  <conditionalFormatting sqref="D53">
    <cfRule type="expression" priority="418" dxfId="206">
      <formula>$C53="SELECT CLADDING"</formula>
    </cfRule>
  </conditionalFormatting>
  <conditionalFormatting sqref="D56:D57">
    <cfRule type="expression" priority="367" dxfId="358">
      <formula>($D$14="CANOPY TYPE")</formula>
    </cfRule>
  </conditionalFormatting>
  <conditionalFormatting sqref="D58">
    <cfRule type="expression" priority="575" dxfId="474">
      <formula>ISNUMBER(SEARCH("UV",D48))</formula>
    </cfRule>
  </conditionalFormatting>
  <conditionalFormatting sqref="D59">
    <cfRule type="expression" priority="554" dxfId="358">
      <formula>($D$14="CANOPY TYPE")</formula>
    </cfRule>
  </conditionalFormatting>
  <conditionalFormatting sqref="D60">
    <cfRule type="expression" priority="559" dxfId="472">
      <formula>(ISNUMBER(SEARCH("CMW",D48)))=TRUE</formula>
    </cfRule>
  </conditionalFormatting>
  <conditionalFormatting sqref="D65">
    <cfRule type="containsText" priority="419" operator="containsText" dxfId="164" text="CANOPY TYPE">
      <formula>NOT(ISERROR(SEARCH("CANOPY TYPE",D65)))</formula>
    </cfRule>
  </conditionalFormatting>
  <conditionalFormatting sqref="D66">
    <cfRule type="expression" priority="428" dxfId="206">
      <formula>(C66="LIGHT SELECTION")</formula>
    </cfRule>
  </conditionalFormatting>
  <conditionalFormatting sqref="D67:D69">
    <cfRule type="expression" priority="97" dxfId="206">
      <formula>($C67="SELECT WORKS")</formula>
    </cfRule>
  </conditionalFormatting>
  <conditionalFormatting sqref="D70">
    <cfRule type="expression" priority="533" dxfId="206">
      <formula>$C70="SELECT CLADDING"</formula>
    </cfRule>
  </conditionalFormatting>
  <conditionalFormatting sqref="D73:D74">
    <cfRule type="expression" priority="352" dxfId="358">
      <formula>($D$14="CANOPY TYPE")</formula>
    </cfRule>
  </conditionalFormatting>
  <conditionalFormatting sqref="D75">
    <cfRule type="expression" priority="548" dxfId="474">
      <formula>ISNUMBER(SEARCH("UV",D65))</formula>
    </cfRule>
  </conditionalFormatting>
  <conditionalFormatting sqref="D76">
    <cfRule type="expression" priority="526" dxfId="358">
      <formula>($D$14="CANOPY TYPE")</formula>
    </cfRule>
  </conditionalFormatting>
  <conditionalFormatting sqref="D77">
    <cfRule type="expression" priority="531" dxfId="472">
      <formula>(ISNUMBER(SEARCH("CMW",D65)))=TRUE</formula>
    </cfRule>
  </conditionalFormatting>
  <conditionalFormatting sqref="D82">
    <cfRule type="containsText" priority="508" operator="containsText" dxfId="164" text="CANOPY TYPE">
      <formula>NOT(ISERROR(SEARCH("CANOPY TYPE",D82)))</formula>
    </cfRule>
  </conditionalFormatting>
  <conditionalFormatting sqref="D83">
    <cfRule type="expression" priority="427" dxfId="206">
      <formula>(C83="LIGHT SELECTION")</formula>
    </cfRule>
  </conditionalFormatting>
  <conditionalFormatting sqref="D84:D86">
    <cfRule type="expression" priority="83" dxfId="206">
      <formula>($C84="SELECT WORKS")</formula>
    </cfRule>
  </conditionalFormatting>
  <conditionalFormatting sqref="D87">
    <cfRule type="expression" priority="504" dxfId="206">
      <formula>$C87="SELECT CLADDING"</formula>
    </cfRule>
  </conditionalFormatting>
  <conditionalFormatting sqref="D90:D91">
    <cfRule type="expression" priority="337" dxfId="358">
      <formula>($D$14="CANOPY TYPE")</formula>
    </cfRule>
  </conditionalFormatting>
  <conditionalFormatting sqref="D92">
    <cfRule type="expression" priority="520" dxfId="474">
      <formula>ISNUMBER(SEARCH("UV",D82))</formula>
    </cfRule>
  </conditionalFormatting>
  <conditionalFormatting sqref="D93">
    <cfRule type="expression" priority="497" dxfId="358">
      <formula>($D$14="CANOPY TYPE")</formula>
    </cfRule>
  </conditionalFormatting>
  <conditionalFormatting sqref="D94">
    <cfRule type="expression" priority="502" dxfId="472">
      <formula>(ISNUMBER(SEARCH("CMW",D82)))=TRUE</formula>
    </cfRule>
  </conditionalFormatting>
  <conditionalFormatting sqref="D99">
    <cfRule type="containsText" priority="479" operator="containsText" dxfId="164" text="CANOPY TYPE">
      <formula>NOT(ISERROR(SEARCH("CANOPY TYPE",D99)))</formula>
    </cfRule>
  </conditionalFormatting>
  <conditionalFormatting sqref="D100">
    <cfRule type="expression" priority="426" dxfId="206">
      <formula>(C100="LIGHT SELECTION")</formula>
    </cfRule>
  </conditionalFormatting>
  <conditionalFormatting sqref="D101:D103">
    <cfRule type="expression" priority="69" dxfId="206">
      <formula>($C101="SELECT WORKS")</formula>
    </cfRule>
  </conditionalFormatting>
  <conditionalFormatting sqref="D104">
    <cfRule type="expression" priority="416" dxfId="206">
      <formula>$C104="SELECT CLADDING"</formula>
    </cfRule>
  </conditionalFormatting>
  <conditionalFormatting sqref="D107:D108">
    <cfRule type="expression" priority="322" dxfId="358">
      <formula>($D$14="CANOPY TYPE")</formula>
    </cfRule>
  </conditionalFormatting>
  <conditionalFormatting sqref="D109">
    <cfRule type="expression" priority="491" dxfId="474">
      <formula>ISNUMBER(SEARCH("UV",D99))</formula>
    </cfRule>
  </conditionalFormatting>
  <conditionalFormatting sqref="D110">
    <cfRule type="expression" priority="469" dxfId="358">
      <formula>($D$14="CANOPY TYPE")</formula>
    </cfRule>
  </conditionalFormatting>
  <conditionalFormatting sqref="D111">
    <cfRule type="expression" priority="474" dxfId="472">
      <formula>(ISNUMBER(SEARCH("CMW",D99)))=TRUE</formula>
    </cfRule>
  </conditionalFormatting>
  <conditionalFormatting sqref="D116">
    <cfRule type="containsText" priority="302" operator="containsText" dxfId="164" text="CANOPY TYPE">
      <formula>NOT(ISERROR(SEARCH("CANOPY TYPE",D116)))</formula>
    </cfRule>
  </conditionalFormatting>
  <conditionalFormatting sqref="D117">
    <cfRule type="expression" priority="287" dxfId="206">
      <formula>(C117="LIGHT SELECTION")</formula>
    </cfRule>
  </conditionalFormatting>
  <conditionalFormatting sqref="D118:D120">
    <cfRule type="expression" priority="55" dxfId="206">
      <formula>($C118="SELECT WORKS")</formula>
    </cfRule>
  </conditionalFormatting>
  <conditionalFormatting sqref="D121">
    <cfRule type="expression" priority="286" dxfId="206">
      <formula>$C121="SELECT CLADDING"</formula>
    </cfRule>
  </conditionalFormatting>
  <conditionalFormatting sqref="D124:D125">
    <cfRule type="expression" priority="271" dxfId="358">
      <formula>($D$14="CANOPY TYPE")</formula>
    </cfRule>
  </conditionalFormatting>
  <conditionalFormatting sqref="D126">
    <cfRule type="expression" priority="314" dxfId="474">
      <formula>ISNUMBER(SEARCH("UV",D116))</formula>
    </cfRule>
  </conditionalFormatting>
  <conditionalFormatting sqref="D127">
    <cfRule type="expression" priority="294" dxfId="358">
      <formula>($D$14="CANOPY TYPE")</formula>
    </cfRule>
  </conditionalFormatting>
  <conditionalFormatting sqref="D128">
    <cfRule type="expression" priority="297" dxfId="472">
      <formula>(ISNUMBER(SEARCH("CMW",D116)))=TRUE</formula>
    </cfRule>
  </conditionalFormatting>
  <conditionalFormatting sqref="D133">
    <cfRule type="containsText" priority="247" operator="containsText" dxfId="164" text="CANOPY TYPE">
      <formula>NOT(ISERROR(SEARCH("CANOPY TYPE",D133)))</formula>
    </cfRule>
  </conditionalFormatting>
  <conditionalFormatting sqref="D134">
    <cfRule type="expression" priority="232" dxfId="206">
      <formula>(C134="LIGHT SELECTION")</formula>
    </cfRule>
  </conditionalFormatting>
  <conditionalFormatting sqref="D135:D137">
    <cfRule type="expression" priority="41" dxfId="206">
      <formula>($C135="SELECT WORKS")</formula>
    </cfRule>
  </conditionalFormatting>
  <conditionalFormatting sqref="D138">
    <cfRule type="expression" priority="231" dxfId="206">
      <formula>$C138="SELECT CLADDING"</formula>
    </cfRule>
  </conditionalFormatting>
  <conditionalFormatting sqref="D141:D142">
    <cfRule type="expression" priority="216" dxfId="358">
      <formula>($D$14="CANOPY TYPE")</formula>
    </cfRule>
  </conditionalFormatting>
  <conditionalFormatting sqref="D143">
    <cfRule type="expression" priority="259" dxfId="474">
      <formula>ISNUMBER(SEARCH("UV",D133))</formula>
    </cfRule>
  </conditionalFormatting>
  <conditionalFormatting sqref="D144">
    <cfRule type="expression" priority="239" dxfId="358">
      <formula>($D$14="CANOPY TYPE")</formula>
    </cfRule>
  </conditionalFormatting>
  <conditionalFormatting sqref="D145">
    <cfRule type="expression" priority="242" dxfId="472">
      <formula>(ISNUMBER(SEARCH("CMW",D133)))=TRUE</formula>
    </cfRule>
  </conditionalFormatting>
  <conditionalFormatting sqref="D150">
    <cfRule type="containsText" priority="196" operator="containsText" dxfId="164" text="CANOPY TYPE">
      <formula>NOT(ISERROR(SEARCH("CANOPY TYPE",D150)))</formula>
    </cfRule>
  </conditionalFormatting>
  <conditionalFormatting sqref="D151">
    <cfRule type="expression" priority="181" dxfId="206">
      <formula>(C151="LIGHT SELECTION")</formula>
    </cfRule>
  </conditionalFormatting>
  <conditionalFormatting sqref="D152:D154">
    <cfRule type="expression" priority="27" dxfId="206">
      <formula>($C152="SELECT WORKS")</formula>
    </cfRule>
  </conditionalFormatting>
  <conditionalFormatting sqref="D155">
    <cfRule type="expression" priority="180" dxfId="206">
      <formula>$C155="SELECT CLADDING"</formula>
    </cfRule>
  </conditionalFormatting>
  <conditionalFormatting sqref="D158:D159">
    <cfRule type="expression" priority="165" dxfId="358">
      <formula>($D$14="CANOPY TYPE")</formula>
    </cfRule>
  </conditionalFormatting>
  <conditionalFormatting sqref="D160">
    <cfRule type="expression" priority="208" dxfId="474">
      <formula>ISNUMBER(SEARCH("UV",D150))</formula>
    </cfRule>
  </conditionalFormatting>
  <conditionalFormatting sqref="D161">
    <cfRule type="expression" priority="188" dxfId="358">
      <formula>($D$14="CANOPY TYPE")</formula>
    </cfRule>
  </conditionalFormatting>
  <conditionalFormatting sqref="D162">
    <cfRule type="expression" priority="191" dxfId="472">
      <formula>(ISNUMBER(SEARCH("CMW",D150)))=TRUE</formula>
    </cfRule>
  </conditionalFormatting>
  <conditionalFormatting sqref="D167">
    <cfRule type="containsText" priority="145" operator="containsText" dxfId="164" text="CANOPY TYPE">
      <formula>NOT(ISERROR(SEARCH("CANOPY TYPE",D167)))</formula>
    </cfRule>
  </conditionalFormatting>
  <conditionalFormatting sqref="D168">
    <cfRule type="expression" priority="130" dxfId="206">
      <formula>(C168="LIGHT SELECTION")</formula>
    </cfRule>
  </conditionalFormatting>
  <conditionalFormatting sqref="D169:D171">
    <cfRule type="expression" priority="13" dxfId="206">
      <formula>($C169="SELECT WORKS")</formula>
    </cfRule>
  </conditionalFormatting>
  <conditionalFormatting sqref="D172">
    <cfRule type="expression" priority="129" dxfId="206">
      <formula>$C172="SELECT CLADDING"</formula>
    </cfRule>
  </conditionalFormatting>
  <conditionalFormatting sqref="D175:D176">
    <cfRule type="expression" priority="114" dxfId="358">
      <formula>($D$14="CANOPY TYPE")</formula>
    </cfRule>
  </conditionalFormatting>
  <conditionalFormatting sqref="D177">
    <cfRule type="expression" priority="157" dxfId="474">
      <formula>ISNUMBER(SEARCH("UV",D167))</formula>
    </cfRule>
  </conditionalFormatting>
  <conditionalFormatting sqref="D178">
    <cfRule type="expression" priority="137" dxfId="358">
      <formula>($D$14="CANOPY TYPE")</formula>
    </cfRule>
  </conditionalFormatting>
  <conditionalFormatting sqref="D179">
    <cfRule type="expression" priority="140" dxfId="472">
      <formula>(ISNUMBER(SEARCH("CMW",D167)))=TRUE</formula>
    </cfRule>
  </conditionalFormatting>
  <conditionalFormatting sqref="E12">
    <cfRule type="cellIs" priority="684" operator="greaterThan" dxfId="204">
      <formula>2000</formula>
    </cfRule>
    <cfRule type="expression" priority="683" dxfId="387">
      <formula>ISNUMBER(SEARCH("I-MUAP",$D$14))</formula>
    </cfRule>
    <cfRule type="expression" priority="682" dxfId="386">
      <formula>AND((ISNUMBER(SEARCH("I-MUAP",$D$14))),E12&lt;2500)</formula>
    </cfRule>
  </conditionalFormatting>
  <conditionalFormatting sqref="E15">
    <cfRule type="expression" priority="423" dxfId="315">
      <formula>(C15="LIGHT SELECTION")</formula>
    </cfRule>
  </conditionalFormatting>
  <conditionalFormatting sqref="E16:E18">
    <cfRule type="expression" priority="113" dxfId="381">
      <formula>$C16="SELECT WORKS"</formula>
    </cfRule>
  </conditionalFormatting>
  <conditionalFormatting sqref="E22:E23">
    <cfRule type="expression" priority="665" dxfId="384">
      <formula>D22="WW PODS"</formula>
    </cfRule>
    <cfRule type="expression" priority="666" dxfId="383">
      <formula>D22="FILTER TYPE"</formula>
    </cfRule>
    <cfRule type="expression" priority="667" dxfId="382">
      <formula>D22="KSA"</formula>
    </cfRule>
    <cfRule type="expression" priority="687" dxfId="381">
      <formula>(D14="CANOPY TYPE")</formula>
    </cfRule>
  </conditionalFormatting>
  <conditionalFormatting sqref="E24">
    <cfRule type="containsText" priority="674" operator="containsText" dxfId="380" text="LONG ">
      <formula>NOT(ISERROR(SEARCH("LONG ",E24)))</formula>
    </cfRule>
  </conditionalFormatting>
  <conditionalFormatting sqref="E29">
    <cfRule type="expression" priority="604" dxfId="386">
      <formula>AND((ISNUMBER(SEARCH("I-MUAP",$D$14))),E29&lt;2500)</formula>
    </cfRule>
    <cfRule type="expression" priority="605" dxfId="387">
      <formula>ISNUMBER(SEARCH("I-MUAP",$D$14))</formula>
    </cfRule>
    <cfRule type="cellIs" priority="606" operator="greaterThan" dxfId="204">
      <formula>2000</formula>
    </cfRule>
  </conditionalFormatting>
  <conditionalFormatting sqref="E33:E34">
    <cfRule type="expression" priority="587" dxfId="381">
      <formula>$C33="SELECT WORKS"</formula>
    </cfRule>
  </conditionalFormatting>
  <conditionalFormatting sqref="E39:E40">
    <cfRule type="expression" priority="397" dxfId="382">
      <formula>D39="KSA"</formula>
    </cfRule>
    <cfRule type="expression" priority="398" dxfId="381">
      <formula>(D31="CANOPY TYPE")</formula>
    </cfRule>
    <cfRule type="expression" priority="396" dxfId="383">
      <formula>D39="FILTER TYPE"</formula>
    </cfRule>
    <cfRule type="expression" priority="395" dxfId="384">
      <formula>D39="WW PODS"</formula>
    </cfRule>
  </conditionalFormatting>
  <conditionalFormatting sqref="E41">
    <cfRule type="containsText" priority="597" operator="containsText" dxfId="380" text="LONG ">
      <formula>NOT(ISERROR(SEARCH("LONG ",E41)))</formula>
    </cfRule>
  </conditionalFormatting>
  <conditionalFormatting sqref="E46">
    <cfRule type="cellIs" priority="574" operator="greaterThan" dxfId="204">
      <formula>2000</formula>
    </cfRule>
    <cfRule type="expression" priority="573" dxfId="387">
      <formula>ISNUMBER(SEARCH("I-MUAP",$D$14))</formula>
    </cfRule>
    <cfRule type="expression" priority="572" dxfId="386">
      <formula>AND((ISNUMBER(SEARCH("I-MUAP",$D$14))),E46&lt;2500)</formula>
    </cfRule>
  </conditionalFormatting>
  <conditionalFormatting sqref="E49">
    <cfRule type="expression" priority="437" dxfId="315">
      <formula>(C49="LIGHT SELECTION")</formula>
    </cfRule>
  </conditionalFormatting>
  <conditionalFormatting sqref="E50:E52">
    <cfRule type="expression" priority="110" dxfId="381">
      <formula>$C50="SELECT WORKS"</formula>
    </cfRule>
  </conditionalFormatting>
  <conditionalFormatting sqref="E56:E57">
    <cfRule type="expression" priority="369" dxfId="384">
      <formula>D56="WW PODS"</formula>
    </cfRule>
    <cfRule type="expression" priority="370" dxfId="383">
      <formula>D56="FILTER TYPE"</formula>
    </cfRule>
    <cfRule type="expression" priority="372" dxfId="381">
      <formula>(D48="CANOPY TYPE")</formula>
    </cfRule>
    <cfRule type="expression" priority="371" dxfId="382">
      <formula>D56="KSA"</formula>
    </cfRule>
  </conditionalFormatting>
  <conditionalFormatting sqref="E58">
    <cfRule type="containsText" priority="565" operator="containsText" dxfId="380" text="LONG ">
      <formula>NOT(ISERROR(SEARCH("LONG ",E58)))</formula>
    </cfRule>
  </conditionalFormatting>
  <conditionalFormatting sqref="E63">
    <cfRule type="cellIs" priority="547" operator="greaterThan" dxfId="204">
      <formula>2000</formula>
    </cfRule>
    <cfRule type="expression" priority="546" dxfId="387">
      <formula>ISNUMBER(SEARCH("I-MUAP",$D$14))</formula>
    </cfRule>
    <cfRule type="expression" priority="545" dxfId="386">
      <formula>AND((ISNUMBER(SEARCH("I-MUAP",$D$14))),E63&lt;2500)</formula>
    </cfRule>
  </conditionalFormatting>
  <conditionalFormatting sqref="E67:E69">
    <cfRule type="expression" priority="96" dxfId="381">
      <formula>$C67="SELECT WORKS"</formula>
    </cfRule>
  </conditionalFormatting>
  <conditionalFormatting sqref="E73:E74">
    <cfRule type="expression" priority="354" dxfId="384">
      <formula>D73="WW PODS"</formula>
    </cfRule>
    <cfRule type="expression" priority="356" dxfId="382">
      <formula>D73="KSA"</formula>
    </cfRule>
    <cfRule type="expression" priority="357" dxfId="381">
      <formula>(D65="CANOPY TYPE")</formula>
    </cfRule>
    <cfRule type="expression" priority="355" dxfId="383">
      <formula>D73="FILTER TYPE"</formula>
    </cfRule>
  </conditionalFormatting>
  <conditionalFormatting sqref="E75">
    <cfRule type="containsText" priority="538" operator="containsText" dxfId="380" text="LONG ">
      <formula>NOT(ISERROR(SEARCH("LONG ",E75)))</formula>
    </cfRule>
  </conditionalFormatting>
  <conditionalFormatting sqref="E80">
    <cfRule type="cellIs" priority="519" operator="greaterThan" dxfId="204">
      <formula>2000</formula>
    </cfRule>
    <cfRule type="expression" priority="517" dxfId="386">
      <formula>AND((ISNUMBER(SEARCH("I-MUAP",$D$14))),E80&lt;2500)</formula>
    </cfRule>
    <cfRule type="expression" priority="518" dxfId="387">
      <formula>ISNUMBER(SEARCH("I-MUAP",$D$14))</formula>
    </cfRule>
  </conditionalFormatting>
  <conditionalFormatting sqref="E84:E86">
    <cfRule type="expression" priority="82" dxfId="381">
      <formula>$C84="SELECT WORKS"</formula>
    </cfRule>
  </conditionalFormatting>
  <conditionalFormatting sqref="E90:E91">
    <cfRule type="expression" priority="342" dxfId="381">
      <formula>(D82="CANOPY TYPE")</formula>
    </cfRule>
    <cfRule type="expression" priority="339" dxfId="384">
      <formula>D90="WW PODS"</formula>
    </cfRule>
    <cfRule type="expression" priority="340" dxfId="383">
      <formula>D90="FILTER TYPE"</formula>
    </cfRule>
    <cfRule type="expression" priority="341" dxfId="382">
      <formula>D90="KSA"</formula>
    </cfRule>
  </conditionalFormatting>
  <conditionalFormatting sqref="E92">
    <cfRule type="containsText" priority="510" operator="containsText" dxfId="380" text="LONG ">
      <formula>NOT(ISERROR(SEARCH("LONG ",E92)))</formula>
    </cfRule>
  </conditionalFormatting>
  <conditionalFormatting sqref="E97">
    <cfRule type="expression" priority="489" dxfId="387">
      <formula>ISNUMBER(SEARCH("I-MUAP",$D$14))</formula>
    </cfRule>
    <cfRule type="cellIs" priority="490" operator="greaterThan" dxfId="204">
      <formula>2000</formula>
    </cfRule>
    <cfRule type="expression" priority="488" dxfId="386">
      <formula>AND((ISNUMBER(SEARCH("I-MUAP",$D$14))),E97&lt;2500)</formula>
    </cfRule>
  </conditionalFormatting>
  <conditionalFormatting sqref="E101:E103">
    <cfRule type="expression" priority="68" dxfId="381">
      <formula>$C101="SELECT WORKS"</formula>
    </cfRule>
  </conditionalFormatting>
  <conditionalFormatting sqref="E107:E108">
    <cfRule type="expression" priority="324" dxfId="384">
      <formula>D107="WW PODS"</formula>
    </cfRule>
    <cfRule type="expression" priority="325" dxfId="383">
      <formula>D107="FILTER TYPE"</formula>
    </cfRule>
    <cfRule type="expression" priority="326" dxfId="382">
      <formula>D107="KSA"</formula>
    </cfRule>
    <cfRule type="expression" priority="327" dxfId="381">
      <formula>(D99="CANOPY TYPE")</formula>
    </cfRule>
  </conditionalFormatting>
  <conditionalFormatting sqref="E109">
    <cfRule type="containsText" priority="481" operator="containsText" dxfId="380" text="LONG ">
      <formula>NOT(ISERROR(SEARCH("LONG ",E109)))</formula>
    </cfRule>
  </conditionalFormatting>
  <conditionalFormatting sqref="E114">
    <cfRule type="cellIs" priority="313" operator="greaterThan" dxfId="204">
      <formula>2000</formula>
    </cfRule>
    <cfRule type="expression" priority="312" dxfId="387">
      <formula>ISNUMBER(SEARCH("I-MUAP",$D$14))</formula>
    </cfRule>
    <cfRule type="expression" priority="311" dxfId="386">
      <formula>AND((ISNUMBER(SEARCH("I-MUAP",$D$14))),E114&lt;2500)</formula>
    </cfRule>
  </conditionalFormatting>
  <conditionalFormatting sqref="E118:E120">
    <cfRule type="expression" priority="54" dxfId="381">
      <formula>$C118="SELECT WORKS"</formula>
    </cfRule>
  </conditionalFormatting>
  <conditionalFormatting sqref="E124:E125">
    <cfRule type="expression" priority="273" dxfId="384">
      <formula>D124="WW PODS"</formula>
    </cfRule>
    <cfRule type="expression" priority="276" dxfId="381">
      <formula>(D116="CANOPY TYPE")</formula>
    </cfRule>
    <cfRule type="expression" priority="275" dxfId="382">
      <formula>D124="KSA"</formula>
    </cfRule>
    <cfRule type="expression" priority="274" dxfId="383">
      <formula>D124="FILTER TYPE"</formula>
    </cfRule>
  </conditionalFormatting>
  <conditionalFormatting sqref="E126">
    <cfRule type="containsText" priority="304" operator="containsText" dxfId="380" text="LONG ">
      <formula>NOT(ISERROR(SEARCH("LONG ",E126)))</formula>
    </cfRule>
  </conditionalFormatting>
  <conditionalFormatting sqref="E131">
    <cfRule type="expression" priority="257" dxfId="387">
      <formula>ISNUMBER(SEARCH("I-MUAP",$D$14))</formula>
    </cfRule>
    <cfRule type="cellIs" priority="258" operator="greaterThan" dxfId="204">
      <formula>2000</formula>
    </cfRule>
    <cfRule type="expression" priority="256" dxfId="386">
      <formula>AND((ISNUMBER(SEARCH("I-MUAP",$D$14))),E131&lt;2500)</formula>
    </cfRule>
  </conditionalFormatting>
  <conditionalFormatting sqref="E135:E137">
    <cfRule type="expression" priority="40" dxfId="381">
      <formula>$C135="SELECT WORKS"</formula>
    </cfRule>
  </conditionalFormatting>
  <conditionalFormatting sqref="E141:E142">
    <cfRule type="expression" priority="221" dxfId="381">
      <formula>(D133="CANOPY TYPE")</formula>
    </cfRule>
    <cfRule type="expression" priority="220" dxfId="382">
      <formula>D141="KSA"</formula>
    </cfRule>
    <cfRule type="expression" priority="218" dxfId="384">
      <formula>D141="WW PODS"</formula>
    </cfRule>
    <cfRule type="expression" priority="219" dxfId="383">
      <formula>D141="FILTER TYPE"</formula>
    </cfRule>
  </conditionalFormatting>
  <conditionalFormatting sqref="E143">
    <cfRule type="containsText" priority="249" operator="containsText" dxfId="380" text="LONG ">
      <formula>NOT(ISERROR(SEARCH("LONG ",E143)))</formula>
    </cfRule>
  </conditionalFormatting>
  <conditionalFormatting sqref="E148">
    <cfRule type="cellIs" priority="207" operator="greaterThan" dxfId="204">
      <formula>2000</formula>
    </cfRule>
    <cfRule type="expression" priority="206" dxfId="387">
      <formula>ISNUMBER(SEARCH("I-MUAP",$D$14))</formula>
    </cfRule>
    <cfRule type="expression" priority="205" dxfId="386">
      <formula>AND((ISNUMBER(SEARCH("I-MUAP",$D$14))),E148&lt;2500)</formula>
    </cfRule>
  </conditionalFormatting>
  <conditionalFormatting sqref="E152:E154">
    <cfRule type="expression" priority="26" dxfId="381">
      <formula>$C152="SELECT WORKS"</formula>
    </cfRule>
  </conditionalFormatting>
  <conditionalFormatting sqref="E158:E159">
    <cfRule type="expression" priority="169" dxfId="382">
      <formula>D158="KSA"</formula>
    </cfRule>
    <cfRule type="expression" priority="167" dxfId="384">
      <formula>D158="WW PODS"</formula>
    </cfRule>
    <cfRule type="expression" priority="168" dxfId="383">
      <formula>D158="FILTER TYPE"</formula>
    </cfRule>
    <cfRule type="expression" priority="170" dxfId="381">
      <formula>(D150="CANOPY TYPE")</formula>
    </cfRule>
  </conditionalFormatting>
  <conditionalFormatting sqref="E160">
    <cfRule type="containsText" priority="198" operator="containsText" dxfId="380" text="LONG ">
      <formula>NOT(ISERROR(SEARCH("LONG ",E160)))</formula>
    </cfRule>
  </conditionalFormatting>
  <conditionalFormatting sqref="E165">
    <cfRule type="cellIs" priority="156" operator="greaterThan" dxfId="204">
      <formula>2000</formula>
    </cfRule>
    <cfRule type="expression" priority="155" dxfId="387">
      <formula>ISNUMBER(SEARCH("I-MUAP",$D$14))</formula>
    </cfRule>
    <cfRule type="expression" priority="154" dxfId="386">
      <formula>AND((ISNUMBER(SEARCH("I-MUAP",$D$14))),E165&lt;2500)</formula>
    </cfRule>
  </conditionalFormatting>
  <conditionalFormatting sqref="E169:E171">
    <cfRule type="expression" priority="12" dxfId="381">
      <formula>$C169="SELECT WORKS"</formula>
    </cfRule>
  </conditionalFormatting>
  <conditionalFormatting sqref="E175:E176">
    <cfRule type="expression" priority="116" dxfId="384">
      <formula>D175="WW PODS"</formula>
    </cfRule>
    <cfRule type="expression" priority="117" dxfId="383">
      <formula>D175="FILTER TYPE"</formula>
    </cfRule>
    <cfRule type="expression" priority="118" dxfId="382">
      <formula>D175="KSA"</formula>
    </cfRule>
    <cfRule type="expression" priority="119" dxfId="381">
      <formula>(D167="CANOPY TYPE")</formula>
    </cfRule>
  </conditionalFormatting>
  <conditionalFormatting sqref="E177">
    <cfRule type="containsText" priority="147" operator="containsText" dxfId="380" text="LONG ">
      <formula>NOT(ISERROR(SEARCH("LONG ",E177)))</formula>
    </cfRule>
  </conditionalFormatting>
  <conditionalFormatting sqref="E12:F12">
    <cfRule type="cellIs" priority="678" operator="lessThan" dxfId="204">
      <formula>1000</formula>
    </cfRule>
  </conditionalFormatting>
  <conditionalFormatting sqref="E14:F14">
    <cfRule type="cellIs" priority="675" operator="lessThan" dxfId="164">
      <formula>1000</formula>
    </cfRule>
  </conditionalFormatting>
  <conditionalFormatting sqref="E25:F27">
    <cfRule type="expression" priority="614" dxfId="358">
      <formula>($D$14="CANOPY TYPE")</formula>
    </cfRule>
  </conditionalFormatting>
  <conditionalFormatting sqref="E29:F29">
    <cfRule type="cellIs" priority="601" operator="lessThan" dxfId="204">
      <formula>1000</formula>
    </cfRule>
  </conditionalFormatting>
  <conditionalFormatting sqref="E31:F31">
    <cfRule type="cellIs" priority="598" operator="lessThan" dxfId="164">
      <formula>1000</formula>
    </cfRule>
  </conditionalFormatting>
  <conditionalFormatting sqref="E32:F32">
    <cfRule type="expression" priority="461" dxfId="315">
      <formula>(C32="LIGHT SELECTION")</formula>
    </cfRule>
  </conditionalFormatting>
  <conditionalFormatting sqref="E42:F44">
    <cfRule type="expression" priority="582" dxfId="358">
      <formula>($D$14="CANOPY TYPE")</formula>
    </cfRule>
  </conditionalFormatting>
  <conditionalFormatting sqref="E46:F46">
    <cfRule type="cellIs" priority="569" operator="lessThan" dxfId="204">
      <formula>1000</formula>
    </cfRule>
  </conditionalFormatting>
  <conditionalFormatting sqref="E48:F48">
    <cfRule type="cellIs" priority="566" operator="lessThan" dxfId="164">
      <formula>1000</formula>
    </cfRule>
  </conditionalFormatting>
  <conditionalFormatting sqref="E59:F61">
    <cfRule type="expression" priority="555" dxfId="358">
      <formula>($D$14="CANOPY TYPE")</formula>
    </cfRule>
  </conditionalFormatting>
  <conditionalFormatting sqref="E63:F63">
    <cfRule type="cellIs" priority="542" operator="lessThan" dxfId="204">
      <formula>1000</formula>
    </cfRule>
  </conditionalFormatting>
  <conditionalFormatting sqref="E65:F65">
    <cfRule type="cellIs" priority="539" operator="lessThan" dxfId="164">
      <formula>1000</formula>
    </cfRule>
  </conditionalFormatting>
  <conditionalFormatting sqref="E66:F66">
    <cfRule type="expression" priority="454" dxfId="315">
      <formula>(C66="LIGHT SELECTION")</formula>
    </cfRule>
  </conditionalFormatting>
  <conditionalFormatting sqref="E76:F78">
    <cfRule type="expression" priority="527" dxfId="358">
      <formula>($D$14="CANOPY TYPE")</formula>
    </cfRule>
  </conditionalFormatting>
  <conditionalFormatting sqref="E80:F80">
    <cfRule type="cellIs" priority="514" operator="lessThan" dxfId="204">
      <formula>1000</formula>
    </cfRule>
  </conditionalFormatting>
  <conditionalFormatting sqref="E82:F82">
    <cfRule type="cellIs" priority="511" operator="lessThan" dxfId="164">
      <formula>1000</formula>
    </cfRule>
  </conditionalFormatting>
  <conditionalFormatting sqref="E83:F83">
    <cfRule type="expression" priority="450" dxfId="315">
      <formula>(C83="LIGHT SELECTION")</formula>
    </cfRule>
  </conditionalFormatting>
  <conditionalFormatting sqref="E93:F95">
    <cfRule type="expression" priority="498" dxfId="358">
      <formula>($D$14="CANOPY TYPE")</formula>
    </cfRule>
  </conditionalFormatting>
  <conditionalFormatting sqref="E97:F97">
    <cfRule type="cellIs" priority="485" operator="lessThan" dxfId="204">
      <formula>1000</formula>
    </cfRule>
  </conditionalFormatting>
  <conditionalFormatting sqref="E99:F99">
    <cfRule type="cellIs" priority="482" operator="lessThan" dxfId="164">
      <formula>1000</formula>
    </cfRule>
  </conditionalFormatting>
  <conditionalFormatting sqref="E100:F100">
    <cfRule type="expression" priority="446" dxfId="315">
      <formula>(C100="LIGHT SELECTION")</formula>
    </cfRule>
  </conditionalFormatting>
  <conditionalFormatting sqref="E110:F112 E127:F129 E144:F146 E161:F163 E178:F180">
    <cfRule type="expression" priority="470" dxfId="358">
      <formula>($D$14="CANOPY TYPE")</formula>
    </cfRule>
  </conditionalFormatting>
  <conditionalFormatting sqref="E114:F114">
    <cfRule type="cellIs" priority="308" operator="lessThan" dxfId="204">
      <formula>1000</formula>
    </cfRule>
  </conditionalFormatting>
  <conditionalFormatting sqref="E116:F116">
    <cfRule type="cellIs" priority="305" operator="lessThan" dxfId="164">
      <formula>1000</formula>
    </cfRule>
  </conditionalFormatting>
  <conditionalFormatting sqref="E117:F117">
    <cfRule type="expression" priority="291" dxfId="315">
      <formula>(C117="LIGHT SELECTION")</formula>
    </cfRule>
  </conditionalFormatting>
  <conditionalFormatting sqref="E131:F131">
    <cfRule type="cellIs" priority="253" operator="lessThan" dxfId="204">
      <formula>1000</formula>
    </cfRule>
  </conditionalFormatting>
  <conditionalFormatting sqref="E133:F133">
    <cfRule type="cellIs" priority="250" operator="lessThan" dxfId="164">
      <formula>1000</formula>
    </cfRule>
  </conditionalFormatting>
  <conditionalFormatting sqref="E134:F134">
    <cfRule type="expression" priority="236" dxfId="315">
      <formula>(C134="LIGHT SELECTION")</formula>
    </cfRule>
  </conditionalFormatting>
  <conditionalFormatting sqref="E148:F148">
    <cfRule type="cellIs" priority="202" operator="lessThan" dxfId="204">
      <formula>1000</formula>
    </cfRule>
  </conditionalFormatting>
  <conditionalFormatting sqref="E150:F150">
    <cfRule type="cellIs" priority="199" operator="lessThan" dxfId="164">
      <formula>1000</formula>
    </cfRule>
  </conditionalFormatting>
  <conditionalFormatting sqref="E151:F151">
    <cfRule type="expression" priority="185" dxfId="315">
      <formula>(C151="LIGHT SELECTION")</formula>
    </cfRule>
  </conditionalFormatting>
  <conditionalFormatting sqref="E165:F165">
    <cfRule type="cellIs" priority="151" operator="lessThan" dxfId="204">
      <formula>1000</formula>
    </cfRule>
  </conditionalFormatting>
  <conditionalFormatting sqref="E167:F167">
    <cfRule type="cellIs" priority="148" operator="lessThan" dxfId="164">
      <formula>1000</formula>
    </cfRule>
  </conditionalFormatting>
  <conditionalFormatting sqref="E168:F168">
    <cfRule type="expression" priority="134" dxfId="315">
      <formula>(C168="LIGHT SELECTION")</formula>
    </cfRule>
  </conditionalFormatting>
  <conditionalFormatting sqref="F12">
    <cfRule type="cellIs" priority="679" operator="greaterThan" dxfId="204">
      <formula>3001</formula>
    </cfRule>
  </conditionalFormatting>
  <conditionalFormatting sqref="F15">
    <cfRule type="expression" priority="668" dxfId="215">
      <formula>(C15="LIGHT SELECTION")</formula>
    </cfRule>
    <cfRule type="expression" priority="670" dxfId="216">
      <formula>(C15="FLO")</formula>
    </cfRule>
    <cfRule type="expression" priority="463" dxfId="214">
      <formula>(C15="LED STRIP")</formula>
    </cfRule>
    <cfRule type="expression" priority="701" dxfId="315">
      <formula>(D49="LIGHT SELECTION")</formula>
    </cfRule>
  </conditionalFormatting>
  <conditionalFormatting sqref="F22:F23">
    <cfRule type="expression" priority="700" dxfId="205">
      <formula>D22="KSA"</formula>
    </cfRule>
    <cfRule type="expression" priority="692" dxfId="206">
      <formula>D22="NF"</formula>
    </cfRule>
    <cfRule type="expression" priority="693" dxfId="208">
      <formula>D22="WW PODS"</formula>
    </cfRule>
    <cfRule type="expression" priority="694" dxfId="206">
      <formula>D22="GRILLE"</formula>
    </cfRule>
    <cfRule type="expression" priority="695" dxfId="206">
      <formula>D22="CENTREX"</formula>
    </cfRule>
    <cfRule type="expression" priority="696" dxfId="206" stopIfTrue="1">
      <formula>D14="canopy type"</formula>
    </cfRule>
    <cfRule type="expression" priority="697" dxfId="207">
      <formula>(((I14*3600)/(C22*I11))^2+20)&gt;300</formula>
    </cfRule>
    <cfRule type="expression" priority="698" dxfId="205" stopIfTrue="1">
      <formula>(ISNUMBER(SEARCH("UV",D14)))</formula>
    </cfRule>
    <cfRule type="expression" priority="699" dxfId="207">
      <formula>(((I14*3600)/(C22*I11))^2+20)&gt;180</formula>
    </cfRule>
  </conditionalFormatting>
  <conditionalFormatting sqref="F24">
    <cfRule type="cellIs" priority="673" operator="lessThan" dxfId="204">
      <formula>2100</formula>
    </cfRule>
  </conditionalFormatting>
  <conditionalFormatting sqref="F29">
    <cfRule type="cellIs" priority="602" operator="greaterThan" dxfId="204">
      <formula>3001</formula>
    </cfRule>
  </conditionalFormatting>
  <conditionalFormatting sqref="F32">
    <cfRule type="expression" priority="462" dxfId="216">
      <formula>(C32="FLO")</formula>
    </cfRule>
    <cfRule type="expression" priority="460" dxfId="215">
      <formula>(C32="LIGHT SELECTION")</formula>
    </cfRule>
    <cfRule type="expression" priority="459" dxfId="214">
      <formula>(C32="LED STRIP")</formula>
    </cfRule>
  </conditionalFormatting>
  <conditionalFormatting sqref="F39:F40">
    <cfRule type="expression" priority="406" dxfId="207">
      <formula>(((I31*3600)/(C39*I28))^2+20)&gt;180</formula>
    </cfRule>
    <cfRule type="expression" priority="407" dxfId="205">
      <formula>D39="KSA"</formula>
    </cfRule>
    <cfRule type="expression" priority="399" dxfId="206">
      <formula>D39="NF"</formula>
    </cfRule>
    <cfRule type="expression" priority="400" dxfId="208">
      <formula>D39="WW PODS"</formula>
    </cfRule>
    <cfRule type="expression" priority="401" dxfId="206">
      <formula>D39="GRILLE"</formula>
    </cfRule>
    <cfRule type="expression" priority="402" dxfId="206">
      <formula>D39="CENTREX"</formula>
    </cfRule>
    <cfRule type="expression" priority="403" dxfId="206" stopIfTrue="1">
      <formula>D31="canopy type"</formula>
    </cfRule>
    <cfRule type="expression" priority="404" dxfId="207">
      <formula>(((I31*3600)/(C39*I28))^2+20)&gt;300</formula>
    </cfRule>
    <cfRule type="expression" priority="405" dxfId="205" stopIfTrue="1">
      <formula>(ISNUMBER(SEARCH("UV",D31)))</formula>
    </cfRule>
  </conditionalFormatting>
  <conditionalFormatting sqref="F41">
    <cfRule type="cellIs" priority="596" operator="lessThan" dxfId="204">
      <formula>2100</formula>
    </cfRule>
  </conditionalFormatting>
  <conditionalFormatting sqref="F46">
    <cfRule type="cellIs" priority="570" operator="greaterThan" dxfId="204">
      <formula>3001</formula>
    </cfRule>
  </conditionalFormatting>
  <conditionalFormatting sqref="F49">
    <cfRule type="expression" priority="702" dxfId="315">
      <formula>(#REF!="LIGHT SELECTION")</formula>
    </cfRule>
    <cfRule type="expression" priority="458" dxfId="216">
      <formula>(C49="FLO")</formula>
    </cfRule>
    <cfRule type="expression" priority="457" dxfId="215">
      <formula>(C49="LIGHT SELECTION")</formula>
    </cfRule>
    <cfRule type="expression" priority="456" dxfId="214">
      <formula>(C49="LED STRIP")</formula>
    </cfRule>
  </conditionalFormatting>
  <conditionalFormatting sqref="F56:F57">
    <cfRule type="expression" priority="379" dxfId="205" stopIfTrue="1">
      <formula>(ISNUMBER(SEARCH("UV",D48)))</formula>
    </cfRule>
    <cfRule type="expression" priority="380" dxfId="207">
      <formula>(((I48*3600)/(C56*I45))^2+20)&gt;180</formula>
    </cfRule>
    <cfRule type="expression" priority="378" dxfId="207">
      <formula>(((I48*3600)/(C56*I45))^2+20)&gt;300</formula>
    </cfRule>
    <cfRule type="expression" priority="377" dxfId="206" stopIfTrue="1">
      <formula>D48="canopy type"</formula>
    </cfRule>
    <cfRule type="expression" priority="376" dxfId="206">
      <formula>D56="CENTREX"</formula>
    </cfRule>
    <cfRule type="expression" priority="375" dxfId="206">
      <formula>D56="GRILLE"</formula>
    </cfRule>
    <cfRule type="expression" priority="374" dxfId="208">
      <formula>D56="WW PODS"</formula>
    </cfRule>
    <cfRule type="expression" priority="373" dxfId="206">
      <formula>D56="NF"</formula>
    </cfRule>
    <cfRule type="expression" priority="381" dxfId="205">
      <formula>D56="KSA"</formula>
    </cfRule>
  </conditionalFormatting>
  <conditionalFormatting sqref="F58">
    <cfRule type="cellIs" priority="564" operator="lessThan" dxfId="204">
      <formula>2100</formula>
    </cfRule>
  </conditionalFormatting>
  <conditionalFormatting sqref="F63">
    <cfRule type="cellIs" priority="543" operator="greaterThan" dxfId="204">
      <formula>3001</formula>
    </cfRule>
  </conditionalFormatting>
  <conditionalFormatting sqref="F66">
    <cfRule type="expression" priority="452" dxfId="214">
      <formula>(C66="LED STRIP")</formula>
    </cfRule>
    <cfRule type="expression" priority="453" dxfId="215">
      <formula>(C66="LIGHT SELECTION")</formula>
    </cfRule>
    <cfRule type="expression" priority="455" dxfId="216">
      <formula>(C66="FLO")</formula>
    </cfRule>
  </conditionalFormatting>
  <conditionalFormatting sqref="F73:F74">
    <cfRule type="expression" priority="358" dxfId="206">
      <formula>D73="NF"</formula>
    </cfRule>
    <cfRule type="expression" priority="359" dxfId="208">
      <formula>D73="WW PODS"</formula>
    </cfRule>
    <cfRule type="expression" priority="360" dxfId="206">
      <formula>D73="GRILLE"</formula>
    </cfRule>
    <cfRule type="expression" priority="361" dxfId="206">
      <formula>D73="CENTREX"</formula>
    </cfRule>
    <cfRule type="expression" priority="362" dxfId="206" stopIfTrue="1">
      <formula>D65="canopy type"</formula>
    </cfRule>
    <cfRule type="expression" priority="363" dxfId="207">
      <formula>(((I65*3600)/(C73*I62))^2+20)&gt;300</formula>
    </cfRule>
    <cfRule type="expression" priority="364" dxfId="205" stopIfTrue="1">
      <formula>(ISNUMBER(SEARCH("UV",D65)))</formula>
    </cfRule>
    <cfRule type="expression" priority="365" dxfId="207">
      <formula>(((I65*3600)/(C73*I62))^2+20)&gt;180</formula>
    </cfRule>
    <cfRule type="expression" priority="366" dxfId="205">
      <formula>D73="KSA"</formula>
    </cfRule>
  </conditionalFormatting>
  <conditionalFormatting sqref="F75">
    <cfRule type="cellIs" priority="537" operator="lessThan" dxfId="204">
      <formula>2100</formula>
    </cfRule>
  </conditionalFormatting>
  <conditionalFormatting sqref="F80">
    <cfRule type="cellIs" priority="515" operator="greaterThan" dxfId="204">
      <formula>3001</formula>
    </cfRule>
  </conditionalFormatting>
  <conditionalFormatting sqref="F83">
    <cfRule type="expression" priority="448" dxfId="214">
      <formula>(C83="LED STRIP")</formula>
    </cfRule>
    <cfRule type="expression" priority="451" dxfId="216">
      <formula>(C83="FLO")</formula>
    </cfRule>
    <cfRule type="expression" priority="449" dxfId="215">
      <formula>(C83="LIGHT SELECTION")</formula>
    </cfRule>
  </conditionalFormatting>
  <conditionalFormatting sqref="F90:F91">
    <cfRule type="expression" priority="343" dxfId="206">
      <formula>D90="NF"</formula>
    </cfRule>
    <cfRule type="expression" priority="344" dxfId="208">
      <formula>D90="WW PODS"</formula>
    </cfRule>
    <cfRule type="expression" priority="345" dxfId="206">
      <formula>D90="GRILLE"</formula>
    </cfRule>
    <cfRule type="expression" priority="346" dxfId="206">
      <formula>D90="CENTREX"</formula>
    </cfRule>
    <cfRule type="expression" priority="347" dxfId="206" stopIfTrue="1">
      <formula>D82="canopy type"</formula>
    </cfRule>
    <cfRule type="expression" priority="348" dxfId="207">
      <formula>(((I82*3600)/(C90*I79))^2+20)&gt;300</formula>
    </cfRule>
    <cfRule type="expression" priority="349" dxfId="205" stopIfTrue="1">
      <formula>(ISNUMBER(SEARCH("UV",D82)))</formula>
    </cfRule>
    <cfRule type="expression" priority="351" dxfId="205">
      <formula>D90="KSA"</formula>
    </cfRule>
    <cfRule type="expression" priority="350" dxfId="207">
      <formula>(((I82*3600)/(C90*I79))^2+20)&gt;180</formula>
    </cfRule>
  </conditionalFormatting>
  <conditionalFormatting sqref="F92">
    <cfRule type="cellIs" priority="509" operator="lessThan" dxfId="204">
      <formula>2100</formula>
    </cfRule>
  </conditionalFormatting>
  <conditionalFormatting sqref="F97">
    <cfRule type="cellIs" priority="486" operator="greaterThan" dxfId="204">
      <formula>3001</formula>
    </cfRule>
  </conditionalFormatting>
  <conditionalFormatting sqref="F100">
    <cfRule type="expression" priority="447" dxfId="216">
      <formula>(C100="FLO")</formula>
    </cfRule>
    <cfRule type="expression" priority="444" dxfId="214">
      <formula>(C100="LED STRIP")</formula>
    </cfRule>
    <cfRule type="expression" priority="445" dxfId="215">
      <formula>(C100="LIGHT SELECTION")</formula>
    </cfRule>
  </conditionalFormatting>
  <conditionalFormatting sqref="F107:F108">
    <cfRule type="expression" priority="329" dxfId="208">
      <formula>D107="WW PODS"</formula>
    </cfRule>
    <cfRule type="expression" priority="330" dxfId="206">
      <formula>D107="GRILLE"</formula>
    </cfRule>
    <cfRule type="expression" priority="334" dxfId="205" stopIfTrue="1">
      <formula>(ISNUMBER(SEARCH("UV",D99)))</formula>
    </cfRule>
    <cfRule type="expression" priority="333" dxfId="207">
      <formula>(((I99*3600)/(C107*I96))^2+20)&gt;300</formula>
    </cfRule>
    <cfRule type="expression" priority="335" dxfId="207">
      <formula>(((I99*3600)/(C107*I96))^2+20)&gt;180</formula>
    </cfRule>
    <cfRule type="expression" priority="332" dxfId="206" stopIfTrue="1">
      <formula>D99="canopy type"</formula>
    </cfRule>
    <cfRule type="expression" priority="331" dxfId="206">
      <formula>D107="CENTREX"</formula>
    </cfRule>
    <cfRule type="expression" priority="336" dxfId="205">
      <formula>D107="KSA"</formula>
    </cfRule>
    <cfRule type="expression" priority="328" dxfId="206">
      <formula>D107="NF"</formula>
    </cfRule>
  </conditionalFormatting>
  <conditionalFormatting sqref="F109">
    <cfRule type="cellIs" priority="480" operator="lessThan" dxfId="204">
      <formula>2100</formula>
    </cfRule>
  </conditionalFormatting>
  <conditionalFormatting sqref="F114">
    <cfRule type="cellIs" priority="309" operator="greaterThan" dxfId="204">
      <formula>3001</formula>
    </cfRule>
  </conditionalFormatting>
  <conditionalFormatting sqref="F117">
    <cfRule type="expression" priority="292" dxfId="216">
      <formula>(C117="FLO")</formula>
    </cfRule>
    <cfRule type="expression" priority="290" dxfId="215">
      <formula>(C117="LIGHT SELECTION")</formula>
    </cfRule>
    <cfRule type="expression" priority="289" dxfId="214">
      <formula>(C117="LED STRIP")</formula>
    </cfRule>
  </conditionalFormatting>
  <conditionalFormatting sqref="F124:F125">
    <cfRule type="expression" priority="279" dxfId="206">
      <formula>D124="GRILLE"</formula>
    </cfRule>
    <cfRule type="expression" priority="278" dxfId="208">
      <formula>D124="WW PODS"</formula>
    </cfRule>
    <cfRule type="expression" priority="277" dxfId="206">
      <formula>D124="NF"</formula>
    </cfRule>
    <cfRule type="expression" priority="281" dxfId="206" stopIfTrue="1">
      <formula>D116="canopy type"</formula>
    </cfRule>
    <cfRule type="expression" priority="282" dxfId="207">
      <formula>(((I116*3600)/(C124*I113))^2+20)&gt;300</formula>
    </cfRule>
    <cfRule type="expression" priority="283" dxfId="205" stopIfTrue="1">
      <formula>(ISNUMBER(SEARCH("UV",D116)))</formula>
    </cfRule>
    <cfRule type="expression" priority="284" dxfId="207">
      <formula>(((I116*3600)/(C124*I113))^2+20)&gt;180</formula>
    </cfRule>
    <cfRule type="expression" priority="285" dxfId="205">
      <formula>D124="KSA"</formula>
    </cfRule>
    <cfRule type="expression" priority="280" dxfId="206">
      <formula>D124="CENTREX"</formula>
    </cfRule>
  </conditionalFormatting>
  <conditionalFormatting sqref="F126">
    <cfRule type="cellIs" priority="303" operator="lessThan" dxfId="204">
      <formula>2100</formula>
    </cfRule>
  </conditionalFormatting>
  <conditionalFormatting sqref="F131">
    <cfRule type="cellIs" priority="254" operator="greaterThan" dxfId="204">
      <formula>3001</formula>
    </cfRule>
  </conditionalFormatting>
  <conditionalFormatting sqref="F134">
    <cfRule type="expression" priority="234" dxfId="214">
      <formula>(C134="LED STRIP")</formula>
    </cfRule>
    <cfRule type="expression" priority="237" dxfId="216">
      <formula>(C134="FLO")</formula>
    </cfRule>
    <cfRule type="expression" priority="235" dxfId="215">
      <formula>(C134="LIGHT SELECTION")</formula>
    </cfRule>
  </conditionalFormatting>
  <conditionalFormatting sqref="F141:F142">
    <cfRule type="expression" priority="223" dxfId="208">
      <formula>D141="WW PODS"</formula>
    </cfRule>
    <cfRule type="expression" priority="224" dxfId="206">
      <formula>D141="GRILLE"</formula>
    </cfRule>
    <cfRule type="expression" priority="225" dxfId="206">
      <formula>D141="CENTREX"</formula>
    </cfRule>
    <cfRule type="expression" priority="222" dxfId="206">
      <formula>D141="NF"</formula>
    </cfRule>
    <cfRule type="expression" priority="226" dxfId="206" stopIfTrue="1">
      <formula>D133="canopy type"</formula>
    </cfRule>
    <cfRule type="expression" priority="227" dxfId="207">
      <formula>(((I133*3600)/(C141*I130))^2+20)&gt;300</formula>
    </cfRule>
    <cfRule type="expression" priority="228" dxfId="205" stopIfTrue="1">
      <formula>(ISNUMBER(SEARCH("UV",D133)))</formula>
    </cfRule>
    <cfRule type="expression" priority="229" dxfId="207">
      <formula>(((I133*3600)/(C141*I130))^2+20)&gt;180</formula>
    </cfRule>
    <cfRule type="expression" priority="230" dxfId="205">
      <formula>D141="KSA"</formula>
    </cfRule>
  </conditionalFormatting>
  <conditionalFormatting sqref="F143">
    <cfRule type="cellIs" priority="248" operator="lessThan" dxfId="204">
      <formula>2100</formula>
    </cfRule>
  </conditionalFormatting>
  <conditionalFormatting sqref="F148">
    <cfRule type="cellIs" priority="203" operator="greaterThan" dxfId="204">
      <formula>3001</formula>
    </cfRule>
  </conditionalFormatting>
  <conditionalFormatting sqref="F151">
    <cfRule type="expression" priority="183" dxfId="214">
      <formula>(C151="LED STRIP")</formula>
    </cfRule>
    <cfRule type="expression" priority="184" dxfId="215">
      <formula>(C151="LIGHT SELECTION")</formula>
    </cfRule>
    <cfRule type="expression" priority="186" dxfId="216">
      <formula>(C151="FLO")</formula>
    </cfRule>
  </conditionalFormatting>
  <conditionalFormatting sqref="F158:F159">
    <cfRule type="expression" priority="178" dxfId="207">
      <formula>(((I150*3600)/(C158*I147))^2+20)&gt;180</formula>
    </cfRule>
    <cfRule type="expression" priority="171" dxfId="206">
      <formula>D158="NF"</formula>
    </cfRule>
    <cfRule type="expression" priority="172" dxfId="208">
      <formula>D158="WW PODS"</formula>
    </cfRule>
    <cfRule type="expression" priority="173" dxfId="206">
      <formula>D158="GRILLE"</formula>
    </cfRule>
    <cfRule type="expression" priority="174" dxfId="206">
      <formula>D158="CENTREX"</formula>
    </cfRule>
    <cfRule type="expression" priority="175" dxfId="206" stopIfTrue="1">
      <formula>D150="canopy type"</formula>
    </cfRule>
    <cfRule type="expression" priority="176" dxfId="207">
      <formula>(((I150*3600)/(C158*I147))^2+20)&gt;300</formula>
    </cfRule>
    <cfRule type="expression" priority="179" dxfId="205">
      <formula>D158="KSA"</formula>
    </cfRule>
    <cfRule type="expression" priority="177" dxfId="205" stopIfTrue="1">
      <formula>(ISNUMBER(SEARCH("UV",D150)))</formula>
    </cfRule>
  </conditionalFormatting>
  <conditionalFormatting sqref="F160">
    <cfRule type="cellIs" priority="197" operator="lessThan" dxfId="204">
      <formula>2100</formula>
    </cfRule>
  </conditionalFormatting>
  <conditionalFormatting sqref="F165">
    <cfRule type="cellIs" priority="152" operator="greaterThan" dxfId="204">
      <formula>3001</formula>
    </cfRule>
  </conditionalFormatting>
  <conditionalFormatting sqref="F168">
    <cfRule type="expression" priority="135" dxfId="216">
      <formula>(C168="FLO")</formula>
    </cfRule>
    <cfRule type="expression" priority="133" dxfId="215">
      <formula>(C168="LIGHT SELECTION")</formula>
    </cfRule>
    <cfRule type="expression" priority="132" dxfId="214">
      <formula>(C168="LED STRIP")</formula>
    </cfRule>
  </conditionalFormatting>
  <conditionalFormatting sqref="F175:F176">
    <cfRule type="expression" priority="126" dxfId="205" stopIfTrue="1">
      <formula>(ISNUMBER(SEARCH("UV",D167)))</formula>
    </cfRule>
    <cfRule type="expression" priority="125" dxfId="207">
      <formula>(((I167*3600)/(C175*I164))^2+20)&gt;300</formula>
    </cfRule>
    <cfRule type="expression" priority="124" dxfId="206" stopIfTrue="1">
      <formula>D167="canopy type"</formula>
    </cfRule>
    <cfRule type="expression" priority="123" dxfId="206">
      <formula>D175="CENTREX"</formula>
    </cfRule>
    <cfRule type="expression" priority="122" dxfId="206">
      <formula>D175="GRILLE"</formula>
    </cfRule>
    <cfRule type="expression" priority="121" dxfId="208">
      <formula>D175="WW PODS"</formula>
    </cfRule>
    <cfRule type="expression" priority="127" dxfId="207">
      <formula>(((I167*3600)/(C175*I164))^2+20)&gt;180</formula>
    </cfRule>
    <cfRule type="expression" priority="120" dxfId="206">
      <formula>D175="NF"</formula>
    </cfRule>
    <cfRule type="expression" priority="128" dxfId="205">
      <formula>D175="KSA"</formula>
    </cfRule>
  </conditionalFormatting>
  <conditionalFormatting sqref="F177">
    <cfRule type="cellIs" priority="146" operator="lessThan" dxfId="204">
      <formula>2100</formula>
    </cfRule>
  </conditionalFormatting>
  <conditionalFormatting sqref="G11">
    <cfRule type="expression" priority="681" dxfId="176">
      <formula>((F14-50)/H14)&lt;950</formula>
    </cfRule>
  </conditionalFormatting>
  <conditionalFormatting sqref="G12">
    <cfRule type="expression" priority="680" dxfId="175">
      <formula>((F14-50)/H14)&lt;950</formula>
    </cfRule>
  </conditionalFormatting>
  <conditionalFormatting sqref="G14">
    <cfRule type="cellIs" priority="676" operator="lessThan" dxfId="164">
      <formula>400</formula>
    </cfRule>
  </conditionalFormatting>
  <conditionalFormatting sqref="G28">
    <cfRule type="expression" priority="625" dxfId="176">
      <formula>((F31-50)/H31)&lt;950</formula>
    </cfRule>
  </conditionalFormatting>
  <conditionalFormatting sqref="G29">
    <cfRule type="expression" priority="603" dxfId="175">
      <formula>((F31-50)/H31)&lt;950</formula>
    </cfRule>
  </conditionalFormatting>
  <conditionalFormatting sqref="G31">
    <cfRule type="cellIs" priority="599" operator="lessThan" dxfId="164">
      <formula>400</formula>
    </cfRule>
  </conditionalFormatting>
  <conditionalFormatting sqref="G45">
    <cfRule type="expression" priority="641" dxfId="176">
      <formula>((F48-50)/H48)&lt;950</formula>
    </cfRule>
  </conditionalFormatting>
  <conditionalFormatting sqref="G46">
    <cfRule type="expression" priority="571" dxfId="175">
      <formula>((F48-50)/H48)&lt;950</formula>
    </cfRule>
  </conditionalFormatting>
  <conditionalFormatting sqref="G48">
    <cfRule type="cellIs" priority="567" operator="lessThan" dxfId="164">
      <formula>400</formula>
    </cfRule>
  </conditionalFormatting>
  <conditionalFormatting sqref="G62">
    <cfRule type="expression" priority="642" dxfId="176">
      <formula>((F65-50)/H65)&lt;950</formula>
    </cfRule>
  </conditionalFormatting>
  <conditionalFormatting sqref="G63">
    <cfRule type="expression" priority="544" dxfId="175">
      <formula>((F65-50)/H65)&lt;950</formula>
    </cfRule>
  </conditionalFormatting>
  <conditionalFormatting sqref="G65">
    <cfRule type="cellIs" priority="540" operator="lessThan" dxfId="164">
      <formula>400</formula>
    </cfRule>
  </conditionalFormatting>
  <conditionalFormatting sqref="G79">
    <cfRule type="expression" priority="643" dxfId="176">
      <formula>((F82-50)/H82)&lt;950</formula>
    </cfRule>
  </conditionalFormatting>
  <conditionalFormatting sqref="G80">
    <cfRule type="expression" priority="516" dxfId="175">
      <formula>((F82-50)/H82)&lt;950</formula>
    </cfRule>
  </conditionalFormatting>
  <conditionalFormatting sqref="G82">
    <cfRule type="cellIs" priority="512" operator="lessThan" dxfId="164">
      <formula>400</formula>
    </cfRule>
  </conditionalFormatting>
  <conditionalFormatting sqref="G96">
    <cfRule type="expression" priority="653" dxfId="176">
      <formula>((F99-50)/H99)&lt;950</formula>
    </cfRule>
  </conditionalFormatting>
  <conditionalFormatting sqref="G97">
    <cfRule type="expression" priority="487" dxfId="175">
      <formula>((F99-50)/H99)&lt;950</formula>
    </cfRule>
  </conditionalFormatting>
  <conditionalFormatting sqref="G99">
    <cfRule type="cellIs" priority="483" operator="lessThan" dxfId="164">
      <formula>400</formula>
    </cfRule>
  </conditionalFormatting>
  <conditionalFormatting sqref="G113">
    <cfRule type="expression" priority="321" dxfId="176">
      <formula>((F116-50)/H116)&lt;950</formula>
    </cfRule>
  </conditionalFormatting>
  <conditionalFormatting sqref="G114">
    <cfRule type="expression" priority="310" dxfId="175">
      <formula>((F116-50)/H116)&lt;950</formula>
    </cfRule>
  </conditionalFormatting>
  <conditionalFormatting sqref="G116">
    <cfRule type="cellIs" priority="306" operator="lessThan" dxfId="164">
      <formula>400</formula>
    </cfRule>
  </conditionalFormatting>
  <conditionalFormatting sqref="G130">
    <cfRule type="expression" priority="266" dxfId="176">
      <formula>((F133-50)/H133)&lt;950</formula>
    </cfRule>
  </conditionalFormatting>
  <conditionalFormatting sqref="G131">
    <cfRule type="expression" priority="255" dxfId="175">
      <formula>((F133-50)/H133)&lt;950</formula>
    </cfRule>
  </conditionalFormatting>
  <conditionalFormatting sqref="G133">
    <cfRule type="cellIs" priority="251" operator="lessThan" dxfId="164">
      <formula>400</formula>
    </cfRule>
  </conditionalFormatting>
  <conditionalFormatting sqref="G147">
    <cfRule type="expression" priority="215" dxfId="176">
      <formula>((F150-50)/H150)&lt;950</formula>
    </cfRule>
  </conditionalFormatting>
  <conditionalFormatting sqref="G148">
    <cfRule type="expression" priority="204" dxfId="175">
      <formula>((F150-50)/H150)&lt;950</formula>
    </cfRule>
  </conditionalFormatting>
  <conditionalFormatting sqref="G150">
    <cfRule type="cellIs" priority="200" operator="lessThan" dxfId="164">
      <formula>400</formula>
    </cfRule>
  </conditionalFormatting>
  <conditionalFormatting sqref="G164">
    <cfRule type="expression" priority="164" dxfId="176">
      <formula>((F167-50)/H167)&lt;950</formula>
    </cfRule>
  </conditionalFormatting>
  <conditionalFormatting sqref="G165">
    <cfRule type="expression" priority="153" dxfId="175">
      <formula>((F167-50)/H167)&lt;950</formula>
    </cfRule>
  </conditionalFormatting>
  <conditionalFormatting sqref="G167">
    <cfRule type="cellIs" priority="149" operator="lessThan" dxfId="164">
      <formula>400</formula>
    </cfRule>
  </conditionalFormatting>
  <conditionalFormatting sqref="I14">
    <cfRule type="cellIs" priority="677" operator="lessThan" dxfId="164">
      <formula>0.1</formula>
    </cfRule>
  </conditionalFormatting>
  <conditionalFormatting sqref="I31">
    <cfRule type="cellIs" priority="600" operator="lessThan" dxfId="164">
      <formula>0.1</formula>
    </cfRule>
  </conditionalFormatting>
  <conditionalFormatting sqref="I48">
    <cfRule type="cellIs" priority="568" operator="lessThan" dxfId="164">
      <formula>0.1</formula>
    </cfRule>
  </conditionalFormatting>
  <conditionalFormatting sqref="I65">
    <cfRule type="cellIs" priority="541" operator="lessThan" dxfId="164">
      <formula>0.1</formula>
    </cfRule>
  </conditionalFormatting>
  <conditionalFormatting sqref="I82">
    <cfRule type="cellIs" priority="513" operator="lessThan" dxfId="164">
      <formula>0.1</formula>
    </cfRule>
  </conditionalFormatting>
  <conditionalFormatting sqref="I99">
    <cfRule type="cellIs" priority="484" operator="lessThan" dxfId="164">
      <formula>0.1</formula>
    </cfRule>
  </conditionalFormatting>
  <conditionalFormatting sqref="I116">
    <cfRule type="cellIs" priority="307" operator="lessThan" dxfId="164">
      <formula>0.1</formula>
    </cfRule>
  </conditionalFormatting>
  <conditionalFormatting sqref="I133">
    <cfRule type="cellIs" priority="252" operator="lessThan" dxfId="164">
      <formula>0.1</formula>
    </cfRule>
  </conditionalFormatting>
  <conditionalFormatting sqref="I150">
    <cfRule type="cellIs" priority="201" operator="lessThan" dxfId="164">
      <formula>0.1</formula>
    </cfRule>
  </conditionalFormatting>
  <conditionalFormatting sqref="I167">
    <cfRule type="cellIs" priority="150" operator="lessThan" dxfId="164">
      <formula>0.1</formula>
    </cfRule>
  </conditionalFormatting>
  <conditionalFormatting sqref="J14:J27">
    <cfRule type="cellIs" priority="410" operator="greaterThan" dxfId="153">
      <formula>0</formula>
    </cfRule>
  </conditionalFormatting>
  <conditionalFormatting sqref="J31:J44">
    <cfRule type="cellIs" priority="383" operator="greaterThan" dxfId="153">
      <formula>0</formula>
    </cfRule>
  </conditionalFormatting>
  <conditionalFormatting sqref="J48:J61">
    <cfRule type="cellIs" priority="99" operator="greaterThan" dxfId="153">
      <formula>0</formula>
    </cfRule>
  </conditionalFormatting>
  <conditionalFormatting sqref="J65:J78">
    <cfRule type="cellIs" priority="85" operator="greaterThan" dxfId="153">
      <formula>0</formula>
    </cfRule>
  </conditionalFormatting>
  <conditionalFormatting sqref="J82:J95">
    <cfRule type="cellIs" priority="71" operator="greaterThan" dxfId="153">
      <formula>0</formula>
    </cfRule>
  </conditionalFormatting>
  <conditionalFormatting sqref="J99:J112">
    <cfRule type="cellIs" priority="57" operator="greaterThan" dxfId="153">
      <formula>0</formula>
    </cfRule>
  </conditionalFormatting>
  <conditionalFormatting sqref="J116:J129">
    <cfRule type="cellIs" priority="43" operator="greaterThan" dxfId="153">
      <formula>0</formula>
    </cfRule>
  </conditionalFormatting>
  <conditionalFormatting sqref="J133:J146">
    <cfRule type="cellIs" priority="29" operator="greaterThan" dxfId="153">
      <formula>0</formula>
    </cfRule>
  </conditionalFormatting>
  <conditionalFormatting sqref="J150:J163">
    <cfRule type="cellIs" priority="15" operator="greaterThan" dxfId="153">
      <formula>0</formula>
    </cfRule>
  </conditionalFormatting>
  <conditionalFormatting sqref="J167:J180">
    <cfRule type="cellIs" priority="1" operator="greaterThan" dxfId="153">
      <formula>0</formula>
    </cfRule>
  </conditionalFormatting>
  <conditionalFormatting sqref="J183:J197">
    <cfRule type="expression" priority="267" dxfId="153">
      <formula>C183&gt;0</formula>
    </cfRule>
  </conditionalFormatting>
  <conditionalFormatting sqref="J199">
    <cfRule type="expression" priority="658" dxfId="2">
      <formula>#REF!="EURO"</formula>
    </cfRule>
  </conditionalFormatting>
  <conditionalFormatting sqref="K14:K27">
    <cfRule type="cellIs" priority="424" operator="greaterThan" dxfId="141">
      <formula>0</formula>
    </cfRule>
  </conditionalFormatting>
  <conditionalFormatting sqref="K31:K44">
    <cfRule type="cellIs" priority="386" operator="greaterThan" dxfId="141">
      <formula>0</formula>
    </cfRule>
  </conditionalFormatting>
  <conditionalFormatting sqref="K48:K61">
    <cfRule type="cellIs" priority="102" operator="greaterThan" dxfId="141">
      <formula>0</formula>
    </cfRule>
  </conditionalFormatting>
  <conditionalFormatting sqref="K65:K78">
    <cfRule type="cellIs" priority="88" operator="greaterThan" dxfId="141">
      <formula>0</formula>
    </cfRule>
  </conditionalFormatting>
  <conditionalFormatting sqref="K82:K95">
    <cfRule type="cellIs" priority="74" operator="greaterThan" dxfId="141">
      <formula>0</formula>
    </cfRule>
  </conditionalFormatting>
  <conditionalFormatting sqref="K99:K112">
    <cfRule type="cellIs" priority="60" operator="greaterThan" dxfId="141">
      <formula>0</formula>
    </cfRule>
  </conditionalFormatting>
  <conditionalFormatting sqref="K116:K129">
    <cfRule type="cellIs" priority="46" operator="greaterThan" dxfId="141">
      <formula>0</formula>
    </cfRule>
  </conditionalFormatting>
  <conditionalFormatting sqref="K133:K146">
    <cfRule type="cellIs" priority="32" operator="greaterThan" dxfId="141">
      <formula>0</formula>
    </cfRule>
  </conditionalFormatting>
  <conditionalFormatting sqref="K150:K163">
    <cfRule type="cellIs" priority="18" operator="greaterThan" dxfId="141">
      <formula>0</formula>
    </cfRule>
  </conditionalFormatting>
  <conditionalFormatting sqref="K167:K180">
    <cfRule type="cellIs" priority="4" operator="greaterThan" dxfId="141">
      <formula>0</formula>
    </cfRule>
  </conditionalFormatting>
  <conditionalFormatting sqref="K183:K197">
    <cfRule type="cellIs" priority="268" operator="greaterThan" dxfId="141">
      <formula>0</formula>
    </cfRule>
  </conditionalFormatting>
  <conditionalFormatting sqref="K199">
    <cfRule type="expression" priority="657" dxfId="2">
      <formula>$B$9="EURO"</formula>
    </cfRule>
    <cfRule type="expression" priority="656" dxfId="3">
      <formula>$B$9="USD"</formula>
    </cfRule>
    <cfRule type="expression" priority="655" dxfId="0">
      <formula>$B$9="CZK"</formula>
    </cfRule>
    <cfRule type="expression" priority="654" dxfId="4">
      <formula>$B$9="PLN"</formula>
    </cfRule>
  </conditionalFormatting>
  <conditionalFormatting sqref="L14:L27">
    <cfRule type="expression" priority="421" dxfId="116">
      <formula>$C$9&lt;0</formula>
    </cfRule>
    <cfRule type="expression" priority="422" dxfId="115">
      <formula>$C$9&gt;0</formula>
    </cfRule>
  </conditionalFormatting>
  <conditionalFormatting sqref="L31:L44">
    <cfRule type="expression" priority="385" dxfId="115">
      <formula>$C$9&gt;0</formula>
    </cfRule>
    <cfRule type="expression" priority="384" dxfId="116">
      <formula>$C$9&lt;0</formula>
    </cfRule>
  </conditionalFormatting>
  <conditionalFormatting sqref="L48:L61">
    <cfRule type="expression" priority="100" dxfId="116">
      <formula>$C$9&lt;0</formula>
    </cfRule>
    <cfRule type="expression" priority="101" dxfId="115">
      <formula>$C$9&gt;0</formula>
    </cfRule>
  </conditionalFormatting>
  <conditionalFormatting sqref="L65:L78">
    <cfRule type="expression" priority="86" dxfId="116">
      <formula>$C$9&lt;0</formula>
    </cfRule>
    <cfRule type="expression" priority="87" dxfId="115">
      <formula>$C$9&gt;0</formula>
    </cfRule>
  </conditionalFormatting>
  <conditionalFormatting sqref="L82:L95">
    <cfRule type="expression" priority="72" dxfId="116">
      <formula>$C$9&lt;0</formula>
    </cfRule>
    <cfRule type="expression" priority="73" dxfId="115">
      <formula>$C$9&gt;0</formula>
    </cfRule>
  </conditionalFormatting>
  <conditionalFormatting sqref="L99:L112">
    <cfRule type="expression" priority="58" dxfId="116">
      <formula>$C$9&lt;0</formula>
    </cfRule>
    <cfRule type="expression" priority="59" dxfId="115">
      <formula>$C$9&gt;0</formula>
    </cfRule>
  </conditionalFormatting>
  <conditionalFormatting sqref="L116:L129">
    <cfRule type="expression" priority="44" dxfId="116">
      <formula>$C$9&lt;0</formula>
    </cfRule>
    <cfRule type="expression" priority="45" dxfId="115">
      <formula>$C$9&gt;0</formula>
    </cfRule>
  </conditionalFormatting>
  <conditionalFormatting sqref="L133:L146">
    <cfRule type="expression" priority="31" dxfId="115">
      <formula>$C$9&gt;0</formula>
    </cfRule>
    <cfRule type="expression" priority="30" dxfId="116">
      <formula>$C$9&lt;0</formula>
    </cfRule>
  </conditionalFormatting>
  <conditionalFormatting sqref="L150:L163">
    <cfRule type="expression" priority="17" dxfId="115">
      <formula>$C$9&gt;0</formula>
    </cfRule>
    <cfRule type="expression" priority="16" dxfId="116">
      <formula>$C$9&lt;0</formula>
    </cfRule>
  </conditionalFormatting>
  <conditionalFormatting sqref="L167:L180">
    <cfRule type="expression" priority="3" dxfId="115">
      <formula>$C$9&gt;0</formula>
    </cfRule>
    <cfRule type="expression" priority="2" dxfId="116">
      <formula>$C$9&lt;0</formula>
    </cfRule>
  </conditionalFormatting>
  <conditionalFormatting sqref="L183:L197">
    <cfRule type="expression" priority="644" dxfId="116">
      <formula>$C$9&lt;0</formula>
    </cfRule>
    <cfRule type="expression" priority="645" dxfId="115">
      <formula>$C$9&gt;0</formula>
    </cfRule>
  </conditionalFormatting>
  <conditionalFormatting sqref="N9 N12">
    <cfRule type="expression" priority="688" dxfId="4">
      <formula>$B$9="PLN"</formula>
    </cfRule>
    <cfRule type="expression" priority="689" dxfId="0">
      <formula>$B$9="CZK"</formula>
    </cfRule>
    <cfRule type="expression" priority="690" dxfId="3">
      <formula>$B$9="USD"</formula>
    </cfRule>
    <cfRule type="expression" priority="691" dxfId="2">
      <formula>$B$9="EURO"</formula>
    </cfRule>
  </conditionalFormatting>
  <conditionalFormatting sqref="N14:N27">
    <cfRule type="expression" priority="630" dxfId="3">
      <formula>$B$9="USD"</formula>
    </cfRule>
    <cfRule type="expression" priority="629" dxfId="2">
      <formula>$B$9="EURO"</formula>
    </cfRule>
    <cfRule type="cellIs" priority="628" operator="greaterThan" dxfId="1">
      <formula>0</formula>
    </cfRule>
    <cfRule type="expression" priority="632" dxfId="0">
      <formula>$B$9="CZK"</formula>
    </cfRule>
    <cfRule type="expression" priority="631" dxfId="4">
      <formula>$B$9="PLN"</formula>
    </cfRule>
  </conditionalFormatting>
  <conditionalFormatting sqref="N29">
    <cfRule type="expression" priority="609" dxfId="4">
      <formula>$B$9="PLN"</formula>
    </cfRule>
    <cfRule type="expression" priority="612" dxfId="2">
      <formula>$B$9="EURO"</formula>
    </cfRule>
    <cfRule type="expression" priority="611" dxfId="3">
      <formula>$B$9="USD"</formula>
    </cfRule>
    <cfRule type="expression" priority="610" dxfId="0">
      <formula>$B$9="CZK"</formula>
    </cfRule>
  </conditionalFormatting>
  <conditionalFormatting sqref="N31:N44">
    <cfRule type="cellIs" priority="389" operator="greaterThan" dxfId="1">
      <formula>0</formula>
    </cfRule>
    <cfRule type="expression" priority="390" dxfId="2">
      <formula>$B$9="EURO"</formula>
    </cfRule>
    <cfRule type="expression" priority="391" dxfId="3">
      <formula>$B$9="USD"</formula>
    </cfRule>
    <cfRule type="expression" priority="392" dxfId="4">
      <formula>$B$9="PLN"</formula>
    </cfRule>
    <cfRule type="expression" priority="393" dxfId="0">
      <formula>$B$9="CZK"</formula>
    </cfRule>
  </conditionalFormatting>
  <conditionalFormatting sqref="N46">
    <cfRule type="expression" priority="577" dxfId="4">
      <formula>$B$9="PLN"</formula>
    </cfRule>
    <cfRule type="expression" priority="579" dxfId="3">
      <formula>$B$9="USD"</formula>
    </cfRule>
    <cfRule type="expression" priority="580" dxfId="2">
      <formula>$B$9="EURO"</formula>
    </cfRule>
    <cfRule type="expression" priority="578" dxfId="0">
      <formula>$B$9="CZK"</formula>
    </cfRule>
  </conditionalFormatting>
  <conditionalFormatting sqref="N48:N61">
    <cfRule type="expression" priority="105" dxfId="2">
      <formula>$B$9="EURO"</formula>
    </cfRule>
    <cfRule type="cellIs" priority="104" operator="greaterThan" dxfId="1">
      <formula>0</formula>
    </cfRule>
    <cfRule type="expression" priority="108" dxfId="0">
      <formula>$B$9="CZK"</formula>
    </cfRule>
    <cfRule type="expression" priority="107" dxfId="4">
      <formula>$B$9="PLN"</formula>
    </cfRule>
    <cfRule type="expression" priority="106" dxfId="3">
      <formula>$B$9="USD"</formula>
    </cfRule>
  </conditionalFormatting>
  <conditionalFormatting sqref="N63">
    <cfRule type="expression" priority="550" dxfId="4">
      <formula>$B$9="PLN"</formula>
    </cfRule>
    <cfRule type="expression" priority="551" dxfId="0">
      <formula>$B$9="CZK"</formula>
    </cfRule>
    <cfRule type="expression" priority="552" dxfId="3">
      <formula>$B$9="USD"</formula>
    </cfRule>
    <cfRule type="expression" priority="553" dxfId="2">
      <formula>$B$9="EURO"</formula>
    </cfRule>
  </conditionalFormatting>
  <conditionalFormatting sqref="N65:N78">
    <cfRule type="expression" priority="93" dxfId="4">
      <formula>$B$9="PLN"</formula>
    </cfRule>
    <cfRule type="expression" priority="94" dxfId="0">
      <formula>$B$9="CZK"</formula>
    </cfRule>
    <cfRule type="expression" priority="92" dxfId="3">
      <formula>$B$9="USD"</formula>
    </cfRule>
    <cfRule type="expression" priority="91" dxfId="2">
      <formula>$B$9="EURO"</formula>
    </cfRule>
    <cfRule type="cellIs" priority="90" operator="greaterThan" dxfId="1">
      <formula>0</formula>
    </cfRule>
  </conditionalFormatting>
  <conditionalFormatting sqref="N80">
    <cfRule type="expression" priority="523" dxfId="0">
      <formula>$B$9="CZK"</formula>
    </cfRule>
    <cfRule type="expression" priority="524" dxfId="3">
      <formula>$B$9="USD"</formula>
    </cfRule>
    <cfRule type="expression" priority="522" dxfId="4">
      <formula>$B$9="PLN"</formula>
    </cfRule>
    <cfRule type="expression" priority="525" dxfId="2">
      <formula>$B$9="EURO"</formula>
    </cfRule>
  </conditionalFormatting>
  <conditionalFormatting sqref="N82:N95">
    <cfRule type="expression" priority="79" dxfId="4">
      <formula>$B$9="PLN"</formula>
    </cfRule>
    <cfRule type="expression" priority="78" dxfId="3">
      <formula>$B$9="USD"</formula>
    </cfRule>
    <cfRule type="expression" priority="80" dxfId="0">
      <formula>$B$9="CZK"</formula>
    </cfRule>
    <cfRule type="cellIs" priority="76" operator="greaterThan" dxfId="1">
      <formula>0</formula>
    </cfRule>
    <cfRule type="expression" priority="77" dxfId="2">
      <formula>$B$9="EURO"</formula>
    </cfRule>
  </conditionalFormatting>
  <conditionalFormatting sqref="N97">
    <cfRule type="expression" priority="494" dxfId="0">
      <formula>$B$9="CZK"</formula>
    </cfRule>
    <cfRule type="expression" priority="493" dxfId="4">
      <formula>$B$9="PLN"</formula>
    </cfRule>
    <cfRule type="expression" priority="496" dxfId="2">
      <formula>$B$9="EURO"</formula>
    </cfRule>
    <cfRule type="expression" priority="495" dxfId="3">
      <formula>$B$9="USD"</formula>
    </cfRule>
  </conditionalFormatting>
  <conditionalFormatting sqref="N99:N112">
    <cfRule type="cellIs" priority="62" operator="greaterThan" dxfId="1">
      <formula>0</formula>
    </cfRule>
    <cfRule type="expression" priority="63" dxfId="2">
      <formula>$B$9="EURO"</formula>
    </cfRule>
    <cfRule type="expression" priority="64" dxfId="3">
      <formula>$B$9="USD"</formula>
    </cfRule>
    <cfRule type="expression" priority="65" dxfId="4">
      <formula>$B$9="PLN"</formula>
    </cfRule>
    <cfRule type="expression" priority="66" dxfId="0">
      <formula>$B$9="CZK"</formula>
    </cfRule>
  </conditionalFormatting>
  <conditionalFormatting sqref="N114">
    <cfRule type="expression" priority="317" dxfId="0">
      <formula>$B$9="CZK"</formula>
    </cfRule>
    <cfRule type="expression" priority="318" dxfId="3">
      <formula>$B$9="USD"</formula>
    </cfRule>
    <cfRule type="expression" priority="319" dxfId="2">
      <formula>$B$9="EURO"</formula>
    </cfRule>
    <cfRule type="expression" priority="316" dxfId="4">
      <formula>$B$9="PLN"</formula>
    </cfRule>
  </conditionalFormatting>
  <conditionalFormatting sqref="N116:N129">
    <cfRule type="cellIs" priority="48" operator="greaterThan" dxfId="1">
      <formula>0</formula>
    </cfRule>
    <cfRule type="expression" priority="52" dxfId="0">
      <formula>$B$9="CZK"</formula>
    </cfRule>
    <cfRule type="expression" priority="51" dxfId="4">
      <formula>$B$9="PLN"</formula>
    </cfRule>
    <cfRule type="expression" priority="50" dxfId="3">
      <formula>$B$9="USD"</formula>
    </cfRule>
    <cfRule type="expression" priority="49" dxfId="2">
      <formula>$B$9="EURO"</formula>
    </cfRule>
  </conditionalFormatting>
  <conditionalFormatting sqref="N131">
    <cfRule type="expression" priority="261" dxfId="4">
      <formula>$B$9="PLN"</formula>
    </cfRule>
    <cfRule type="expression" priority="262" dxfId="0">
      <formula>$B$9="CZK"</formula>
    </cfRule>
    <cfRule type="expression" priority="263" dxfId="3">
      <formula>$B$9="USD"</formula>
    </cfRule>
    <cfRule type="expression" priority="264" dxfId="2">
      <formula>$B$9="EURO"</formula>
    </cfRule>
  </conditionalFormatting>
  <conditionalFormatting sqref="N133:N146">
    <cfRule type="expression" priority="37" dxfId="4">
      <formula>$B$9="PLN"</formula>
    </cfRule>
    <cfRule type="expression" priority="36" dxfId="3">
      <formula>$B$9="USD"</formula>
    </cfRule>
    <cfRule type="expression" priority="38" dxfId="0">
      <formula>$B$9="CZK"</formula>
    </cfRule>
    <cfRule type="expression" priority="35" dxfId="2">
      <formula>$B$9="EURO"</formula>
    </cfRule>
    <cfRule type="cellIs" priority="34" operator="greaterThan" dxfId="1">
      <formula>0</formula>
    </cfRule>
  </conditionalFormatting>
  <conditionalFormatting sqref="N148">
    <cfRule type="expression" priority="213" dxfId="2">
      <formula>$B$9="EURO"</formula>
    </cfRule>
    <cfRule type="expression" priority="211" dxfId="0">
      <formula>$B$9="CZK"</formula>
    </cfRule>
    <cfRule type="expression" priority="210" dxfId="4">
      <formula>$B$9="PLN"</formula>
    </cfRule>
    <cfRule type="expression" priority="212" dxfId="3">
      <formula>$B$9="USD"</formula>
    </cfRule>
  </conditionalFormatting>
  <conditionalFormatting sqref="N150:N163">
    <cfRule type="expression" priority="22" dxfId="3">
      <formula>$B$9="USD"</formula>
    </cfRule>
    <cfRule type="cellIs" priority="20" operator="greaterThan" dxfId="1">
      <formula>0</formula>
    </cfRule>
    <cfRule type="expression" priority="21" dxfId="2">
      <formula>$B$9="EURO"</formula>
    </cfRule>
    <cfRule type="expression" priority="24" dxfId="0">
      <formula>$B$9="CZK"</formula>
    </cfRule>
    <cfRule type="expression" priority="23" dxfId="4">
      <formula>$B$9="PLN"</formula>
    </cfRule>
  </conditionalFormatting>
  <conditionalFormatting sqref="N165">
    <cfRule type="expression" priority="161" dxfId="3">
      <formula>$B$9="USD"</formula>
    </cfRule>
    <cfRule type="expression" priority="160" dxfId="0">
      <formula>$B$9="CZK"</formula>
    </cfRule>
    <cfRule type="expression" priority="162" dxfId="2">
      <formula>$B$9="EURO"</formula>
    </cfRule>
    <cfRule type="expression" priority="159" dxfId="4">
      <formula>$B$9="PLN"</formula>
    </cfRule>
  </conditionalFormatting>
  <conditionalFormatting sqref="N167:N180">
    <cfRule type="expression" priority="10" dxfId="0">
      <formula>$B$9="CZK"</formula>
    </cfRule>
    <cfRule type="expression" priority="7" dxfId="2">
      <formula>$B$9="EURO"</formula>
    </cfRule>
    <cfRule type="cellIs" priority="6" operator="greaterThan" dxfId="1">
      <formula>0</formula>
    </cfRule>
    <cfRule type="expression" priority="8" dxfId="3">
      <formula>$B$9="USD"</formula>
    </cfRule>
    <cfRule type="expression" priority="9" dxfId="4">
      <formula>$B$9="PLN"</formula>
    </cfRule>
  </conditionalFormatting>
  <conditionalFormatting sqref="N183:N197">
    <cfRule type="expression" priority="640" dxfId="0">
      <formula>$B$9="CZK"</formula>
    </cfRule>
    <cfRule type="expression" priority="639" dxfId="4">
      <formula>$B$9="PLN"</formula>
    </cfRule>
    <cfRule type="expression" priority="638" dxfId="3">
      <formula>$B$9="USD"</formula>
    </cfRule>
    <cfRule type="expression" priority="637" dxfId="2">
      <formula>$B$9="EURO"</formula>
    </cfRule>
    <cfRule type="cellIs" priority="636" operator="greaterThan" dxfId="1">
      <formula>0</formula>
    </cfRule>
  </conditionalFormatting>
  <conditionalFormatting sqref="N182:O182">
    <cfRule type="expression" priority="647" dxfId="0">
      <formula>$B$9="CZK"</formula>
    </cfRule>
    <cfRule type="expression" priority="646" dxfId="4">
      <formula>$B$9="PLN"</formula>
    </cfRule>
    <cfRule type="expression" priority="649" dxfId="2">
      <formula>$B$9="EURO"</formula>
    </cfRule>
    <cfRule type="expression" priority="648" dxfId="3">
      <formula>$B$9="USD"</formula>
    </cfRule>
  </conditionalFormatting>
  <conditionalFormatting sqref="O14:O27">
    <cfRule type="cellIs" priority="633" operator="greaterThan" dxfId="5">
      <formula>0</formula>
    </cfRule>
  </conditionalFormatting>
  <conditionalFormatting sqref="O31:O44">
    <cfRule type="cellIs" priority="394" operator="greaterThan" dxfId="5">
      <formula>0</formula>
    </cfRule>
  </conditionalFormatting>
  <conditionalFormatting sqref="O48:O61">
    <cfRule type="cellIs" priority="109" operator="greaterThan" dxfId="5">
      <formula>0</formula>
    </cfRule>
  </conditionalFormatting>
  <conditionalFormatting sqref="O65:O78">
    <cfRule type="cellIs" priority="95" operator="greaterThan" dxfId="5">
      <formula>0</formula>
    </cfRule>
  </conditionalFormatting>
  <conditionalFormatting sqref="O82:O95">
    <cfRule type="cellIs" priority="81" operator="greaterThan" dxfId="5">
      <formula>0</formula>
    </cfRule>
  </conditionalFormatting>
  <conditionalFormatting sqref="O99:O112">
    <cfRule type="cellIs" priority="67" operator="greaterThan" dxfId="5">
      <formula>0</formula>
    </cfRule>
  </conditionalFormatting>
  <conditionalFormatting sqref="O116:O129">
    <cfRule type="cellIs" priority="53" operator="greaterThan" dxfId="5">
      <formula>0</formula>
    </cfRule>
  </conditionalFormatting>
  <conditionalFormatting sqref="O133:O146">
    <cfRule type="cellIs" priority="39" operator="greaterThan" dxfId="5">
      <formula>0</formula>
    </cfRule>
  </conditionalFormatting>
  <conditionalFormatting sqref="O150:O163">
    <cfRule type="cellIs" priority="25" operator="greaterThan" dxfId="5">
      <formula>0</formula>
    </cfRule>
  </conditionalFormatting>
  <conditionalFormatting sqref="O167:O180">
    <cfRule type="cellIs" priority="11" operator="greaterThan" dxfId="5">
      <formula>0</formula>
    </cfRule>
  </conditionalFormatting>
  <conditionalFormatting sqref="O183:O197">
    <cfRule type="cellIs" priority="659" operator="greaterThan" dxfId="5">
      <formula>0</formula>
    </cfRule>
  </conditionalFormatting>
  <conditionalFormatting sqref="Q16">
    <cfRule type="expression" priority="414" dxfId="4">
      <formula>$B$9="PLN"</formula>
    </cfRule>
    <cfRule type="expression" priority="413" dxfId="3">
      <formula>$B$9="USD"</formula>
    </cfRule>
    <cfRule type="expression" priority="412" dxfId="2">
      <formula>$B$9="EURO"</formula>
    </cfRule>
    <cfRule type="cellIs" priority="411" operator="greaterThan" dxfId="1">
      <formula>0</formula>
    </cfRule>
    <cfRule type="expression" priority="415" dxfId="0">
      <formula>$B$9="CZK"</formula>
    </cfRule>
  </conditionalFormatting>
  <dataValidations count="16">
    <dataValidation sqref="C27 C44 C61 C78 C95 C112 C129 C146 C163 C180" showDropDown="0" showInputMessage="1" showErrorMessage="1" allowBlank="1" type="list">
      <formula1>"0,0.5,1,1.5,2,2.5,3,3.5,4,4.5,5"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0:C21 C37:C38 C54:C55 C71:C72 C88:C89 C105:C106 C122:C123 C139:C140 C156:C157 C173:C174" showDropDown="0" showInputMessage="1" showErrorMessage="1" allowBlank="1" type="list">
      <formula1>"0,1,2,3,4,5,6,7,8,9,10,11,12,13,14,15,16,17,18,19,20"</formula1>
    </dataValidation>
    <dataValidation sqref="E14 E31 E48 E65 E82 E99 E116 E133 E150 E167" showDropDown="0" showInputMessage="1" showErrorMessage="1" allowBlank="1" operator="greaterThan"/>
    <dataValidation sqref="C14 C31 C48 C65 C82 C99 C116 C133 C150 C167" showDropDown="0" showInputMessage="1" showErrorMessage="1" allowBlank="1" type="list">
      <formula1>"WALL, ISLAND"</formula1>
    </dataValidation>
    <dataValidation sqref="G181" showDropDown="0" showInputMessage="1" showErrorMessage="1" allowBlank="1" type="list">
      <formula1>#REF!</formula1>
    </dataValidation>
    <dataValidation sqref="D26 D43 D60 D77 D94 D111 D128 D145 D162 D179" showDropDown="0" showInputMessage="1" showErrorMessage="1" allowBlank="1" type="list">
      <formula1>"0,1,2,3,4,5,6,7,8,9,10"</formula1>
    </dataValidation>
    <dataValidation sqref="C15 C32 C49 C66 C83 C100 C117 C134 C151 C168 C185 C202 C219 C236 C253 C270 C287 C304" showDropDown="0" showInputMessage="0" showErrorMessage="0" allowBlank="1" type="list">
      <formula1>Lists!$A$1:$A$5</formula1>
    </dataValidation>
    <dataValidation sqref="C16 C33 C50 C67 C84 C101 C118 C135 C152 C169 C186 C203 C220 C237 C254 C271 C288 C305" showDropDown="0" showInputMessage="0" showErrorMessage="0" allowBlank="1" type="list">
      <formula1>Lists!$B$1:$B$17</formula1>
    </dataValidation>
    <dataValidation sqref="C17 C34 C51 C68 C85 C102 C119 C136 C153 C170 C187 C204 C221 C238 C255 C272 C289 C306" showDropDown="0" showInputMessage="0" showErrorMessage="0" allowBlank="1" type="list">
      <formula1>Lists!$B$1:$B$18</formula1>
    </dataValidation>
    <dataValidation sqref="C19 C36 C53 C70 C87 C104 C121 C138 C155 C172 C189 C206 C223 C240 C257 C274 C291 C308" showDropDown="0" showInputMessage="0" showErrorMessage="0" allowBlank="1" type="list">
      <formula1>Lists!$C$1:$C$2</formula1>
    </dataValidation>
    <dataValidation sqref="C25 C42 C59 C76 C93 C110 C127 C144 C161 C178 C195 C212 C229 C246 C263 C280 C297" showDropDown="0" showInputMessage="0" showErrorMessage="0" allowBlank="1" type="list">
      <formula1>Lists!$D$1:$D$4</formula1>
    </dataValidation>
    <dataValidation sqref="C26 C43 C60 C77 C94 C111 C128 C145 C162 C179 C196 C213 C230 C247 C264 C281 C298" showDropDown="0" showInputMessage="0" showErrorMessage="0" allowBlank="1" type="list">
      <formula1>Lists!$E$1:$E$10</formula1>
    </dataValidation>
    <dataValidation sqref="D183" showDropDown="0" showInputMessage="0" showErrorMessage="0" allowBlank="1" type="list">
      <formula1>Lists!$F$1:$F$193</formula1>
    </dataValidation>
    <dataValidation sqref="D184" showDropDown="0" showInputMessage="0" showErrorMessage="0" allowBlank="1" type="list">
      <formula1>Lists!$G$1:$G$12</formula1>
    </dataValidation>
    <dataValidation sqref="D185" showDropDown="0" showInputMessage="0" showErrorMessage="0" allowBlank="1" type="list">
      <formula1>Lists!$G$1:$G$12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1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 codeName="Sheet37">
    <tabColor theme="8" tint="0.7999816888943144"/>
    <outlinePr summaryBelow="1" summaryRight="1"/>
    <pageSetUpPr fitToPage="1"/>
  </sheetPr>
  <dimension ref="A1:Z310"/>
  <sheetViews>
    <sheetView showGridLines="0" topLeftCell="G2" zoomScale="106" zoomScaleNormal="80" zoomScaleSheetLayoutView="50" workbookViewId="0">
      <selection activeCell="P182" sqref="P182"/>
    </sheetView>
  </sheetViews>
  <sheetFormatPr baseColWidth="10" defaultColWidth="8.83203125" defaultRowHeight="15" customHeight="1" outlineLevelRow="1"/>
  <cols>
    <col width="2" customWidth="1" style="666" min="1" max="1"/>
    <col width="29.6640625" customWidth="1" style="1095" min="2" max="2"/>
    <col width="24.6640625" customWidth="1" style="1095" min="3" max="3"/>
    <col width="27.1640625" customWidth="1" style="1095" min="4" max="4"/>
    <col width="26.6640625" customWidth="1" style="1095" min="5" max="5"/>
    <col width="18.83203125" customWidth="1" style="1095" min="6" max="6"/>
    <col width="22.6640625" customWidth="1" style="1095" min="7" max="7"/>
    <col width="10" bestFit="1" customWidth="1" style="1096" min="8" max="8"/>
    <col width="11.6640625" bestFit="1" customWidth="1" style="1096" min="9" max="9"/>
    <col width="12.33203125" customWidth="1" style="1097" min="10" max="10"/>
    <col width="15" customWidth="1" style="1098" min="11" max="11"/>
    <col width="7.6640625" bestFit="1" customWidth="1" style="1098" min="12" max="12"/>
    <col hidden="1" width="12.33203125" customWidth="1" style="1099" min="13" max="13"/>
    <col width="12.8320312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8"/>
    <col width="8.83203125" customWidth="1" style="1095" min="99" max="16384"/>
  </cols>
  <sheetData>
    <row r="1" ht="15" customHeight="1" s="1085">
      <c r="B1" s="1116" t="inlineStr">
        <is>
          <t>F24 - 19  CANOPY COST SHEET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 t="n"/>
      <c r="F3" s="690" t="inlineStr">
        <is>
          <t>Project Name</t>
        </is>
      </c>
      <c r="G3" s="1071" t="n"/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 t="n"/>
      <c r="F5" s="690" t="inlineStr">
        <is>
          <t>Location</t>
        </is>
      </c>
      <c r="G5" s="1071" t="n"/>
      <c r="M5" s="684" t="n"/>
      <c r="N5" s="685" t="n"/>
      <c r="P5" s="1118" t="inlineStr">
        <is>
          <t>RECO CANOPIES MUST HAVE COALESCERS</t>
        </is>
      </c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 t="n"/>
      <c r="F7" s="690" t="inlineStr">
        <is>
          <t>Date</t>
        </is>
      </c>
      <c r="G7" s="1075" t="n"/>
      <c r="N7" s="699" t="inlineStr">
        <is>
          <t>Revision No</t>
        </is>
      </c>
      <c r="O7" s="809" t="inlineStr">
        <is>
          <t>B</t>
        </is>
      </c>
      <c r="P7" s="1091" t="inlineStr">
        <is>
          <t>GP SHOULD BE MINIMUM 44%</t>
        </is>
      </c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47" t="n"/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8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 xml:space="preserve">ITEM 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68">
        <f>N12-N19</f>
        <v/>
      </c>
      <c r="Q12" s="1095" t="n"/>
      <c r="R12" s="1095" t="n"/>
      <c r="S12" s="713" t="n"/>
      <c r="T12" s="1095" t="n"/>
      <c r="X12" s="1095" t="n"/>
      <c r="Y12" s="1095" t="n"/>
      <c r="Z12" s="1095" t="n"/>
    </row>
    <row r="13" hidden="1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hidden="1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CANOPY TYPE</t>
        </is>
      </c>
      <c r="E14" s="734" t="n"/>
      <c r="F14" s="734" t="n"/>
      <c r="G14" s="734" t="n"/>
      <c r="H14" s="735" t="n"/>
      <c r="I14" s="734" t="n"/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hidden="1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LIGHT SELECTION</t>
        </is>
      </c>
      <c r="D15" s="741" t="n"/>
      <c r="E15" s="848" t="n"/>
      <c r="F15" s="743" t="n"/>
      <c r="G15" s="744" t="n"/>
      <c r="H15" s="668" t="n"/>
      <c r="I15" s="668" t="n"/>
      <c r="J15" s="736">
        <f>IF(ISNA(C12),0,IF(D15=0,0,IF(C15="FLO",VLOOKUP(E15,'Base Costs'!$M$4:$N$14,2,FALSE),IF(C15="LED STRIP",VLOOKUP(E15,'Base Costs'!$M$4:$N$14,2,FALSE),(VLOOKUP(C15,'Base Costs'!$M$4:$N$14,2,FALSE))))))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hidden="1" outlineLevel="1" ht="15" customHeight="1" s="1085">
      <c r="A16" s="666" t="n">
        <v>234</v>
      </c>
      <c r="B16" s="269" t="inlineStr">
        <is>
          <t>SPECIAL WORKS</t>
        </is>
      </c>
      <c r="C16" s="33" t="inlineStr">
        <is>
          <t>SELECT WORKS</t>
        </is>
      </c>
      <c r="D16" s="735" t="n"/>
      <c r="E16" s="753">
        <f>IF(C16="","",VLOOKUP(C16,CCBASE!$A$53:$D$73,4,FALSE))</f>
        <v/>
      </c>
      <c r="F16" s="754" t="n"/>
      <c r="G16" s="749" t="n"/>
      <c r="H16" s="750" t="n"/>
      <c r="I16" s="755" t="n"/>
      <c r="J16" s="736">
        <f>IF(C16="",0,VLOOKUP(C16,CCBASE!$A$53:$C$73,2,FALSE))</f>
        <v/>
      </c>
      <c r="K16" s="737">
        <f>J16*D16</f>
        <v/>
      </c>
      <c r="L16" s="738" t="n">
        <v>0.44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hidden="1" outlineLevel="1" ht="15" customHeight="1" s="1085">
      <c r="B17" s="269" t="inlineStr">
        <is>
          <t>SPECIAL WORKS</t>
        </is>
      </c>
      <c r="C17" s="752" t="inlineStr">
        <is>
          <t>SELECT WORKS</t>
        </is>
      </c>
      <c r="D17" s="735" t="n"/>
      <c r="E17" s="753">
        <f>IF(C17="","",VLOOKUP(C17,CCBASE!$A$53:$D$73,4,FALSE))</f>
        <v/>
      </c>
      <c r="F17" s="754" t="n"/>
      <c r="G17" s="749" t="n"/>
      <c r="H17" s="750" t="n"/>
      <c r="I17" s="755" t="n"/>
      <c r="J17" s="736">
        <f>IF(C17="",0,VLOOKUP(C17,CCBASE!$A$53:$C$73,2,FALSE))</f>
        <v/>
      </c>
      <c r="K17" s="737">
        <f>J17*D17</f>
        <v/>
      </c>
      <c r="L17" s="738" t="n">
        <v>0.44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hidden="1" outlineLevel="1" ht="15" customHeight="1" s="1085">
      <c r="B18" s="978" t="inlineStr">
        <is>
          <t>SPECIAL WORKS</t>
        </is>
      </c>
      <c r="C18" s="979" t="inlineStr">
        <is>
          <t>BIM/ REVIT per CANOPY</t>
        </is>
      </c>
      <c r="D18" s="980" t="n">
        <v>1</v>
      </c>
      <c r="E18" s="981">
        <f>IF(C18="","",VLOOKUP(C18,CCBASE!$A$53:$D$73,4,FALSE))</f>
        <v/>
      </c>
      <c r="F18" s="982" t="n"/>
      <c r="G18" s="977" t="n"/>
      <c r="H18" s="983" t="n"/>
      <c r="I18" s="984" t="n"/>
      <c r="J18" s="985">
        <f>IF(C18="",0,VLOOKUP(C18,CCBASE!$A$53:$C$73,2,FALSE))</f>
        <v/>
      </c>
      <c r="K18" s="986">
        <f>J18*D18</f>
        <v/>
      </c>
      <c r="L18" s="987" t="n">
        <v>0.44</v>
      </c>
      <c r="M18" s="988">
        <f>K18/(1-L18)*(1+$C$9)</f>
        <v/>
      </c>
      <c r="N18" s="986">
        <f>M18*VLOOKUP($B$9,'Base Costs'!$A$32:$B$37,2,FALSE)</f>
        <v/>
      </c>
      <c r="O18" s="989">
        <f>M18-K18</f>
        <v/>
      </c>
      <c r="P18" s="990" t="inlineStr">
        <is>
          <t>always include</t>
        </is>
      </c>
      <c r="S18" s="694" t="n"/>
      <c r="Y18" s="1095" t="n"/>
    </row>
    <row r="19" hidden="1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SELECT CLADDING</t>
        </is>
      </c>
      <c r="D19" s="756">
        <f>IF(NOT(ISBLANK(C19)), ROUNDUP($F14/1000,0), 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S19" s="694" t="n"/>
      <c r="Y19" s="1095" t="n"/>
    </row>
    <row r="20" hidden="1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hidden="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hidden="1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S22" s="694" t="n"/>
      <c r="Y22" s="1095" t="n"/>
    </row>
    <row r="23" hidden="1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>
        <f>IF(ISNA(D23),0,(VLOOKUP(D23,'Base Costs'!$Q$4:$R$14,2,FALSE)))</f>
        <v/>
      </c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hidden="1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hidden="1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hidden="1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hidden="1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collapsed="1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 xml:space="preserve">ITEM 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68">
        <f>N29-N36</f>
        <v/>
      </c>
      <c r="Q29" s="1095" t="n"/>
      <c r="R29" s="1095" t="n"/>
      <c r="S29" s="713" t="n"/>
      <c r="T29" s="1095" t="n"/>
      <c r="X29" s="1095" t="n"/>
      <c r="Y29" s="1095" t="n"/>
      <c r="Z29" s="1095" t="n"/>
    </row>
    <row r="30" hidden="1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hidden="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hidden="1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hidden="1" outlineLevel="1" ht="15" customHeight="1" s="1085">
      <c r="A33" s="666" t="n">
        <v>234</v>
      </c>
      <c r="B33" s="731" t="inlineStr">
        <is>
          <t>SPECIAL WORKS</t>
        </is>
      </c>
      <c r="C33" s="752" t="inlineStr">
        <is>
          <t>SELECT WORKS</t>
        </is>
      </c>
      <c r="D33" s="735" t="n"/>
      <c r="E33" s="753">
        <f>IF(C33="","",VLOOKUP(C33,CCBASE!$A$53:$D$73,4,FALSE))</f>
        <v/>
      </c>
      <c r="F33" s="754" t="n"/>
      <c r="G33" s="749" t="n"/>
      <c r="H33" s="750" t="n"/>
      <c r="I33" s="755" t="n"/>
      <c r="J33" s="736">
        <f>IF(C33="",0,VLOOKUP(C33,CCBASE!$A$53:$C$73,2,FALSE))</f>
        <v/>
      </c>
      <c r="K33" s="737">
        <f>J33*D33</f>
        <v/>
      </c>
      <c r="L33" s="738" t="n">
        <v>0.44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hidden="1" outlineLevel="1" ht="15" customHeight="1" s="1085">
      <c r="B34" s="731" t="inlineStr">
        <is>
          <t>SPECIAL WORKS</t>
        </is>
      </c>
      <c r="C34" s="752" t="inlineStr">
        <is>
          <t>SELECT WORKS</t>
        </is>
      </c>
      <c r="D34" s="735" t="n"/>
      <c r="E34" s="753">
        <f>IF(C34="","",VLOOKUP(C34,CCBASE!$A$53:$D$73,4,FALSE))</f>
        <v/>
      </c>
      <c r="F34" s="754" t="n"/>
      <c r="G34" s="749" t="n"/>
      <c r="H34" s="750" t="n"/>
      <c r="I34" s="755" t="n"/>
      <c r="J34" s="736">
        <f>IF(C34="",0,VLOOKUP(C34,CCBASE!$A$53:$C$73,2,FALSE))</f>
        <v/>
      </c>
      <c r="K34" s="737">
        <f>J34*D34</f>
        <v/>
      </c>
      <c r="L34" s="738" t="n">
        <v>0.44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hidden="1" outlineLevel="1" ht="15" customHeight="1" s="1085">
      <c r="B35" s="978" t="inlineStr">
        <is>
          <t>SPECIAL WORKS</t>
        </is>
      </c>
      <c r="C35" s="979" t="inlineStr">
        <is>
          <t>BIM/ REVIT per CANOPY</t>
        </is>
      </c>
      <c r="D35" s="980" t="n"/>
      <c r="E35" s="1111" t="n"/>
      <c r="G35" s="977" t="n"/>
      <c r="H35" s="983" t="n"/>
      <c r="I35" s="984" t="n"/>
      <c r="J35" s="985">
        <f>IF(C35="",0,VLOOKUP(C35,CCBASE!$A$53:$C$73,2,FALSE))</f>
        <v/>
      </c>
      <c r="K35" s="986">
        <f>J35*D35</f>
        <v/>
      </c>
      <c r="L35" s="987" t="n">
        <v>0.44</v>
      </c>
      <c r="M35" s="988">
        <f>K35/(1-L35)*(1+$C$9)</f>
        <v/>
      </c>
      <c r="N35" s="986">
        <f>M35*VLOOKUP($B$9,'Base Costs'!$A$32:$B$37,2,FALSE)</f>
        <v/>
      </c>
      <c r="O35" s="989">
        <f>M35-K35</f>
        <v/>
      </c>
      <c r="P35" s="990" t="inlineStr">
        <is>
          <t>always include</t>
        </is>
      </c>
      <c r="S35" s="694" t="n"/>
      <c r="Y35" s="1095" t="n"/>
    </row>
    <row r="36" hidden="1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SELECT CLADDING</t>
        </is>
      </c>
      <c r="D36" s="756">
        <f>IF(NOT(ISBLANK(C36)), ROUNDUP($F31/1000,0), 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Y36" s="1095" t="n"/>
    </row>
    <row r="37" hidden="1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hidden="1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hidden="1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S39" s="694" t="n"/>
      <c r="Y39" s="1095" t="n"/>
    </row>
    <row r="40" hidden="1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>
        <f>IF(ISNA(D40),0,(VLOOKUP(D40,'Base Costs'!$Q$4:$R$13,2,FALSE)))</f>
        <v/>
      </c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hidden="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hidden="1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hidden="1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hidden="1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collapsed="1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68">
        <f>N46-N53</f>
        <v/>
      </c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731" t="inlineStr">
        <is>
          <t>SPECIAL WORKS</t>
        </is>
      </c>
      <c r="C50" s="752" t="inlineStr">
        <is>
          <t>SELECT WORKS</t>
        </is>
      </c>
      <c r="D50" s="735" t="n"/>
      <c r="E50" s="753">
        <f>IF(C50="","",VLOOKUP(C50,CCBASE!$A$53:$D$73,4,FALSE))</f>
        <v/>
      </c>
      <c r="F50" s="754" t="n"/>
      <c r="G50" s="749" t="n"/>
      <c r="H50" s="750" t="n"/>
      <c r="I50" s="755" t="n"/>
      <c r="J50" s="736">
        <f>IF(C50="",0,VLOOKUP(C50,CCBASE!$A$53:$C$73,2,FALSE))</f>
        <v/>
      </c>
      <c r="K50" s="737">
        <f>J50*D50</f>
        <v/>
      </c>
      <c r="L50" s="738" t="n">
        <v>0.44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731" t="inlineStr">
        <is>
          <t>SPECIAL WORKS</t>
        </is>
      </c>
      <c r="C51" s="752" t="inlineStr">
        <is>
          <t>SELECT WORKS</t>
        </is>
      </c>
      <c r="D51" s="735" t="n"/>
      <c r="E51" s="753">
        <f>IF(C51="","",VLOOKUP(C51,CCBASE!$A$53:$D$73,4,FALSE))</f>
        <v/>
      </c>
      <c r="F51" s="754" t="n"/>
      <c r="G51" s="749" t="n"/>
      <c r="H51" s="750" t="n"/>
      <c r="I51" s="755" t="n"/>
      <c r="J51" s="736">
        <f>IF(C51="",0,VLOOKUP(C51,CCBASE!$A$53:$C$73,2,FALSE))</f>
        <v/>
      </c>
      <c r="K51" s="737">
        <f>J51*D51</f>
        <v/>
      </c>
      <c r="L51" s="738" t="n">
        <v>0.44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978" t="inlineStr">
        <is>
          <t>SPECIAL WORKS</t>
        </is>
      </c>
      <c r="C52" s="979" t="inlineStr">
        <is>
          <t>BIM/ REVIT per CANOPY</t>
        </is>
      </c>
      <c r="D52" s="980" t="n"/>
      <c r="E52" s="981">
        <f>IF(C52="","",VLOOKUP(C52,CCBASE!$A$53:$D$73,4,FALSE))</f>
        <v/>
      </c>
      <c r="F52" s="982" t="n"/>
      <c r="G52" s="977" t="n"/>
      <c r="H52" s="983" t="n"/>
      <c r="I52" s="984" t="n"/>
      <c r="J52" s="985">
        <f>IF(C52="",0,VLOOKUP(C52,CCBASE!$A$53:$C$73,2,FALSE))</f>
        <v/>
      </c>
      <c r="K52" s="986">
        <f>J52*D52</f>
        <v/>
      </c>
      <c r="L52" s="987" t="n">
        <v>0.44</v>
      </c>
      <c r="M52" s="988">
        <f>K52/(1-L52)*(1+$C$9)</f>
        <v/>
      </c>
      <c r="N52" s="986">
        <f>M52*VLOOKUP($B$9,'Base Costs'!$A$32:$B$37,2,FALSE)</f>
        <v/>
      </c>
      <c r="O52" s="989">
        <f>M52-K52</f>
        <v/>
      </c>
      <c r="P52" s="990" t="inlineStr">
        <is>
          <t>always include</t>
        </is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SELECT CLADDING</t>
        </is>
      </c>
      <c r="D53" s="756">
        <f>IF(NOT(ISBLANK(C53)), ROUNDUP($F48/1000,0), 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>
        <f>IF(ISNA(D57),0,(VLOOKUP(D57,'Base Costs'!$Q$4:$R$13,2,FALSE)))</f>
        <v/>
      </c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68">
        <f>N63-N70</f>
        <v/>
      </c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731" t="inlineStr">
        <is>
          <t>SPECIAL WORKS</t>
        </is>
      </c>
      <c r="C67" s="752" t="inlineStr">
        <is>
          <t>SELECT WORKS</t>
        </is>
      </c>
      <c r="D67" s="735" t="n"/>
      <c r="E67" s="753">
        <f>IF(C67="","",VLOOKUP(C67,CCBASE!$A$53:$D$73,4,FALSE))</f>
        <v/>
      </c>
      <c r="F67" s="754" t="n"/>
      <c r="G67" s="749" t="n"/>
      <c r="H67" s="750" t="n"/>
      <c r="I67" s="755" t="n"/>
      <c r="J67" s="736">
        <f>IF(C67="",0,VLOOKUP(C67,CCBASE!$A$53:$C$73,2,FALSE))</f>
        <v/>
      </c>
      <c r="K67" s="737">
        <f>J67*D67</f>
        <v/>
      </c>
      <c r="L67" s="738" t="n">
        <v>0.44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731" t="inlineStr">
        <is>
          <t>SPECIAL WORKS</t>
        </is>
      </c>
      <c r="C68" s="752" t="inlineStr">
        <is>
          <t>SELECT WORKS</t>
        </is>
      </c>
      <c r="D68" s="735" t="n"/>
      <c r="E68" s="753">
        <f>IF(C68="","",VLOOKUP(C68,CCBASE!$A$53:$D$73,4,FALSE))</f>
        <v/>
      </c>
      <c r="F68" s="754" t="n"/>
      <c r="G68" s="749" t="n"/>
      <c r="H68" s="750" t="n"/>
      <c r="I68" s="755" t="n"/>
      <c r="J68" s="736">
        <f>IF(C68="",0,VLOOKUP(C68,CCBASE!$A$53:$C$73,2,FALSE))</f>
        <v/>
      </c>
      <c r="K68" s="737">
        <f>J68*D68</f>
        <v/>
      </c>
      <c r="L68" s="738" t="n">
        <v>0.44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978" t="inlineStr">
        <is>
          <t>SPECIAL WORKS</t>
        </is>
      </c>
      <c r="C69" s="979" t="inlineStr">
        <is>
          <t>BIM/ REVIT per CANOPY</t>
        </is>
      </c>
      <c r="D69" s="980" t="n"/>
      <c r="E69" s="981">
        <f>IF(C69="","",VLOOKUP(C69,CCBASE!$A$53:$D$73,4,FALSE))</f>
        <v/>
      </c>
      <c r="F69" s="982" t="n"/>
      <c r="G69" s="977" t="n"/>
      <c r="H69" s="983" t="n"/>
      <c r="I69" s="984" t="n"/>
      <c r="J69" s="985">
        <f>IF(C69="",0,VLOOKUP(C69,CCBASE!$A$53:$C$73,2,FALSE))</f>
        <v/>
      </c>
      <c r="K69" s="986">
        <f>J69*D69</f>
        <v/>
      </c>
      <c r="L69" s="987" t="n">
        <v>0.44</v>
      </c>
      <c r="M69" s="988">
        <f>K69/(1-L69)*(1+$C$9)</f>
        <v/>
      </c>
      <c r="N69" s="986">
        <f>M69*VLOOKUP($B$9,'Base Costs'!$A$32:$B$37,2,FALSE)</f>
        <v/>
      </c>
      <c r="O69" s="989">
        <f>M69-K69</f>
        <v/>
      </c>
      <c r="P69" s="990" t="inlineStr">
        <is>
          <t>always include</t>
        </is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IF(NOT(ISBLANK(C70)), ROUNDUP(F65/1000,0), 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>
        <f>IF(ISNA(D74),0,(VLOOKUP(D74,'Base Costs'!$Q$4:$R$13,2,FALSE)))</f>
        <v/>
      </c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68">
        <f>N80-N87</f>
        <v/>
      </c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731" t="inlineStr">
        <is>
          <t>SPECIAL WORKS</t>
        </is>
      </c>
      <c r="C84" s="752" t="inlineStr">
        <is>
          <t>SELECT WORKS</t>
        </is>
      </c>
      <c r="D84" s="735" t="n"/>
      <c r="E84" s="753">
        <f>IF(C84="","",VLOOKUP(C84,CCBASE!$A$53:$D$73,4,FALSE))</f>
        <v/>
      </c>
      <c r="F84" s="754" t="n"/>
      <c r="G84" s="749" t="n"/>
      <c r="H84" s="750" t="n"/>
      <c r="I84" s="755" t="n"/>
      <c r="J84" s="736">
        <f>IF(C84="",0,VLOOKUP(C84,CCBASE!$A$53:$C$73,2,FALSE))</f>
        <v/>
      </c>
      <c r="K84" s="737">
        <f>J84*D84</f>
        <v/>
      </c>
      <c r="L84" s="738" t="n">
        <v>0.44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SPECIAL WORKS</t>
        </is>
      </c>
      <c r="C85" s="752" t="inlineStr">
        <is>
          <t>SELECT WORKS</t>
        </is>
      </c>
      <c r="D85" s="735" t="n"/>
      <c r="E85" s="753">
        <f>IF(C85="","",VLOOKUP(C85,CCBASE!$A$53:$D$73,4,FALSE))</f>
        <v/>
      </c>
      <c r="F85" s="754" t="n"/>
      <c r="G85" s="749" t="n"/>
      <c r="H85" s="750" t="n"/>
      <c r="I85" s="755" t="n"/>
      <c r="J85" s="736">
        <f>IF(C85="",0,VLOOKUP(C85,CCBASE!$A$53:$C$73,2,FALSE))</f>
        <v/>
      </c>
      <c r="K85" s="737">
        <f>J85*D85</f>
        <v/>
      </c>
      <c r="L85" s="738" t="n">
        <v>0.44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978" t="inlineStr">
        <is>
          <t>SPECIAL WORKS</t>
        </is>
      </c>
      <c r="C86" s="979" t="inlineStr">
        <is>
          <t>BIM/ REVIT per CANOPY</t>
        </is>
      </c>
      <c r="D86" s="980" t="n"/>
      <c r="E86" s="981">
        <f>IF(C86="","",VLOOKUP(C86,CCBASE!$A$53:$D$73,4,FALSE))</f>
        <v/>
      </c>
      <c r="F86" s="982" t="n"/>
      <c r="G86" s="977" t="n"/>
      <c r="H86" s="983" t="n"/>
      <c r="I86" s="984" t="n"/>
      <c r="J86" s="985">
        <f>IF(C86="",0,VLOOKUP(C86,CCBASE!$A$53:$C$73,2,FALSE))</f>
        <v/>
      </c>
      <c r="K86" s="986">
        <f>J86*D86</f>
        <v/>
      </c>
      <c r="L86" s="987" t="n">
        <v>0.44</v>
      </c>
      <c r="M86" s="988">
        <f>K86/(1-L86)*(1+$C$9)</f>
        <v/>
      </c>
      <c r="N86" s="986">
        <f>M86*VLOOKUP($B$9,'Base Costs'!$A$32:$B$37,2,FALSE)</f>
        <v/>
      </c>
      <c r="O86" s="989">
        <f>M86-K86</f>
        <v/>
      </c>
      <c r="P86" s="990" t="inlineStr">
        <is>
          <t>always include</t>
        </is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IF(NOT(ISBLANK(C87)), ROUNDUP(F82/1000,0), 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>
        <f>IF(ISNA(D91),0,(VLOOKUP(D91,'Base Costs'!$Q$4:$R$13,2,FALSE)))</f>
        <v/>
      </c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IF(ISNUMBER(SEARCH("UV",D99)),49.7,71.75)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68">
        <f>N97-N104</f>
        <v/>
      </c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731" t="inlineStr">
        <is>
          <t>SPECIAL WORKS</t>
        </is>
      </c>
      <c r="C101" s="752" t="inlineStr">
        <is>
          <t>SELECT WORKS</t>
        </is>
      </c>
      <c r="D101" s="735" t="n"/>
      <c r="E101" s="753">
        <f>IF(C101="","",VLOOKUP(C101,CCBASE!$A$53:$D$73,4,FALSE))</f>
        <v/>
      </c>
      <c r="F101" s="754" t="n"/>
      <c r="G101" s="749" t="n"/>
      <c r="H101" s="750" t="n"/>
      <c r="I101" s="755" t="n"/>
      <c r="J101" s="736">
        <f>IF(C101="",0,VLOOKUP(C101,CCBASE!$A$53:$C$73,2,FALSE))</f>
        <v/>
      </c>
      <c r="K101" s="737">
        <f>J101*D101</f>
        <v/>
      </c>
      <c r="L101" s="738" t="n">
        <v>0.44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584" t="inlineStr">
        <is>
          <t>SPECIAL WORKS</t>
        </is>
      </c>
      <c r="C102" s="33" t="inlineStr">
        <is>
          <t>SELECT WORKS</t>
        </is>
      </c>
      <c r="D102" s="735" t="n"/>
      <c r="E102" s="753">
        <f>IF(C102="","",VLOOKUP(C102,CCBASE!$A$53:$D$73,4,FALSE))</f>
        <v/>
      </c>
      <c r="F102" s="754" t="n"/>
      <c r="G102" s="749" t="n"/>
      <c r="H102" s="750" t="n"/>
      <c r="I102" s="755" t="n"/>
      <c r="J102" s="736">
        <f>IF(C102="",0,VLOOKUP(C102,CCBASE!$A$53:$C$73,2,FALSE))</f>
        <v/>
      </c>
      <c r="K102" s="737">
        <f>J102*D102</f>
        <v/>
      </c>
      <c r="L102" s="738" t="n">
        <v>0.44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991" t="inlineStr">
        <is>
          <t>SPECIAL WORKS</t>
        </is>
      </c>
      <c r="C103" s="992" t="inlineStr">
        <is>
          <t>BIM/ REVIT per CANOPY</t>
        </is>
      </c>
      <c r="D103" s="980" t="n"/>
      <c r="E103" s="981">
        <f>IF(C103="","",VLOOKUP(C103,CCBASE!$A$53:$D$73,4,FALSE))</f>
        <v/>
      </c>
      <c r="F103" s="982" t="n"/>
      <c r="G103" s="977" t="n"/>
      <c r="H103" s="983" t="n"/>
      <c r="I103" s="984" t="n"/>
      <c r="J103" s="985">
        <f>IF(C103="",0,VLOOKUP(C103,CCBASE!$A$53:$C$73,2,FALSE))</f>
        <v/>
      </c>
      <c r="K103" s="986">
        <f>J103*D103</f>
        <v/>
      </c>
      <c r="L103" s="987" t="n">
        <v>0.44</v>
      </c>
      <c r="M103" s="988">
        <f>K103/(1-L103)*(1+$C$9)</f>
        <v/>
      </c>
      <c r="N103" s="986">
        <f>M103*VLOOKUP($B$9,'Base Costs'!$A$32:$B$37,2,FALSE)</f>
        <v/>
      </c>
      <c r="O103" s="989">
        <f>M103-K103</f>
        <v/>
      </c>
      <c r="P103" s="990" t="inlineStr">
        <is>
          <t>always include</t>
        </is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IF(NOT(ISBLANK(C104)), ROUNDUP(F99/1000,0), 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>
        <f>IF(ISNA(D108),0,(VLOOKUP(D108,'Base Costs'!$Q$4:$R$13,2,FALSE)))</f>
        <v/>
      </c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IF(ISNUMBER(SEARCH("UV",D116)),49.7,71.75)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68">
        <f>N114-N121</f>
        <v/>
      </c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731" t="inlineStr">
        <is>
          <t>SPECIAL WORKS</t>
        </is>
      </c>
      <c r="C118" s="752" t="inlineStr">
        <is>
          <t>SELECT WORKS</t>
        </is>
      </c>
      <c r="D118" s="735" t="n"/>
      <c r="E118" s="753">
        <f>IF(C118="","",VLOOKUP(C118,CCBASE!$A$53:$D$73,4,FALSE))</f>
        <v/>
      </c>
      <c r="F118" s="754" t="n"/>
      <c r="G118" s="749" t="n"/>
      <c r="H118" s="750" t="n"/>
      <c r="I118" s="755" t="n"/>
      <c r="J118" s="736">
        <f>IF(C118="",0,VLOOKUP(C118,CCBASE!$A$53:$C$73,2,FALSE))</f>
        <v/>
      </c>
      <c r="K118" s="737">
        <f>J118*D118</f>
        <v/>
      </c>
      <c r="L118" s="738" t="n">
        <v>0.44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584" t="inlineStr">
        <is>
          <t>SPECIAL WORKS</t>
        </is>
      </c>
      <c r="C119" s="33" t="inlineStr">
        <is>
          <t>SELECT WORKS</t>
        </is>
      </c>
      <c r="D119" s="735" t="n"/>
      <c r="E119" s="753">
        <f>IF(C119="","",VLOOKUP(C119,CCBASE!$A$53:$D$73,4,FALSE))</f>
        <v/>
      </c>
      <c r="F119" s="754" t="n"/>
      <c r="G119" s="749" t="n"/>
      <c r="H119" s="750" t="n"/>
      <c r="I119" s="755" t="n"/>
      <c r="J119" s="736">
        <f>IF(C119="",0,VLOOKUP(C119,CCBASE!$A$53:$C$73,2,FALSE))</f>
        <v/>
      </c>
      <c r="K119" s="737">
        <f>J119*D119</f>
        <v/>
      </c>
      <c r="L119" s="738" t="n">
        <v>0.44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991" t="inlineStr">
        <is>
          <t>SPECIAL WORKS</t>
        </is>
      </c>
      <c r="C120" s="992" t="inlineStr">
        <is>
          <t>BIM/ REVIT per CANOPY</t>
        </is>
      </c>
      <c r="D120" s="980" t="n"/>
      <c r="E120" s="981">
        <f>IF(C120="","",VLOOKUP(C120,CCBASE!$A$53:$D$73,4,FALSE))</f>
        <v/>
      </c>
      <c r="F120" s="982" t="n"/>
      <c r="G120" s="977" t="n"/>
      <c r="H120" s="983" t="n"/>
      <c r="I120" s="984" t="n"/>
      <c r="J120" s="985">
        <f>IF(C120="",0,VLOOKUP(C120,CCBASE!$A$53:$C$73,2,FALSE))</f>
        <v/>
      </c>
      <c r="K120" s="986">
        <f>J120*D120</f>
        <v/>
      </c>
      <c r="L120" s="987" t="n">
        <v>0.44</v>
      </c>
      <c r="M120" s="988">
        <f>K120/(1-L120)*(1+$C$9)</f>
        <v/>
      </c>
      <c r="N120" s="986">
        <f>M120*VLOOKUP($B$9,'Base Costs'!$A$32:$B$37,2,FALSE)</f>
        <v/>
      </c>
      <c r="O120" s="989">
        <f>M120-K120</f>
        <v/>
      </c>
      <c r="P120" s="990" t="inlineStr">
        <is>
          <t>always include</t>
        </is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IF(NOT(ISBLANK(C121)), ROUNDUP(F116/1000,0), 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>
        <f>IF(ISNA(D125),0,(VLOOKUP(D125,'Base Costs'!$Q$4:$R$13,2,FALSE)))</f>
        <v/>
      </c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68">
        <f>N131-N138</f>
        <v/>
      </c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733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731" t="inlineStr">
        <is>
          <t>SPECIAL WORKS</t>
        </is>
      </c>
      <c r="C135" s="752" t="inlineStr">
        <is>
          <t>SELECT WORKS</t>
        </is>
      </c>
      <c r="D135" s="735" t="n"/>
      <c r="E135" s="753">
        <f>IF(C135="","",VLOOKUP(C135,CCBASE!$A$53:$D$73,4,FALSE))</f>
        <v/>
      </c>
      <c r="F135" s="754" t="n"/>
      <c r="G135" s="749" t="n"/>
      <c r="H135" s="750" t="n"/>
      <c r="I135" s="755" t="n"/>
      <c r="J135" s="736">
        <f>IF(C135="",0,VLOOKUP(C135,CCBASE!$A$53:$C$73,2,FALSE))</f>
        <v/>
      </c>
      <c r="K135" s="737">
        <f>J135*D135</f>
        <v/>
      </c>
      <c r="L135" s="738" t="n">
        <v>0.44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584" t="inlineStr">
        <is>
          <t>SPECIAL WORKS</t>
        </is>
      </c>
      <c r="C136" s="33" t="inlineStr">
        <is>
          <t>SELECT WORKS</t>
        </is>
      </c>
      <c r="D136" s="735" t="n"/>
      <c r="E136" s="753">
        <f>IF(C136="","",VLOOKUP(C136,CCBASE!$A$53:$D$73,4,FALSE))</f>
        <v/>
      </c>
      <c r="F136" s="754" t="n"/>
      <c r="G136" s="749" t="n"/>
      <c r="H136" s="750" t="n"/>
      <c r="I136" s="755" t="n"/>
      <c r="J136" s="736">
        <f>IF(C136="",0,VLOOKUP(C136,CCBASE!$A$53:$C$73,2,FALSE))</f>
        <v/>
      </c>
      <c r="K136" s="737">
        <f>J136*D136</f>
        <v/>
      </c>
      <c r="L136" s="738" t="n">
        <v>0.44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991" t="inlineStr">
        <is>
          <t>SPECIAL WORKS</t>
        </is>
      </c>
      <c r="C137" s="992" t="inlineStr">
        <is>
          <t>BIM/ REVIT per CANOPY</t>
        </is>
      </c>
      <c r="D137" s="980" t="n"/>
      <c r="E137" s="981">
        <f>IF(C137="","",VLOOKUP(C137,CCBASE!$A$53:$D$73,4,FALSE))</f>
        <v/>
      </c>
      <c r="F137" s="982" t="n"/>
      <c r="G137" s="977" t="n"/>
      <c r="H137" s="983" t="n"/>
      <c r="I137" s="984" t="n"/>
      <c r="J137" s="985">
        <f>IF(C137="",0,VLOOKUP(C137,CCBASE!$A$53:$C$73,2,FALSE))</f>
        <v/>
      </c>
      <c r="K137" s="986">
        <f>J137*D137</f>
        <v/>
      </c>
      <c r="L137" s="987" t="n">
        <v>0.44</v>
      </c>
      <c r="M137" s="988">
        <f>K137/(1-L137)*(1+$C$9)</f>
        <v/>
      </c>
      <c r="N137" s="986">
        <f>M137*VLOOKUP($B$9,'Base Costs'!$A$32:$B$37,2,FALSE)</f>
        <v/>
      </c>
      <c r="O137" s="989">
        <f>M137-K137</f>
        <v/>
      </c>
      <c r="P137" s="990" t="inlineStr">
        <is>
          <t>always include</t>
        </is>
      </c>
      <c r="S137" s="694" t="n"/>
      <c r="Y137" s="1095" t="n"/>
    </row>
    <row r="138" hidden="1" outlineLevel="1" ht="15" customHeight="1" s="1085">
      <c r="A138" s="666" t="n">
        <v>289</v>
      </c>
      <c r="B138" s="584" t="inlineStr">
        <is>
          <t>WALL CLADDING</t>
        </is>
      </c>
      <c r="C138" s="33" t="inlineStr">
        <is>
          <t>SELECT CLADDING</t>
        </is>
      </c>
      <c r="D138" s="756">
        <f>IF(NOT(ISBLANK(C138)), ROUNDUP(F133/1000,0), 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584" t="inlineStr">
        <is>
          <t>INFILL PANEL</t>
        </is>
      </c>
      <c r="C139" s="752" t="n"/>
      <c r="D139" s="742" t="inlineStr">
        <is>
          <t>m²</t>
        </is>
      </c>
      <c r="E139" s="749" t="n"/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>
        <f>IF(ISNA(D142),0,(VLOOKUP(D142,'Base Costs'!$Q$4:$R$13,2,FALSE)))</f>
        <v/>
      </c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IF(ISNUMBER(SEARCH("UV",D150)),49.7,71.75)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68">
        <f>N148-N155</f>
        <v/>
      </c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731" t="inlineStr">
        <is>
          <t>SPECIAL WORKS</t>
        </is>
      </c>
      <c r="C152" s="752" t="inlineStr">
        <is>
          <t>SELECT WORKS</t>
        </is>
      </c>
      <c r="D152" s="735" t="n"/>
      <c r="E152" s="753">
        <f>IF(C152="","",VLOOKUP(C152,CCBASE!$A$53:$D$73,4,FALSE))</f>
        <v/>
      </c>
      <c r="F152" s="754" t="n"/>
      <c r="G152" s="749" t="n"/>
      <c r="H152" s="750" t="n"/>
      <c r="I152" s="755" t="n"/>
      <c r="J152" s="736">
        <f>IF(C152="",0,VLOOKUP(C152,CCBASE!$A$53:$C$73,2,FALSE))</f>
        <v/>
      </c>
      <c r="K152" s="737">
        <f>J152*D152</f>
        <v/>
      </c>
      <c r="L152" s="738" t="n">
        <v>0.44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584" t="inlineStr">
        <is>
          <t>SPECIAL WORKS</t>
        </is>
      </c>
      <c r="C153" s="33" t="inlineStr">
        <is>
          <t>SELECT WORKS</t>
        </is>
      </c>
      <c r="D153" s="735" t="n"/>
      <c r="E153" s="753">
        <f>IF(C153="","",VLOOKUP(C153,CCBASE!$A$53:$D$73,4,FALSE))</f>
        <v/>
      </c>
      <c r="F153" s="754" t="n"/>
      <c r="G153" s="749" t="n"/>
      <c r="H153" s="750" t="n"/>
      <c r="I153" s="755" t="n"/>
      <c r="J153" s="736">
        <f>IF(C153="",0,VLOOKUP(C153,CCBASE!$A$53:$C$73,2,FALSE))</f>
        <v/>
      </c>
      <c r="K153" s="737">
        <f>J153*D153</f>
        <v/>
      </c>
      <c r="L153" s="738" t="n">
        <v>0.44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991" t="inlineStr">
        <is>
          <t>SPECIAL WORKS</t>
        </is>
      </c>
      <c r="C154" s="992" t="inlineStr">
        <is>
          <t>BIM/ REVIT per CANOPY</t>
        </is>
      </c>
      <c r="D154" s="980" t="n"/>
      <c r="E154" s="981">
        <f>IF(C154="","",VLOOKUP(C154,CCBASE!$A$53:$D$73,4,FALSE))</f>
        <v/>
      </c>
      <c r="F154" s="982" t="n"/>
      <c r="G154" s="977" t="n"/>
      <c r="H154" s="983" t="n"/>
      <c r="I154" s="984" t="n"/>
      <c r="J154" s="985">
        <f>IF(C154="",0,VLOOKUP(C154,CCBASE!$A$53:$C$73,2,FALSE))</f>
        <v/>
      </c>
      <c r="K154" s="986">
        <f>J154*D154</f>
        <v/>
      </c>
      <c r="L154" s="987" t="n">
        <v>0.44</v>
      </c>
      <c r="M154" s="988">
        <f>K154/(1-L154)*(1+$C$9)</f>
        <v/>
      </c>
      <c r="N154" s="986">
        <f>M154*VLOOKUP($B$9,'Base Costs'!$A$32:$B$37,2,FALSE)</f>
        <v/>
      </c>
      <c r="O154" s="989">
        <f>M154-K154</f>
        <v/>
      </c>
      <c r="P154" s="990" t="inlineStr">
        <is>
          <t>always include</t>
        </is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IF(NOT(ISBLANK(C155)), ROUNDUP(F150/1000,0), 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>
        <f>IF(ISNA(D159),0,(VLOOKUP(D159,'Base Costs'!$Q$4:$R$13,2,FALSE)))</f>
        <v/>
      </c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IF(ISNUMBER(SEARCH("UV",D167)),49.7,71.75)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68">
        <f>N165-N172</f>
        <v/>
      </c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731" t="inlineStr">
        <is>
          <t>SPECIAL WORKS</t>
        </is>
      </c>
      <c r="C169" s="752" t="inlineStr">
        <is>
          <t>SELECT WORKS</t>
        </is>
      </c>
      <c r="D169" s="735" t="n"/>
      <c r="E169" s="753">
        <f>IF(C169="","",VLOOKUP(C169,CCBASE!$A$53:$D$73,4,FALSE))</f>
        <v/>
      </c>
      <c r="F169" s="754" t="n"/>
      <c r="G169" s="749" t="n"/>
      <c r="H169" s="750" t="n"/>
      <c r="I169" s="755" t="n"/>
      <c r="J169" s="736">
        <f>IF(C169="",0,VLOOKUP(C169,CCBASE!$A$53:$C$73,2,FALSE))</f>
        <v/>
      </c>
      <c r="K169" s="737">
        <f>J169*D169</f>
        <v/>
      </c>
      <c r="L169" s="738" t="n">
        <v>0.44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584" t="inlineStr">
        <is>
          <t>SPECIAL WORKS</t>
        </is>
      </c>
      <c r="C170" s="33" t="inlineStr">
        <is>
          <t>SELECT WORKS</t>
        </is>
      </c>
      <c r="D170" s="735" t="n"/>
      <c r="E170" s="753">
        <f>IF(C170="","",VLOOKUP(C170,CCBASE!$A$53:$D$73,4,FALSE))</f>
        <v/>
      </c>
      <c r="F170" s="754" t="n"/>
      <c r="G170" s="749" t="n"/>
      <c r="H170" s="750" t="n"/>
      <c r="I170" s="755" t="n"/>
      <c r="J170" s="736">
        <f>IF(C170="",0,VLOOKUP(C170,CCBASE!$A$53:$C$73,2,FALSE))</f>
        <v/>
      </c>
      <c r="K170" s="737">
        <f>J170*D170</f>
        <v/>
      </c>
      <c r="L170" s="738" t="n">
        <v>0.44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991" t="inlineStr">
        <is>
          <t>SPECIAL WORKS</t>
        </is>
      </c>
      <c r="C171" s="992" t="inlineStr">
        <is>
          <t>BIM/ REVIT per CANOPY</t>
        </is>
      </c>
      <c r="D171" s="980" t="n"/>
      <c r="E171" s="981">
        <f>IF(C171="","",VLOOKUP(C171,CCBASE!$A$53:$D$73,4,FALSE))</f>
        <v/>
      </c>
      <c r="F171" s="982" t="n"/>
      <c r="G171" s="977" t="n"/>
      <c r="H171" s="983" t="n"/>
      <c r="I171" s="984" t="n"/>
      <c r="J171" s="985">
        <f>IF(C171="",0,VLOOKUP(C171,CCBASE!$A$53:$C$73,2,FALSE))</f>
        <v/>
      </c>
      <c r="K171" s="986">
        <f>J171*D171</f>
        <v/>
      </c>
      <c r="L171" s="987" t="n">
        <v>0.44</v>
      </c>
      <c r="M171" s="988">
        <f>K171/(1-L171)*(1+$C$9)</f>
        <v/>
      </c>
      <c r="N171" s="986">
        <f>M171*VLOOKUP($B$9,'Base Costs'!$A$32:$B$37,2,FALSE)</f>
        <v/>
      </c>
      <c r="O171" s="989">
        <f>M171-K171</f>
        <v/>
      </c>
      <c r="P171" s="990" t="inlineStr">
        <is>
          <t>always include</t>
        </is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IF(NOT(ISBLANK(C172)), ROUNDUP(F167/1000,0), 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>
        <f>IF(ISNA(D176),0,(VLOOKUP(D176,'Base Costs'!$Q$4:$R$13,2,FALSE)))</f>
        <v/>
      </c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10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P182" s="1068">
        <f>N182-N193</f>
        <v/>
      </c>
      <c r="S182" s="694" t="n"/>
    </row>
    <row r="183" ht="15" customHeight="1" s="1085">
      <c r="A183" s="666" t="n">
        <v>222</v>
      </c>
      <c r="B183" s="589" t="inlineStr">
        <is>
          <t>DELIVERY 1 x 7.5T TAIL LIFT 3200KGS</t>
        </is>
      </c>
      <c r="C183" s="774" t="n"/>
      <c r="D183" s="775" t="inlineStr">
        <is>
          <t>SELECT LOCATION…</t>
        </is>
      </c>
      <c r="E183" s="1111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Q183" s="745" t="n"/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/>
      <c r="D184" s="775" t="inlineStr">
        <is>
          <t>PLANT SELECTION (weekly)</t>
        </is>
      </c>
      <c r="E184" s="1108" t="inlineStr">
        <is>
          <t>Install of 6no Pieces of Canopy Max</t>
        </is>
      </c>
      <c r="G184" s="748" t="n"/>
      <c r="H184" s="748" t="n"/>
      <c r="I184" s="748" t="n"/>
      <c r="J184" s="776">
        <f>VLOOKUP(D184,'Base Costs'!$A$3:$B$15,2,FALSE)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269" t="inlineStr">
        <is>
          <t xml:space="preserve">PLANT HIRE </t>
        </is>
      </c>
      <c r="C185" s="777" t="n"/>
      <c r="D185" s="775" t="inlineStr">
        <is>
          <t>PLANT SELECTION (weekly)</t>
        </is>
      </c>
      <c r="E185" s="1108" t="inlineStr">
        <is>
          <t>Install of 6no Pieces of Canopy Max</t>
        </is>
      </c>
      <c r="G185" s="748" t="n"/>
      <c r="H185" s="748" t="n"/>
      <c r="I185" s="748" t="n"/>
      <c r="J185" s="776">
        <f>VLOOKUP(D185,'Base Costs'!$A$3:$B$15,2,FALSE)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S185" s="694" t="n"/>
    </row>
    <row r="186" ht="15" customHeight="1" s="1085">
      <c r="A186" s="666" t="n">
        <v>222</v>
      </c>
      <c r="B186" s="270" t="n"/>
      <c r="C186" s="946" t="n"/>
      <c r="D186" s="775" t="inlineStr">
        <is>
          <t>SELECT LOCATION…</t>
        </is>
      </c>
      <c r="E186" s="1109" t="n"/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610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>
        <f>ROUNDUP((IF(C14="WALL",(F14/1000),(F14/1000)*2)+IF(C31="WALL",(F31/1000),(F31/1000)*2)+IF(C48="WALL",(F48/1000),(F48/1000)*2)+IF(C65="WALL",(F65/1000),(F65/1000)*2)+IF(C82="WALL",(F82/1000),(F82/1000)*2)+IF(C99="WALL",(F99/1000),(F99/1000)*2)+IF(C116="WALL",(F116/1000),(F116/1000)*2)+IF(C133="WALL",(F133/1000),(F133/1000)*2)+IF(C150="WALL",(F150/1000),(F150/1000)*2)+IF(C167="WALL",(F167/1000),(F167/1000)*2)),0)</f>
        <v/>
      </c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731" t="inlineStr">
        <is>
          <t>INSTALLATION NORMAL HOURS</t>
        </is>
      </c>
      <c r="C189" s="777" t="n"/>
      <c r="D189" s="1102" t="inlineStr">
        <is>
          <t>2 Pieces = 1 Day, 4 Pieces = 1.5 Days, 6 Pieces = 2 Days, 8 Pieces = 2.5 Days (1 Section up to 3m long equals 2 Pieces) + logistics</t>
        </is>
      </c>
      <c r="J189" s="776" t="n">
        <v>610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S189" s="694" t="n"/>
    </row>
    <row r="190" ht="15" customHeight="1" s="1085">
      <c r="A190" s="666" t="n">
        <v>400</v>
      </c>
      <c r="B190" s="731" t="inlineStr">
        <is>
          <t>INSTALLATION AFTER HOURS</t>
        </is>
      </c>
      <c r="C190" s="777" t="n"/>
      <c r="D190" s="1102" t="inlineStr">
        <is>
          <t>2 Pieces = 1 Day, 4 Pieces = 1.5 Days, 6 Pieces = 2 Days, 8 Pieces = 2.5 Days (1 Section up to 3m long equals 2 Pieces) + logistics</t>
        </is>
      </c>
      <c r="J190" s="776" t="n">
        <v>1220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610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220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15" t="inlineStr">
        <is>
          <t>ONE Engineer,  1 day per 4no UV or W/W Sections of Canopy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9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09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20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2">
    <mergeCell ref="B203:O203"/>
    <mergeCell ref="H91:I91"/>
    <mergeCell ref="D189:I189"/>
    <mergeCell ref="E121:F121"/>
    <mergeCell ref="H38:I38"/>
    <mergeCell ref="H125:I125"/>
    <mergeCell ref="B200:O200"/>
    <mergeCell ref="G186:I186"/>
    <mergeCell ref="D194:F194"/>
    <mergeCell ref="C5:D5"/>
    <mergeCell ref="H141:I141"/>
    <mergeCell ref="E185:F185"/>
    <mergeCell ref="D197:F197"/>
    <mergeCell ref="B182:G182"/>
    <mergeCell ref="B202:O202"/>
    <mergeCell ref="H55:I55"/>
    <mergeCell ref="H40:I40"/>
    <mergeCell ref="H74:I74"/>
    <mergeCell ref="H176:I176"/>
    <mergeCell ref="H56:I56"/>
    <mergeCell ref="P7:R7"/>
    <mergeCell ref="E35:F35"/>
    <mergeCell ref="H39:I39"/>
    <mergeCell ref="E87:F87"/>
    <mergeCell ref="G9:J9"/>
    <mergeCell ref="H21:I21"/>
    <mergeCell ref="H73:I73"/>
    <mergeCell ref="H157:I157"/>
    <mergeCell ref="D195:E195"/>
    <mergeCell ref="D193:F193"/>
    <mergeCell ref="E138:F138"/>
    <mergeCell ref="E19:F19"/>
    <mergeCell ref="H142:I142"/>
    <mergeCell ref="E155:F155"/>
    <mergeCell ref="H89:I89"/>
    <mergeCell ref="H123:I123"/>
    <mergeCell ref="G5:J5"/>
    <mergeCell ref="B1:C1"/>
    <mergeCell ref="E9:F9"/>
    <mergeCell ref="H108:I108"/>
    <mergeCell ref="H106:I106"/>
    <mergeCell ref="E186:F186"/>
    <mergeCell ref="G183:I183"/>
    <mergeCell ref="E104:F104"/>
    <mergeCell ref="H72:I72"/>
    <mergeCell ref="H174:I174"/>
    <mergeCell ref="H90:I90"/>
    <mergeCell ref="B205:O205"/>
    <mergeCell ref="H57:I57"/>
    <mergeCell ref="G7:J7"/>
    <mergeCell ref="H159:I159"/>
    <mergeCell ref="E36:F36"/>
    <mergeCell ref="H22:I22"/>
    <mergeCell ref="E70:F70"/>
    <mergeCell ref="H140:I140"/>
    <mergeCell ref="H158:I158"/>
    <mergeCell ref="D196:E196"/>
    <mergeCell ref="E172:F172"/>
    <mergeCell ref="C7:D7"/>
    <mergeCell ref="D190:I190"/>
    <mergeCell ref="G3:J3"/>
    <mergeCell ref="E183:F183"/>
    <mergeCell ref="H124:I124"/>
    <mergeCell ref="B201:O201"/>
    <mergeCell ref="E184:F184"/>
    <mergeCell ref="H107:I107"/>
    <mergeCell ref="E53:F53"/>
    <mergeCell ref="B204:O204"/>
    <mergeCell ref="H23:I23"/>
    <mergeCell ref="C3:D3"/>
    <mergeCell ref="P5:T5"/>
    <mergeCell ref="H175:I175"/>
  </mergeCells>
  <conditionalFormatting sqref="B9">
    <cfRule type="containsText" priority="663" operator="containsText" dxfId="680" text="SELECT">
      <formula>NOT(ISERROR(SEARCH("SELECT",B9)))</formula>
    </cfRule>
    <cfRule type="expression" priority="664" dxfId="680">
      <formula>B9="CURRENCY"</formula>
    </cfRule>
  </conditionalFormatting>
  <conditionalFormatting sqref="B11">
    <cfRule type="expression" priority="626" dxfId="637">
      <formula>$B11&lt;&gt;""</formula>
    </cfRule>
  </conditionalFormatting>
  <conditionalFormatting sqref="B14:B23">
    <cfRule type="expression" priority="618" dxfId="633">
      <formula>$J14&gt;0</formula>
    </cfRule>
  </conditionalFormatting>
  <conditionalFormatting sqref="B24">
    <cfRule type="expression" priority="615" dxfId="633">
      <formula>ISNUMBER(SEARCH("UV",$D14))</formula>
    </cfRule>
    <cfRule type="expression" priority="616" dxfId="358">
      <formula>($D14="CANOPY TYPE")</formula>
    </cfRule>
  </conditionalFormatting>
  <conditionalFormatting sqref="B25:B27">
    <cfRule type="expression" priority="443" dxfId="633">
      <formula>$J25&gt;0</formula>
    </cfRule>
  </conditionalFormatting>
  <conditionalFormatting sqref="B28">
    <cfRule type="expression" priority="624" dxfId="637">
      <formula>$B28&lt;&gt;""</formula>
    </cfRule>
  </conditionalFormatting>
  <conditionalFormatting sqref="B31:B40">
    <cfRule type="expression" priority="388" dxfId="633">
      <formula>$J31&gt;0</formula>
    </cfRule>
  </conditionalFormatting>
  <conditionalFormatting sqref="B41">
    <cfRule type="expression" priority="583" dxfId="633">
      <formula>ISNUMBER(SEARCH("UV",$D31))</formula>
    </cfRule>
    <cfRule type="expression" priority="584" dxfId="358">
      <formula>($D31="CANOPY TYPE")</formula>
    </cfRule>
  </conditionalFormatting>
  <conditionalFormatting sqref="B42:B44">
    <cfRule type="expression" priority="585" dxfId="633">
      <formula>$J42&gt;0</formula>
    </cfRule>
  </conditionalFormatting>
  <conditionalFormatting sqref="B45">
    <cfRule type="expression" priority="623" dxfId="637">
      <formula>$B45&lt;&gt;""</formula>
    </cfRule>
  </conditionalFormatting>
  <conditionalFormatting sqref="B48:B57">
    <cfRule type="expression" priority="103" dxfId="633">
      <formula>$J48&gt;0</formula>
    </cfRule>
  </conditionalFormatting>
  <conditionalFormatting sqref="B58">
    <cfRule type="expression" priority="557" dxfId="358">
      <formula>($D48="CANOPY TYPE")</formula>
    </cfRule>
    <cfRule type="expression" priority="556" dxfId="633">
      <formula>ISNUMBER(SEARCH("UV",$D48))</formula>
    </cfRule>
  </conditionalFormatting>
  <conditionalFormatting sqref="B59:B61">
    <cfRule type="expression" priority="442" dxfId="633">
      <formula>$J59&gt;0</formula>
    </cfRule>
  </conditionalFormatting>
  <conditionalFormatting sqref="B62">
    <cfRule type="expression" priority="622" dxfId="637">
      <formula>$B62&lt;&gt;""</formula>
    </cfRule>
  </conditionalFormatting>
  <conditionalFormatting sqref="B65:B74">
    <cfRule type="expression" priority="89" dxfId="633">
      <formula>$J65&gt;0</formula>
    </cfRule>
  </conditionalFormatting>
  <conditionalFormatting sqref="B75">
    <cfRule type="expression" priority="528" dxfId="633">
      <formula>ISNUMBER(SEARCH("UV",$D65))</formula>
    </cfRule>
    <cfRule type="expression" priority="529" dxfId="358">
      <formula>($D65="CANOPY TYPE")</formula>
    </cfRule>
  </conditionalFormatting>
  <conditionalFormatting sqref="B76:B78">
    <cfRule type="expression" priority="441" dxfId="633">
      <formula>$J76&gt;0</formula>
    </cfRule>
  </conditionalFormatting>
  <conditionalFormatting sqref="B79">
    <cfRule type="expression" priority="621" dxfId="637">
      <formula>$B79&lt;&gt;""</formula>
    </cfRule>
  </conditionalFormatting>
  <conditionalFormatting sqref="B82:B91">
    <cfRule type="expression" priority="75" dxfId="633">
      <formula>$J82&gt;0</formula>
    </cfRule>
  </conditionalFormatting>
  <conditionalFormatting sqref="B92">
    <cfRule type="expression" priority="499" dxfId="633">
      <formula>ISNUMBER(SEARCH("UV",$D82))</formula>
    </cfRule>
    <cfRule type="expression" priority="500" dxfId="358">
      <formula>($D82="CANOPY TYPE")</formula>
    </cfRule>
  </conditionalFormatting>
  <conditionalFormatting sqref="B93:B95">
    <cfRule type="expression" priority="440" dxfId="633">
      <formula>$J93&gt;0</formula>
    </cfRule>
  </conditionalFormatting>
  <conditionalFormatting sqref="B96">
    <cfRule type="expression" priority="620" dxfId="637">
      <formula>$B96&lt;&gt;""</formula>
    </cfRule>
  </conditionalFormatting>
  <conditionalFormatting sqref="B99:B108">
    <cfRule type="expression" priority="61" dxfId="633">
      <formula>$J99&gt;0</formula>
    </cfRule>
  </conditionalFormatting>
  <conditionalFormatting sqref="B109">
    <cfRule type="expression" priority="472" dxfId="358">
      <formula>($D99="CANOPY TYPE")</formula>
    </cfRule>
    <cfRule type="expression" priority="471" dxfId="633">
      <formula>ISNUMBER(SEARCH("UV",$D99))</formula>
    </cfRule>
  </conditionalFormatting>
  <conditionalFormatting sqref="B110:B112 B127:B129 B144:B146 B161:B163 B178:B180">
    <cfRule type="expression" priority="439" dxfId="633">
      <formula>$J110&gt;0</formula>
    </cfRule>
  </conditionalFormatting>
  <conditionalFormatting sqref="B113">
    <cfRule type="expression" priority="320" dxfId="637">
      <formula>$B113&lt;&gt;""</formula>
    </cfRule>
  </conditionalFormatting>
  <conditionalFormatting sqref="B116:B125">
    <cfRule type="expression" priority="47" dxfId="633">
      <formula>$J116&gt;0</formula>
    </cfRule>
  </conditionalFormatting>
  <conditionalFormatting sqref="B126">
    <cfRule type="expression" priority="295" dxfId="633">
      <formula>ISNUMBER(SEARCH("UV",$D116))</formula>
    </cfRule>
    <cfRule type="expression" priority="296" dxfId="358">
      <formula>($D116="CANOPY TYPE")</formula>
    </cfRule>
  </conditionalFormatting>
  <conditionalFormatting sqref="B130">
    <cfRule type="expression" priority="265" dxfId="637">
      <formula>$B130&lt;&gt;""</formula>
    </cfRule>
  </conditionalFormatting>
  <conditionalFormatting sqref="B133:B142">
    <cfRule type="expression" priority="33" dxfId="633">
      <formula>$J133&gt;0</formula>
    </cfRule>
  </conditionalFormatting>
  <conditionalFormatting sqref="B143">
    <cfRule type="expression" priority="241" dxfId="358">
      <formula>($D133="CANOPY TYPE")</formula>
    </cfRule>
    <cfRule type="expression" priority="240" dxfId="633">
      <formula>ISNUMBER(SEARCH("UV",$D133))</formula>
    </cfRule>
  </conditionalFormatting>
  <conditionalFormatting sqref="B147">
    <cfRule type="expression" priority="214" dxfId="637">
      <formula>$B147&lt;&gt;""</formula>
    </cfRule>
  </conditionalFormatting>
  <conditionalFormatting sqref="B150:B159">
    <cfRule type="expression" priority="19" dxfId="633">
      <formula>$J150&gt;0</formula>
    </cfRule>
  </conditionalFormatting>
  <conditionalFormatting sqref="B160">
    <cfRule type="expression" priority="190" dxfId="358">
      <formula>($D150="CANOPY TYPE")</formula>
    </cfRule>
    <cfRule type="expression" priority="189" dxfId="633">
      <formula>ISNUMBER(SEARCH("UV",$D150))</formula>
    </cfRule>
  </conditionalFormatting>
  <conditionalFormatting sqref="B164">
    <cfRule type="expression" priority="163" dxfId="637">
      <formula>$B164&lt;&gt;""</formula>
    </cfRule>
  </conditionalFormatting>
  <conditionalFormatting sqref="B167:B176">
    <cfRule type="expression" priority="5" dxfId="633">
      <formula>$J167&gt;0</formula>
    </cfRule>
  </conditionalFormatting>
  <conditionalFormatting sqref="B177">
    <cfRule type="expression" priority="138" dxfId="633">
      <formula>ISNUMBER(SEARCH("UV",$D167))</formula>
    </cfRule>
    <cfRule type="expression" priority="139" dxfId="358">
      <formula>($D167="CANOPY TYPE")</formula>
    </cfRule>
  </conditionalFormatting>
  <conditionalFormatting sqref="B183:B197">
    <cfRule type="expression" priority="617" dxfId="633">
      <formula>$C183&gt;0</formula>
    </cfRule>
  </conditionalFormatting>
  <conditionalFormatting sqref="C14">
    <cfRule type="containsText" priority="429" operator="containsText" dxfId="204" text="CONFIG">
      <formula>NOT(ISERROR(SEARCH("CONFIG",C14)))</formula>
    </cfRule>
  </conditionalFormatting>
  <conditionalFormatting sqref="C15">
    <cfRule type="containsText" priority="434" operator="containsText" dxfId="561" text="LIGHT SELECTION">
      <formula>NOT(ISERROR(SEARCH("LIGHT SELECTION",C15)))</formula>
    </cfRule>
  </conditionalFormatting>
  <conditionalFormatting sqref="C20:C21">
    <cfRule type="cellIs" priority="669" operator="lessThan" dxfId="561">
      <formula>1</formula>
    </cfRule>
  </conditionalFormatting>
  <conditionalFormatting sqref="C22:C23">
    <cfRule type="expression" priority="409" dxfId="383">
      <formula>D22="WW PODS"</formula>
    </cfRule>
  </conditionalFormatting>
  <conditionalFormatting sqref="C24">
    <cfRule type="expression" priority="686" dxfId="559">
      <formula>ISNUMBER(SEARCH("UV",D14))</formula>
    </cfRule>
  </conditionalFormatting>
  <conditionalFormatting sqref="C25">
    <cfRule type="expression" priority="651" dxfId="472">
      <formula>(ISNUMBER(SEARCH("CMW",D14)))=TRUE</formula>
    </cfRule>
  </conditionalFormatting>
  <conditionalFormatting sqref="C26">
    <cfRule type="expression" priority="650" dxfId="472">
      <formula>(ISNUMBER(SEARCH("CMW",D14)))=TRUE</formula>
    </cfRule>
  </conditionalFormatting>
  <conditionalFormatting sqref="C27">
    <cfRule type="expression" priority="619" dxfId="472">
      <formula>(ISNUMBER(SEARCH("CMW",$D14)))=TRUE</formula>
    </cfRule>
  </conditionalFormatting>
  <conditionalFormatting sqref="C31">
    <cfRule type="containsText" priority="594" operator="containsText" dxfId="204" text="CONFIG">
      <formula>NOT(ISERROR(SEARCH("CONFIG",C31)))</formula>
    </cfRule>
  </conditionalFormatting>
  <conditionalFormatting sqref="C32">
    <cfRule type="containsText" priority="436" operator="containsText" dxfId="561" text="LIGHT SELECTION">
      <formula>NOT(ISERROR(SEARCH("LIGHT SELECTION",C32)))</formula>
    </cfRule>
  </conditionalFormatting>
  <conditionalFormatting sqref="C37:C38">
    <cfRule type="cellIs" priority="593" operator="lessThan" dxfId="561">
      <formula>1</formula>
    </cfRule>
  </conditionalFormatting>
  <conditionalFormatting sqref="C39:C40">
    <cfRule type="expression" priority="387" dxfId="383">
      <formula>D39="WW PODS"</formula>
    </cfRule>
  </conditionalFormatting>
  <conditionalFormatting sqref="C41">
    <cfRule type="expression" priority="608" dxfId="559">
      <formula>ISNUMBER(SEARCH("UV",D31))</formula>
    </cfRule>
  </conditionalFormatting>
  <conditionalFormatting sqref="C42">
    <cfRule type="expression" priority="591" dxfId="472">
      <formula>(ISNUMBER(SEARCH("CMW",D31)))=TRUE</formula>
    </cfRule>
  </conditionalFormatting>
  <conditionalFormatting sqref="C43">
    <cfRule type="expression" priority="468" dxfId="472">
      <formula>(ISNUMBER(SEARCH("CMW",D31)))=TRUE</formula>
    </cfRule>
  </conditionalFormatting>
  <conditionalFormatting sqref="C44">
    <cfRule type="expression" priority="586" dxfId="472">
      <formula>(ISNUMBER(SEARCH("CMW",$D31)))=TRUE</formula>
    </cfRule>
  </conditionalFormatting>
  <conditionalFormatting sqref="C48">
    <cfRule type="containsText" priority="563" operator="containsText" dxfId="204" text="CONFIG">
      <formula>NOT(ISERROR(SEARCH("CONFIG",C48)))</formula>
    </cfRule>
  </conditionalFormatting>
  <conditionalFormatting sqref="C49">
    <cfRule type="containsText" priority="433" operator="containsText" dxfId="561" text="LIGHT SELECTION">
      <formula>NOT(ISERROR(SEARCH("LIGHT SELECTION",C49)))</formula>
    </cfRule>
  </conditionalFormatting>
  <conditionalFormatting sqref="C54:C55">
    <cfRule type="cellIs" priority="562" operator="lessThan" dxfId="561">
      <formula>1</formula>
    </cfRule>
  </conditionalFormatting>
  <conditionalFormatting sqref="C56:C57">
    <cfRule type="expression" priority="368" dxfId="383">
      <formula>D56="WW PODS"</formula>
    </cfRule>
  </conditionalFormatting>
  <conditionalFormatting sqref="C58">
    <cfRule type="expression" priority="576" dxfId="559">
      <formula>ISNUMBER(SEARCH("UV",D48))</formula>
    </cfRule>
  </conditionalFormatting>
  <conditionalFormatting sqref="C59">
    <cfRule type="expression" priority="560" dxfId="472">
      <formula>(ISNUMBER(SEARCH("CMW",D48)))=TRUE</formula>
    </cfRule>
  </conditionalFormatting>
  <conditionalFormatting sqref="C60">
    <cfRule type="expression" priority="467" dxfId="472">
      <formula>(ISNUMBER(SEARCH("CMW",D48)))=TRUE</formula>
    </cfRule>
  </conditionalFormatting>
  <conditionalFormatting sqref="C61">
    <cfRule type="expression" priority="558" dxfId="472">
      <formula>(ISNUMBER(SEARCH("CMW",$D48)))=TRUE</formula>
    </cfRule>
  </conditionalFormatting>
  <conditionalFormatting sqref="C65">
    <cfRule type="containsText" priority="536" operator="containsText" dxfId="204" text="CONFIG">
      <formula>NOT(ISERROR(SEARCH("CONFIG",C65)))</formula>
    </cfRule>
  </conditionalFormatting>
  <conditionalFormatting sqref="C66">
    <cfRule type="containsText" priority="432" operator="containsText" dxfId="561" text="LIGHT SELECTION">
      <formula>NOT(ISERROR(SEARCH("LIGHT SELECTION",C66)))</formula>
    </cfRule>
  </conditionalFormatting>
  <conditionalFormatting sqref="C71:C72">
    <cfRule type="cellIs" priority="535" operator="lessThan" dxfId="561">
      <formula>1</formula>
    </cfRule>
  </conditionalFormatting>
  <conditionalFormatting sqref="C73:C74">
    <cfRule type="expression" priority="353" dxfId="383">
      <formula>D73="WW PODS"</formula>
    </cfRule>
  </conditionalFormatting>
  <conditionalFormatting sqref="C75">
    <cfRule type="expression" priority="549" dxfId="559">
      <formula>ISNUMBER(SEARCH("UV",D65))</formula>
    </cfRule>
  </conditionalFormatting>
  <conditionalFormatting sqref="C76">
    <cfRule type="expression" priority="532" dxfId="472">
      <formula>(ISNUMBER(SEARCH("CMW",D65)))=TRUE</formula>
    </cfRule>
  </conditionalFormatting>
  <conditionalFormatting sqref="C77">
    <cfRule type="expression" priority="466" dxfId="472">
      <formula>(ISNUMBER(SEARCH("CMW",D65)))=TRUE</formula>
    </cfRule>
  </conditionalFormatting>
  <conditionalFormatting sqref="C78">
    <cfRule type="expression" priority="530" dxfId="472">
      <formula>(ISNUMBER(SEARCH("CMW",$D65)))=TRUE</formula>
    </cfRule>
  </conditionalFormatting>
  <conditionalFormatting sqref="C82">
    <cfRule type="containsText" priority="507" operator="containsText" dxfId="204" text="CONFIG">
      <formula>NOT(ISERROR(SEARCH("CONFIG",C82)))</formula>
    </cfRule>
  </conditionalFormatting>
  <conditionalFormatting sqref="C83">
    <cfRule type="containsText" priority="431" operator="containsText" dxfId="561" text="LIGHT SELECTION">
      <formula>NOT(ISERROR(SEARCH("LIGHT SELECTION",C83)))</formula>
    </cfRule>
  </conditionalFormatting>
  <conditionalFormatting sqref="C88:C89">
    <cfRule type="cellIs" priority="506" operator="lessThan" dxfId="561">
      <formula>1</formula>
    </cfRule>
  </conditionalFormatting>
  <conditionalFormatting sqref="C90:C91">
    <cfRule type="expression" priority="338" dxfId="383">
      <formula>D90="WW PODS"</formula>
    </cfRule>
  </conditionalFormatting>
  <conditionalFormatting sqref="C92">
    <cfRule type="expression" priority="521" dxfId="559">
      <formula>ISNUMBER(SEARCH("UV",D82))</formula>
    </cfRule>
  </conditionalFormatting>
  <conditionalFormatting sqref="C93">
    <cfRule type="expression" priority="503" dxfId="472">
      <formula>(ISNUMBER(SEARCH("CMW",D82)))=TRUE</formula>
    </cfRule>
  </conditionalFormatting>
  <conditionalFormatting sqref="C94">
    <cfRule type="expression" priority="465" dxfId="472">
      <formula>(ISNUMBER(SEARCH("CMW",D82)))=TRUE</formula>
    </cfRule>
  </conditionalFormatting>
  <conditionalFormatting sqref="C95">
    <cfRule type="expression" priority="501" dxfId="472">
      <formula>(ISNUMBER(SEARCH("CMW",$D82)))=TRUE</formula>
    </cfRule>
  </conditionalFormatting>
  <conditionalFormatting sqref="C99">
    <cfRule type="containsText" priority="478" operator="containsText" dxfId="204" text="CONFIG">
      <formula>NOT(ISERROR(SEARCH("CONFIG",C99)))</formula>
    </cfRule>
  </conditionalFormatting>
  <conditionalFormatting sqref="C100">
    <cfRule type="containsText" priority="430" operator="containsText" dxfId="561" text="LIGHT SELECTION">
      <formula>NOT(ISERROR(SEARCH("LIGHT SELECTION",C100)))</formula>
    </cfRule>
  </conditionalFormatting>
  <conditionalFormatting sqref="C105:C106">
    <cfRule type="cellIs" priority="477" operator="lessThan" dxfId="561">
      <formula>1</formula>
    </cfRule>
  </conditionalFormatting>
  <conditionalFormatting sqref="C107:C108">
    <cfRule type="expression" priority="323" dxfId="383">
      <formula>D107="WW PODS"</formula>
    </cfRule>
  </conditionalFormatting>
  <conditionalFormatting sqref="C109">
    <cfRule type="expression" priority="492" dxfId="559">
      <formula>ISNUMBER(SEARCH("UV",D99))</formula>
    </cfRule>
  </conditionalFormatting>
  <conditionalFormatting sqref="C110">
    <cfRule type="expression" priority="475" dxfId="472">
      <formula>(ISNUMBER(SEARCH("CMW",D99)))=TRUE</formula>
    </cfRule>
  </conditionalFormatting>
  <conditionalFormatting sqref="C111">
    <cfRule type="expression" priority="464" dxfId="472">
      <formula>(ISNUMBER(SEARCH("CMW",D99)))=TRUE</formula>
    </cfRule>
  </conditionalFormatting>
  <conditionalFormatting sqref="C112 C129 C146 C163 C180">
    <cfRule type="expression" priority="473" dxfId="472">
      <formula>(ISNUMBER(SEARCH("CMW",$D99)))=TRUE</formula>
    </cfRule>
  </conditionalFormatting>
  <conditionalFormatting sqref="C116">
    <cfRule type="containsText" priority="301" operator="containsText" dxfId="204" text="CONFIG">
      <formula>NOT(ISERROR(SEARCH("CONFIG",C116)))</formula>
    </cfRule>
  </conditionalFormatting>
  <conditionalFormatting sqref="C117">
    <cfRule type="containsText" priority="288" operator="containsText" dxfId="561" text="LIGHT SELECTION">
      <formula>NOT(ISERROR(SEARCH("LIGHT SELECTION",C117)))</formula>
    </cfRule>
  </conditionalFormatting>
  <conditionalFormatting sqref="C122:C123">
    <cfRule type="cellIs" priority="300" operator="lessThan" dxfId="561">
      <formula>1</formula>
    </cfRule>
  </conditionalFormatting>
  <conditionalFormatting sqref="C124:C125">
    <cfRule type="expression" priority="272" dxfId="383">
      <formula>D124="WW PODS"</formula>
    </cfRule>
  </conditionalFormatting>
  <conditionalFormatting sqref="C126">
    <cfRule type="expression" priority="315" dxfId="559">
      <formula>ISNUMBER(SEARCH("UV",D116))</formula>
    </cfRule>
  </conditionalFormatting>
  <conditionalFormatting sqref="C127">
    <cfRule type="expression" priority="298" dxfId="472">
      <formula>(ISNUMBER(SEARCH("CMW",D116)))=TRUE</formula>
    </cfRule>
  </conditionalFormatting>
  <conditionalFormatting sqref="C128">
    <cfRule type="expression" priority="293" dxfId="472">
      <formula>(ISNUMBER(SEARCH("CMW",D116)))=TRUE</formula>
    </cfRule>
  </conditionalFormatting>
  <conditionalFormatting sqref="C133">
    <cfRule type="containsText" priority="246" operator="containsText" dxfId="204" text="CONFIG">
      <formula>NOT(ISERROR(SEARCH("CONFIG",C133)))</formula>
    </cfRule>
  </conditionalFormatting>
  <conditionalFormatting sqref="C134">
    <cfRule type="containsText" priority="233" operator="containsText" dxfId="561" text="LIGHT SELECTION">
      <formula>NOT(ISERROR(SEARCH("LIGHT SELECTION",C134)))</formula>
    </cfRule>
  </conditionalFormatting>
  <conditionalFormatting sqref="C139:C140">
    <cfRule type="cellIs" priority="245" operator="lessThan" dxfId="561">
      <formula>1</formula>
    </cfRule>
  </conditionalFormatting>
  <conditionalFormatting sqref="C141:C142">
    <cfRule type="expression" priority="217" dxfId="383">
      <formula>D141="WW PODS"</formula>
    </cfRule>
  </conditionalFormatting>
  <conditionalFormatting sqref="C143">
    <cfRule type="expression" priority="260" dxfId="559">
      <formula>ISNUMBER(SEARCH("UV",D133))</formula>
    </cfRule>
  </conditionalFormatting>
  <conditionalFormatting sqref="C144">
    <cfRule type="expression" priority="243" dxfId="472">
      <formula>(ISNUMBER(SEARCH("CMW",D133)))=TRUE</formula>
    </cfRule>
  </conditionalFormatting>
  <conditionalFormatting sqref="C145">
    <cfRule type="expression" priority="238" dxfId="472">
      <formula>(ISNUMBER(SEARCH("CMW",D133)))=TRUE</formula>
    </cfRule>
  </conditionalFormatting>
  <conditionalFormatting sqref="C150">
    <cfRule type="containsText" priority="195" operator="containsText" dxfId="204" text="CONFIG">
      <formula>NOT(ISERROR(SEARCH("CONFIG",C150)))</formula>
    </cfRule>
  </conditionalFormatting>
  <conditionalFormatting sqref="C151">
    <cfRule type="containsText" priority="182" operator="containsText" dxfId="561" text="LIGHT SELECTION">
      <formula>NOT(ISERROR(SEARCH("LIGHT SELECTION",C151)))</formula>
    </cfRule>
  </conditionalFormatting>
  <conditionalFormatting sqref="C156:C157">
    <cfRule type="cellIs" priority="194" operator="lessThan" dxfId="561">
      <formula>1</formula>
    </cfRule>
  </conditionalFormatting>
  <conditionalFormatting sqref="C158:C159">
    <cfRule type="expression" priority="166" dxfId="383">
      <formula>D158="WW PODS"</formula>
    </cfRule>
  </conditionalFormatting>
  <conditionalFormatting sqref="C160">
    <cfRule type="expression" priority="209" dxfId="559">
      <formula>ISNUMBER(SEARCH("UV",D150))</formula>
    </cfRule>
  </conditionalFormatting>
  <conditionalFormatting sqref="C161">
    <cfRule type="expression" priority="192" dxfId="472">
      <formula>(ISNUMBER(SEARCH("CMW",D150)))=TRUE</formula>
    </cfRule>
  </conditionalFormatting>
  <conditionalFormatting sqref="C162">
    <cfRule type="expression" priority="187" dxfId="472">
      <formula>(ISNUMBER(SEARCH("CMW",D150)))=TRUE</formula>
    </cfRule>
  </conditionalFormatting>
  <conditionalFormatting sqref="C167">
    <cfRule type="containsText" priority="144" operator="containsText" dxfId="204" text="CONFIG">
      <formula>NOT(ISERROR(SEARCH("CONFIG",C167)))</formula>
    </cfRule>
  </conditionalFormatting>
  <conditionalFormatting sqref="C168">
    <cfRule type="containsText" priority="131" operator="containsText" dxfId="561" text="LIGHT SELECTION">
      <formula>NOT(ISERROR(SEARCH("LIGHT SELECTION",C168)))</formula>
    </cfRule>
  </conditionalFormatting>
  <conditionalFormatting sqref="C173:C174">
    <cfRule type="cellIs" priority="143" operator="lessThan" dxfId="561">
      <formula>1</formula>
    </cfRule>
  </conditionalFormatting>
  <conditionalFormatting sqref="C175:C176">
    <cfRule type="expression" priority="115" dxfId="383">
      <formula>D175="WW PODS"</formula>
    </cfRule>
  </conditionalFormatting>
  <conditionalFormatting sqref="C177">
    <cfRule type="expression" priority="158" dxfId="559">
      <formula>ISNUMBER(SEARCH("UV",D167))</formula>
    </cfRule>
  </conditionalFormatting>
  <conditionalFormatting sqref="C178">
    <cfRule type="expression" priority="141" dxfId="472">
      <formula>(ISNUMBER(SEARCH("CMW",D167)))=TRUE</formula>
    </cfRule>
  </conditionalFormatting>
  <conditionalFormatting sqref="C179">
    <cfRule type="expression" priority="136" dxfId="472">
      <formula>(ISNUMBER(SEARCH("CMW",D167)))=TRUE</formula>
    </cfRule>
  </conditionalFormatting>
  <conditionalFormatting sqref="C183:C184">
    <cfRule type="cellIs" priority="671" operator="lessThan" dxfId="554">
      <formula>1</formula>
    </cfRule>
  </conditionalFormatting>
  <conditionalFormatting sqref="C185">
    <cfRule type="cellIs" priority="660" operator="lessThan" dxfId="164">
      <formula>1</formula>
    </cfRule>
  </conditionalFormatting>
  <conditionalFormatting sqref="C186:C197">
    <cfRule type="cellIs" priority="270" operator="lessThan" dxfId="554">
      <formula>1</formula>
    </cfRule>
  </conditionalFormatting>
  <conditionalFormatting sqref="C9:D9">
    <cfRule type="cellIs" priority="661" operator="lessThan" dxfId="207">
      <formula>0</formula>
    </cfRule>
    <cfRule type="cellIs" priority="662" operator="greaterThan" dxfId="552">
      <formula>0</formula>
    </cfRule>
  </conditionalFormatting>
  <conditionalFormatting sqref="D14">
    <cfRule type="containsText" priority="672" operator="containsText" dxfId="164" text="CANOPY TYPE">
      <formula>NOT(ISERROR(SEARCH("CANOPY TYPE",D14)))</formula>
    </cfRule>
  </conditionalFormatting>
  <conditionalFormatting sqref="D15">
    <cfRule type="expression" priority="425" dxfId="206">
      <formula>(C15="LIGHT SELECTION")</formula>
    </cfRule>
  </conditionalFormatting>
  <conditionalFormatting sqref="D16:D18">
    <cfRule type="expression" priority="627" dxfId="206">
      <formula>($C16="SELECT WORKS")</formula>
    </cfRule>
  </conditionalFormatting>
  <conditionalFormatting sqref="D19">
    <cfRule type="expression" priority="269" dxfId="206">
      <formula>$C19="SELECT CLADDING"</formula>
    </cfRule>
  </conditionalFormatting>
  <conditionalFormatting sqref="D22:D23">
    <cfRule type="expression" priority="408" dxfId="358">
      <formula>($D$14="CANOPY TYPE")</formula>
    </cfRule>
  </conditionalFormatting>
  <conditionalFormatting sqref="D24">
    <cfRule type="expression" priority="685" dxfId="474">
      <formula>ISNUMBER(SEARCH("UV",D14))</formula>
    </cfRule>
  </conditionalFormatting>
  <conditionalFormatting sqref="D25">
    <cfRule type="expression" priority="613" dxfId="358">
      <formula>($D$14="CANOPY TYPE")</formula>
    </cfRule>
  </conditionalFormatting>
  <conditionalFormatting sqref="D26">
    <cfRule type="expression" priority="635" dxfId="472">
      <formula>(ISNUMBER(SEARCH("CMW",D14)))=TRUE</formula>
    </cfRule>
  </conditionalFormatting>
  <conditionalFormatting sqref="D31">
    <cfRule type="containsText" priority="595" operator="containsText" dxfId="164" text="CANOPY TYPE">
      <formula>NOT(ISERROR(SEARCH("CANOPY TYPE",D31)))</formula>
    </cfRule>
  </conditionalFormatting>
  <conditionalFormatting sqref="D32">
    <cfRule type="expression" priority="438" dxfId="206">
      <formula>(C32="LIGHT SELECTION")</formula>
    </cfRule>
  </conditionalFormatting>
  <conditionalFormatting sqref="D33:D35">
    <cfRule type="expression" priority="588" dxfId="206">
      <formula>($C33="SELECT WORKS")</formula>
    </cfRule>
  </conditionalFormatting>
  <conditionalFormatting sqref="D36">
    <cfRule type="expression" priority="417" dxfId="206">
      <formula>$C36="SELECT CLADDING"</formula>
    </cfRule>
  </conditionalFormatting>
  <conditionalFormatting sqref="D39:D40">
    <cfRule type="expression" priority="382" dxfId="358">
      <formula>($D$14="CANOPY TYPE")</formula>
    </cfRule>
  </conditionalFormatting>
  <conditionalFormatting sqref="D41">
    <cfRule type="expression" priority="607" dxfId="474">
      <formula>ISNUMBER(SEARCH("UV",D31))</formula>
    </cfRule>
  </conditionalFormatting>
  <conditionalFormatting sqref="D42">
    <cfRule type="expression" priority="581" dxfId="358">
      <formula>($D$14="CANOPY TYPE")</formula>
    </cfRule>
  </conditionalFormatting>
  <conditionalFormatting sqref="D43">
    <cfRule type="expression" priority="590" dxfId="472">
      <formula>(ISNUMBER(SEARCH("CMW",D31)))=TRUE</formula>
    </cfRule>
  </conditionalFormatting>
  <conditionalFormatting sqref="D48">
    <cfRule type="containsText" priority="420" operator="containsText" dxfId="164" text="CANOPY TYPE">
      <formula>NOT(ISERROR(SEARCH("CANOPY TYPE",D48)))</formula>
    </cfRule>
  </conditionalFormatting>
  <conditionalFormatting sqref="D49">
    <cfRule type="expression" priority="435" dxfId="206">
      <formula>(C15="LIGHT SELECTION")</formula>
    </cfRule>
  </conditionalFormatting>
  <conditionalFormatting sqref="D50:D52">
    <cfRule type="expression" priority="111" dxfId="206">
      <formula>($C50="SELECT WORKS")</formula>
    </cfRule>
  </conditionalFormatting>
  <conditionalFormatting sqref="D53">
    <cfRule type="expression" priority="418" dxfId="206">
      <formula>$C53="SELECT CLADDING"</formula>
    </cfRule>
  </conditionalFormatting>
  <conditionalFormatting sqref="D56:D57">
    <cfRule type="expression" priority="367" dxfId="358">
      <formula>($D$14="CANOPY TYPE")</formula>
    </cfRule>
  </conditionalFormatting>
  <conditionalFormatting sqref="D58">
    <cfRule type="expression" priority="575" dxfId="474">
      <formula>ISNUMBER(SEARCH("UV",D48))</formula>
    </cfRule>
  </conditionalFormatting>
  <conditionalFormatting sqref="D59">
    <cfRule type="expression" priority="554" dxfId="358">
      <formula>($D$14="CANOPY TYPE")</formula>
    </cfRule>
  </conditionalFormatting>
  <conditionalFormatting sqref="D60">
    <cfRule type="expression" priority="559" dxfId="472">
      <formula>(ISNUMBER(SEARCH("CMW",D48)))=TRUE</formula>
    </cfRule>
  </conditionalFormatting>
  <conditionalFormatting sqref="D65">
    <cfRule type="containsText" priority="419" operator="containsText" dxfId="164" text="CANOPY TYPE">
      <formula>NOT(ISERROR(SEARCH("CANOPY TYPE",D65)))</formula>
    </cfRule>
  </conditionalFormatting>
  <conditionalFormatting sqref="D66">
    <cfRule type="expression" priority="428" dxfId="206">
      <formula>(C66="LIGHT SELECTION")</formula>
    </cfRule>
  </conditionalFormatting>
  <conditionalFormatting sqref="D67:D69">
    <cfRule type="expression" priority="97" dxfId="206">
      <formula>($C67="SELECT WORKS")</formula>
    </cfRule>
  </conditionalFormatting>
  <conditionalFormatting sqref="D70">
    <cfRule type="expression" priority="533" dxfId="206">
      <formula>$C70="SELECT CLADDING"</formula>
    </cfRule>
  </conditionalFormatting>
  <conditionalFormatting sqref="D73:D74">
    <cfRule type="expression" priority="352" dxfId="358">
      <formula>($D$14="CANOPY TYPE")</formula>
    </cfRule>
  </conditionalFormatting>
  <conditionalFormatting sqref="D75">
    <cfRule type="expression" priority="548" dxfId="474">
      <formula>ISNUMBER(SEARCH("UV",D65))</formula>
    </cfRule>
  </conditionalFormatting>
  <conditionalFormatting sqref="D76">
    <cfRule type="expression" priority="526" dxfId="358">
      <formula>($D$14="CANOPY TYPE")</formula>
    </cfRule>
  </conditionalFormatting>
  <conditionalFormatting sqref="D77">
    <cfRule type="expression" priority="531" dxfId="472">
      <formula>(ISNUMBER(SEARCH("CMW",D65)))=TRUE</formula>
    </cfRule>
  </conditionalFormatting>
  <conditionalFormatting sqref="D82">
    <cfRule type="containsText" priority="508" operator="containsText" dxfId="164" text="CANOPY TYPE">
      <formula>NOT(ISERROR(SEARCH("CANOPY TYPE",D82)))</formula>
    </cfRule>
  </conditionalFormatting>
  <conditionalFormatting sqref="D83">
    <cfRule type="expression" priority="427" dxfId="206">
      <formula>(C83="LIGHT SELECTION")</formula>
    </cfRule>
  </conditionalFormatting>
  <conditionalFormatting sqref="D84:D86">
    <cfRule type="expression" priority="83" dxfId="206">
      <formula>($C84="SELECT WORKS")</formula>
    </cfRule>
  </conditionalFormatting>
  <conditionalFormatting sqref="D87">
    <cfRule type="expression" priority="504" dxfId="206">
      <formula>$C87="SELECT CLADDING"</formula>
    </cfRule>
  </conditionalFormatting>
  <conditionalFormatting sqref="D90:D91">
    <cfRule type="expression" priority="337" dxfId="358">
      <formula>($D$14="CANOPY TYPE")</formula>
    </cfRule>
  </conditionalFormatting>
  <conditionalFormatting sqref="D92">
    <cfRule type="expression" priority="520" dxfId="474">
      <formula>ISNUMBER(SEARCH("UV",D82))</formula>
    </cfRule>
  </conditionalFormatting>
  <conditionalFormatting sqref="D93">
    <cfRule type="expression" priority="497" dxfId="358">
      <formula>($D$14="CANOPY TYPE")</formula>
    </cfRule>
  </conditionalFormatting>
  <conditionalFormatting sqref="D94">
    <cfRule type="expression" priority="502" dxfId="472">
      <formula>(ISNUMBER(SEARCH("CMW",D82)))=TRUE</formula>
    </cfRule>
  </conditionalFormatting>
  <conditionalFormatting sqref="D99">
    <cfRule type="containsText" priority="479" operator="containsText" dxfId="164" text="CANOPY TYPE">
      <formula>NOT(ISERROR(SEARCH("CANOPY TYPE",D99)))</formula>
    </cfRule>
  </conditionalFormatting>
  <conditionalFormatting sqref="D100">
    <cfRule type="expression" priority="426" dxfId="206">
      <formula>(C100="LIGHT SELECTION")</formula>
    </cfRule>
  </conditionalFormatting>
  <conditionalFormatting sqref="D101:D103">
    <cfRule type="expression" priority="69" dxfId="206">
      <formula>($C101="SELECT WORKS")</formula>
    </cfRule>
  </conditionalFormatting>
  <conditionalFormatting sqref="D104">
    <cfRule type="expression" priority="416" dxfId="206">
      <formula>$C104="SELECT CLADDING"</formula>
    </cfRule>
  </conditionalFormatting>
  <conditionalFormatting sqref="D107:D108">
    <cfRule type="expression" priority="322" dxfId="358">
      <formula>($D$14="CANOPY TYPE")</formula>
    </cfRule>
  </conditionalFormatting>
  <conditionalFormatting sqref="D109">
    <cfRule type="expression" priority="491" dxfId="474">
      <formula>ISNUMBER(SEARCH("UV",D99))</formula>
    </cfRule>
  </conditionalFormatting>
  <conditionalFormatting sqref="D110">
    <cfRule type="expression" priority="469" dxfId="358">
      <formula>($D$14="CANOPY TYPE")</formula>
    </cfRule>
  </conditionalFormatting>
  <conditionalFormatting sqref="D111">
    <cfRule type="expression" priority="474" dxfId="472">
      <formula>(ISNUMBER(SEARCH("CMW",D99)))=TRUE</formula>
    </cfRule>
  </conditionalFormatting>
  <conditionalFormatting sqref="D116">
    <cfRule type="containsText" priority="302" operator="containsText" dxfId="164" text="CANOPY TYPE">
      <formula>NOT(ISERROR(SEARCH("CANOPY TYPE",D116)))</formula>
    </cfRule>
  </conditionalFormatting>
  <conditionalFormatting sqref="D117">
    <cfRule type="expression" priority="287" dxfId="206">
      <formula>(C117="LIGHT SELECTION")</formula>
    </cfRule>
  </conditionalFormatting>
  <conditionalFormatting sqref="D118:D120">
    <cfRule type="expression" priority="55" dxfId="206">
      <formula>($C118="SELECT WORKS")</formula>
    </cfRule>
  </conditionalFormatting>
  <conditionalFormatting sqref="D121">
    <cfRule type="expression" priority="286" dxfId="206">
      <formula>$C121="SELECT CLADDING"</formula>
    </cfRule>
  </conditionalFormatting>
  <conditionalFormatting sqref="D124:D125">
    <cfRule type="expression" priority="271" dxfId="358">
      <formula>($D$14="CANOPY TYPE")</formula>
    </cfRule>
  </conditionalFormatting>
  <conditionalFormatting sqref="D126">
    <cfRule type="expression" priority="314" dxfId="474">
      <formula>ISNUMBER(SEARCH("UV",D116))</formula>
    </cfRule>
  </conditionalFormatting>
  <conditionalFormatting sqref="D127">
    <cfRule type="expression" priority="294" dxfId="358">
      <formula>($D$14="CANOPY TYPE")</formula>
    </cfRule>
  </conditionalFormatting>
  <conditionalFormatting sqref="D128">
    <cfRule type="expression" priority="297" dxfId="472">
      <formula>(ISNUMBER(SEARCH("CMW",D116)))=TRUE</formula>
    </cfRule>
  </conditionalFormatting>
  <conditionalFormatting sqref="D133">
    <cfRule type="containsText" priority="247" operator="containsText" dxfId="164" text="CANOPY TYPE">
      <formula>NOT(ISERROR(SEARCH("CANOPY TYPE",D133)))</formula>
    </cfRule>
  </conditionalFormatting>
  <conditionalFormatting sqref="D134">
    <cfRule type="expression" priority="232" dxfId="206">
      <formula>(C134="LIGHT SELECTION")</formula>
    </cfRule>
  </conditionalFormatting>
  <conditionalFormatting sqref="D135:D137">
    <cfRule type="expression" priority="41" dxfId="206">
      <formula>($C135="SELECT WORKS")</formula>
    </cfRule>
  </conditionalFormatting>
  <conditionalFormatting sqref="D138">
    <cfRule type="expression" priority="231" dxfId="206">
      <formula>$C138="SELECT CLADDING"</formula>
    </cfRule>
  </conditionalFormatting>
  <conditionalFormatting sqref="D141:D142">
    <cfRule type="expression" priority="216" dxfId="358">
      <formula>($D$14="CANOPY TYPE")</formula>
    </cfRule>
  </conditionalFormatting>
  <conditionalFormatting sqref="D143">
    <cfRule type="expression" priority="259" dxfId="474">
      <formula>ISNUMBER(SEARCH("UV",D133))</formula>
    </cfRule>
  </conditionalFormatting>
  <conditionalFormatting sqref="D144">
    <cfRule type="expression" priority="239" dxfId="358">
      <formula>($D$14="CANOPY TYPE")</formula>
    </cfRule>
  </conditionalFormatting>
  <conditionalFormatting sqref="D145">
    <cfRule type="expression" priority="242" dxfId="472">
      <formula>(ISNUMBER(SEARCH("CMW",D133)))=TRUE</formula>
    </cfRule>
  </conditionalFormatting>
  <conditionalFormatting sqref="D150">
    <cfRule type="containsText" priority="196" operator="containsText" dxfId="164" text="CANOPY TYPE">
      <formula>NOT(ISERROR(SEARCH("CANOPY TYPE",D150)))</formula>
    </cfRule>
  </conditionalFormatting>
  <conditionalFormatting sqref="D151">
    <cfRule type="expression" priority="181" dxfId="206">
      <formula>(C151="LIGHT SELECTION")</formula>
    </cfRule>
  </conditionalFormatting>
  <conditionalFormatting sqref="D152:D154">
    <cfRule type="expression" priority="27" dxfId="206">
      <formula>($C152="SELECT WORKS")</formula>
    </cfRule>
  </conditionalFormatting>
  <conditionalFormatting sqref="D155">
    <cfRule type="expression" priority="180" dxfId="206">
      <formula>$C155="SELECT CLADDING"</formula>
    </cfRule>
  </conditionalFormatting>
  <conditionalFormatting sqref="D158:D159">
    <cfRule type="expression" priority="165" dxfId="358">
      <formula>($D$14="CANOPY TYPE")</formula>
    </cfRule>
  </conditionalFormatting>
  <conditionalFormatting sqref="D160">
    <cfRule type="expression" priority="208" dxfId="474">
      <formula>ISNUMBER(SEARCH("UV",D150))</formula>
    </cfRule>
  </conditionalFormatting>
  <conditionalFormatting sqref="D161">
    <cfRule type="expression" priority="188" dxfId="358">
      <formula>($D$14="CANOPY TYPE")</formula>
    </cfRule>
  </conditionalFormatting>
  <conditionalFormatting sqref="D162">
    <cfRule type="expression" priority="191" dxfId="472">
      <formula>(ISNUMBER(SEARCH("CMW",D150)))=TRUE</formula>
    </cfRule>
  </conditionalFormatting>
  <conditionalFormatting sqref="D167">
    <cfRule type="containsText" priority="145" operator="containsText" dxfId="164" text="CANOPY TYPE">
      <formula>NOT(ISERROR(SEARCH("CANOPY TYPE",D167)))</formula>
    </cfRule>
  </conditionalFormatting>
  <conditionalFormatting sqref="D168">
    <cfRule type="expression" priority="130" dxfId="206">
      <formula>(C168="LIGHT SELECTION")</formula>
    </cfRule>
  </conditionalFormatting>
  <conditionalFormatting sqref="D169:D171">
    <cfRule type="expression" priority="13" dxfId="206">
      <formula>($C169="SELECT WORKS")</formula>
    </cfRule>
  </conditionalFormatting>
  <conditionalFormatting sqref="D172">
    <cfRule type="expression" priority="129" dxfId="206">
      <formula>$C172="SELECT CLADDING"</formula>
    </cfRule>
  </conditionalFormatting>
  <conditionalFormatting sqref="D175:D176">
    <cfRule type="expression" priority="114" dxfId="358">
      <formula>($D$14="CANOPY TYPE")</formula>
    </cfRule>
  </conditionalFormatting>
  <conditionalFormatting sqref="D177">
    <cfRule type="expression" priority="157" dxfId="474">
      <formula>ISNUMBER(SEARCH("UV",D167))</formula>
    </cfRule>
  </conditionalFormatting>
  <conditionalFormatting sqref="D178">
    <cfRule type="expression" priority="137" dxfId="358">
      <formula>($D$14="CANOPY TYPE")</formula>
    </cfRule>
  </conditionalFormatting>
  <conditionalFormatting sqref="D179">
    <cfRule type="expression" priority="140" dxfId="472">
      <formula>(ISNUMBER(SEARCH("CMW",D167)))=TRUE</formula>
    </cfRule>
  </conditionalFormatting>
  <conditionalFormatting sqref="E12">
    <cfRule type="cellIs" priority="684" operator="greaterThan" dxfId="204">
      <formula>2000</formula>
    </cfRule>
    <cfRule type="expression" priority="683" dxfId="387">
      <formula>ISNUMBER(SEARCH("I-MUAP",$D$14))</formula>
    </cfRule>
    <cfRule type="expression" priority="682" dxfId="386">
      <formula>AND((ISNUMBER(SEARCH("I-MUAP",$D$14))),E12&lt;2500)</formula>
    </cfRule>
  </conditionalFormatting>
  <conditionalFormatting sqref="E15">
    <cfRule type="expression" priority="423" dxfId="315">
      <formula>(C15="LIGHT SELECTION")</formula>
    </cfRule>
  </conditionalFormatting>
  <conditionalFormatting sqref="E16:E18">
    <cfRule type="expression" priority="113" dxfId="381">
      <formula>$C16="SELECT WORKS"</formula>
    </cfRule>
  </conditionalFormatting>
  <conditionalFormatting sqref="E22:E23">
    <cfRule type="expression" priority="665" dxfId="384">
      <formula>D22="WW PODS"</formula>
    </cfRule>
    <cfRule type="expression" priority="666" dxfId="383">
      <formula>D22="FILTER TYPE"</formula>
    </cfRule>
    <cfRule type="expression" priority="667" dxfId="382">
      <formula>D22="KSA"</formula>
    </cfRule>
    <cfRule type="expression" priority="687" dxfId="381">
      <formula>(D14="CANOPY TYPE")</formula>
    </cfRule>
  </conditionalFormatting>
  <conditionalFormatting sqref="E24">
    <cfRule type="containsText" priority="674" operator="containsText" dxfId="380" text="LONG ">
      <formula>NOT(ISERROR(SEARCH("LONG ",E24)))</formula>
    </cfRule>
  </conditionalFormatting>
  <conditionalFormatting sqref="E29">
    <cfRule type="expression" priority="604" dxfId="386">
      <formula>AND((ISNUMBER(SEARCH("I-MUAP",$D$14))),E29&lt;2500)</formula>
    </cfRule>
    <cfRule type="expression" priority="605" dxfId="387">
      <formula>ISNUMBER(SEARCH("I-MUAP",$D$14))</formula>
    </cfRule>
    <cfRule type="cellIs" priority="606" operator="greaterThan" dxfId="204">
      <formula>2000</formula>
    </cfRule>
  </conditionalFormatting>
  <conditionalFormatting sqref="E33:E34">
    <cfRule type="expression" priority="587" dxfId="381">
      <formula>$C33="SELECT WORKS"</formula>
    </cfRule>
  </conditionalFormatting>
  <conditionalFormatting sqref="E39:E40">
    <cfRule type="expression" priority="397" dxfId="382">
      <formula>D39="KSA"</formula>
    </cfRule>
    <cfRule type="expression" priority="398" dxfId="381">
      <formula>(D31="CANOPY TYPE")</formula>
    </cfRule>
    <cfRule type="expression" priority="396" dxfId="383">
      <formula>D39="FILTER TYPE"</formula>
    </cfRule>
    <cfRule type="expression" priority="395" dxfId="384">
      <formula>D39="WW PODS"</formula>
    </cfRule>
  </conditionalFormatting>
  <conditionalFormatting sqref="E41">
    <cfRule type="containsText" priority="597" operator="containsText" dxfId="380" text="LONG ">
      <formula>NOT(ISERROR(SEARCH("LONG ",E41)))</formula>
    </cfRule>
  </conditionalFormatting>
  <conditionalFormatting sqref="E46">
    <cfRule type="cellIs" priority="574" operator="greaterThan" dxfId="204">
      <formula>2000</formula>
    </cfRule>
    <cfRule type="expression" priority="573" dxfId="387">
      <formula>ISNUMBER(SEARCH("I-MUAP",$D$14))</formula>
    </cfRule>
    <cfRule type="expression" priority="572" dxfId="386">
      <formula>AND((ISNUMBER(SEARCH("I-MUAP",$D$14))),E46&lt;2500)</formula>
    </cfRule>
  </conditionalFormatting>
  <conditionalFormatting sqref="E49">
    <cfRule type="expression" priority="437" dxfId="315">
      <formula>(C49="LIGHT SELECTION")</formula>
    </cfRule>
  </conditionalFormatting>
  <conditionalFormatting sqref="E50:E52">
    <cfRule type="expression" priority="110" dxfId="381">
      <formula>$C50="SELECT WORKS"</formula>
    </cfRule>
  </conditionalFormatting>
  <conditionalFormatting sqref="E56:E57">
    <cfRule type="expression" priority="369" dxfId="384">
      <formula>D56="WW PODS"</formula>
    </cfRule>
    <cfRule type="expression" priority="370" dxfId="383">
      <formula>D56="FILTER TYPE"</formula>
    </cfRule>
    <cfRule type="expression" priority="372" dxfId="381">
      <formula>(D48="CANOPY TYPE")</formula>
    </cfRule>
    <cfRule type="expression" priority="371" dxfId="382">
      <formula>D56="KSA"</formula>
    </cfRule>
  </conditionalFormatting>
  <conditionalFormatting sqref="E58">
    <cfRule type="containsText" priority="565" operator="containsText" dxfId="380" text="LONG ">
      <formula>NOT(ISERROR(SEARCH("LONG ",E58)))</formula>
    </cfRule>
  </conditionalFormatting>
  <conditionalFormatting sqref="E63">
    <cfRule type="cellIs" priority="547" operator="greaterThan" dxfId="204">
      <formula>2000</formula>
    </cfRule>
    <cfRule type="expression" priority="546" dxfId="387">
      <formula>ISNUMBER(SEARCH("I-MUAP",$D$14))</formula>
    </cfRule>
    <cfRule type="expression" priority="545" dxfId="386">
      <formula>AND((ISNUMBER(SEARCH("I-MUAP",$D$14))),E63&lt;2500)</formula>
    </cfRule>
  </conditionalFormatting>
  <conditionalFormatting sqref="E67:E69">
    <cfRule type="expression" priority="96" dxfId="381">
      <formula>$C67="SELECT WORKS"</formula>
    </cfRule>
  </conditionalFormatting>
  <conditionalFormatting sqref="E73:E74">
    <cfRule type="expression" priority="354" dxfId="384">
      <formula>D73="WW PODS"</formula>
    </cfRule>
    <cfRule type="expression" priority="356" dxfId="382">
      <formula>D73="KSA"</formula>
    </cfRule>
    <cfRule type="expression" priority="357" dxfId="381">
      <formula>(D65="CANOPY TYPE")</formula>
    </cfRule>
    <cfRule type="expression" priority="355" dxfId="383">
      <formula>D73="FILTER TYPE"</formula>
    </cfRule>
  </conditionalFormatting>
  <conditionalFormatting sqref="E75">
    <cfRule type="containsText" priority="538" operator="containsText" dxfId="380" text="LONG ">
      <formula>NOT(ISERROR(SEARCH("LONG ",E75)))</formula>
    </cfRule>
  </conditionalFormatting>
  <conditionalFormatting sqref="E80">
    <cfRule type="cellIs" priority="519" operator="greaterThan" dxfId="204">
      <formula>2000</formula>
    </cfRule>
    <cfRule type="expression" priority="517" dxfId="386">
      <formula>AND((ISNUMBER(SEARCH("I-MUAP",$D$14))),E80&lt;2500)</formula>
    </cfRule>
    <cfRule type="expression" priority="518" dxfId="387">
      <formula>ISNUMBER(SEARCH("I-MUAP",$D$14))</formula>
    </cfRule>
  </conditionalFormatting>
  <conditionalFormatting sqref="E84:E86">
    <cfRule type="expression" priority="82" dxfId="381">
      <formula>$C84="SELECT WORKS"</formula>
    </cfRule>
  </conditionalFormatting>
  <conditionalFormatting sqref="E90:E91">
    <cfRule type="expression" priority="342" dxfId="381">
      <formula>(D82="CANOPY TYPE")</formula>
    </cfRule>
    <cfRule type="expression" priority="339" dxfId="384">
      <formula>D90="WW PODS"</formula>
    </cfRule>
    <cfRule type="expression" priority="340" dxfId="383">
      <formula>D90="FILTER TYPE"</formula>
    </cfRule>
    <cfRule type="expression" priority="341" dxfId="382">
      <formula>D90="KSA"</formula>
    </cfRule>
  </conditionalFormatting>
  <conditionalFormatting sqref="E92">
    <cfRule type="containsText" priority="510" operator="containsText" dxfId="380" text="LONG ">
      <formula>NOT(ISERROR(SEARCH("LONG ",E92)))</formula>
    </cfRule>
  </conditionalFormatting>
  <conditionalFormatting sqref="E97">
    <cfRule type="expression" priority="489" dxfId="387">
      <formula>ISNUMBER(SEARCH("I-MUAP",$D$14))</formula>
    </cfRule>
    <cfRule type="cellIs" priority="490" operator="greaterThan" dxfId="204">
      <formula>2000</formula>
    </cfRule>
    <cfRule type="expression" priority="488" dxfId="386">
      <formula>AND((ISNUMBER(SEARCH("I-MUAP",$D$14))),E97&lt;2500)</formula>
    </cfRule>
  </conditionalFormatting>
  <conditionalFormatting sqref="E101:E103">
    <cfRule type="expression" priority="68" dxfId="381">
      <formula>$C101="SELECT WORKS"</formula>
    </cfRule>
  </conditionalFormatting>
  <conditionalFormatting sqref="E107:E108">
    <cfRule type="expression" priority="324" dxfId="384">
      <formula>D107="WW PODS"</formula>
    </cfRule>
    <cfRule type="expression" priority="325" dxfId="383">
      <formula>D107="FILTER TYPE"</formula>
    </cfRule>
    <cfRule type="expression" priority="326" dxfId="382">
      <formula>D107="KSA"</formula>
    </cfRule>
    <cfRule type="expression" priority="327" dxfId="381">
      <formula>(D99="CANOPY TYPE")</formula>
    </cfRule>
  </conditionalFormatting>
  <conditionalFormatting sqref="E109">
    <cfRule type="containsText" priority="481" operator="containsText" dxfId="380" text="LONG ">
      <formula>NOT(ISERROR(SEARCH("LONG ",E109)))</formula>
    </cfRule>
  </conditionalFormatting>
  <conditionalFormatting sqref="E114">
    <cfRule type="cellIs" priority="313" operator="greaterThan" dxfId="204">
      <formula>2000</formula>
    </cfRule>
    <cfRule type="expression" priority="312" dxfId="387">
      <formula>ISNUMBER(SEARCH("I-MUAP",$D$14))</formula>
    </cfRule>
    <cfRule type="expression" priority="311" dxfId="386">
      <formula>AND((ISNUMBER(SEARCH("I-MUAP",$D$14))),E114&lt;2500)</formula>
    </cfRule>
  </conditionalFormatting>
  <conditionalFormatting sqref="E118:E120">
    <cfRule type="expression" priority="54" dxfId="381">
      <formula>$C118="SELECT WORKS"</formula>
    </cfRule>
  </conditionalFormatting>
  <conditionalFormatting sqref="E124:E125">
    <cfRule type="expression" priority="273" dxfId="384">
      <formula>D124="WW PODS"</formula>
    </cfRule>
    <cfRule type="expression" priority="276" dxfId="381">
      <formula>(D116="CANOPY TYPE")</formula>
    </cfRule>
    <cfRule type="expression" priority="275" dxfId="382">
      <formula>D124="KSA"</formula>
    </cfRule>
    <cfRule type="expression" priority="274" dxfId="383">
      <formula>D124="FILTER TYPE"</formula>
    </cfRule>
  </conditionalFormatting>
  <conditionalFormatting sqref="E126">
    <cfRule type="containsText" priority="304" operator="containsText" dxfId="380" text="LONG ">
      <formula>NOT(ISERROR(SEARCH("LONG ",E126)))</formula>
    </cfRule>
  </conditionalFormatting>
  <conditionalFormatting sqref="E131">
    <cfRule type="expression" priority="257" dxfId="387">
      <formula>ISNUMBER(SEARCH("I-MUAP",$D$14))</formula>
    </cfRule>
    <cfRule type="cellIs" priority="258" operator="greaterThan" dxfId="204">
      <formula>2000</formula>
    </cfRule>
    <cfRule type="expression" priority="256" dxfId="386">
      <formula>AND((ISNUMBER(SEARCH("I-MUAP",$D$14))),E131&lt;2500)</formula>
    </cfRule>
  </conditionalFormatting>
  <conditionalFormatting sqref="E135:E137">
    <cfRule type="expression" priority="40" dxfId="381">
      <formula>$C135="SELECT WORKS"</formula>
    </cfRule>
  </conditionalFormatting>
  <conditionalFormatting sqref="E141:E142">
    <cfRule type="expression" priority="221" dxfId="381">
      <formula>(D133="CANOPY TYPE")</formula>
    </cfRule>
    <cfRule type="expression" priority="220" dxfId="382">
      <formula>D141="KSA"</formula>
    </cfRule>
    <cfRule type="expression" priority="218" dxfId="384">
      <formula>D141="WW PODS"</formula>
    </cfRule>
    <cfRule type="expression" priority="219" dxfId="383">
      <formula>D141="FILTER TYPE"</formula>
    </cfRule>
  </conditionalFormatting>
  <conditionalFormatting sqref="E143">
    <cfRule type="containsText" priority="249" operator="containsText" dxfId="380" text="LONG ">
      <formula>NOT(ISERROR(SEARCH("LONG ",E143)))</formula>
    </cfRule>
  </conditionalFormatting>
  <conditionalFormatting sqref="E148">
    <cfRule type="cellIs" priority="207" operator="greaterThan" dxfId="204">
      <formula>2000</formula>
    </cfRule>
    <cfRule type="expression" priority="206" dxfId="387">
      <formula>ISNUMBER(SEARCH("I-MUAP",$D$14))</formula>
    </cfRule>
    <cfRule type="expression" priority="205" dxfId="386">
      <formula>AND((ISNUMBER(SEARCH("I-MUAP",$D$14))),E148&lt;2500)</formula>
    </cfRule>
  </conditionalFormatting>
  <conditionalFormatting sqref="E152:E154">
    <cfRule type="expression" priority="26" dxfId="381">
      <formula>$C152="SELECT WORKS"</formula>
    </cfRule>
  </conditionalFormatting>
  <conditionalFormatting sqref="E158:E159">
    <cfRule type="expression" priority="169" dxfId="382">
      <formula>D158="KSA"</formula>
    </cfRule>
    <cfRule type="expression" priority="167" dxfId="384">
      <formula>D158="WW PODS"</formula>
    </cfRule>
    <cfRule type="expression" priority="168" dxfId="383">
      <formula>D158="FILTER TYPE"</formula>
    </cfRule>
    <cfRule type="expression" priority="170" dxfId="381">
      <formula>(D150="CANOPY TYPE")</formula>
    </cfRule>
  </conditionalFormatting>
  <conditionalFormatting sqref="E160">
    <cfRule type="containsText" priority="198" operator="containsText" dxfId="380" text="LONG ">
      <formula>NOT(ISERROR(SEARCH("LONG ",E160)))</formula>
    </cfRule>
  </conditionalFormatting>
  <conditionalFormatting sqref="E165">
    <cfRule type="cellIs" priority="156" operator="greaterThan" dxfId="204">
      <formula>2000</formula>
    </cfRule>
    <cfRule type="expression" priority="155" dxfId="387">
      <formula>ISNUMBER(SEARCH("I-MUAP",$D$14))</formula>
    </cfRule>
    <cfRule type="expression" priority="154" dxfId="386">
      <formula>AND((ISNUMBER(SEARCH("I-MUAP",$D$14))),E165&lt;2500)</formula>
    </cfRule>
  </conditionalFormatting>
  <conditionalFormatting sqref="E169:E171">
    <cfRule type="expression" priority="12" dxfId="381">
      <formula>$C169="SELECT WORKS"</formula>
    </cfRule>
  </conditionalFormatting>
  <conditionalFormatting sqref="E175:E176">
    <cfRule type="expression" priority="116" dxfId="384">
      <formula>D175="WW PODS"</formula>
    </cfRule>
    <cfRule type="expression" priority="117" dxfId="383">
      <formula>D175="FILTER TYPE"</formula>
    </cfRule>
    <cfRule type="expression" priority="118" dxfId="382">
      <formula>D175="KSA"</formula>
    </cfRule>
    <cfRule type="expression" priority="119" dxfId="381">
      <formula>(D167="CANOPY TYPE")</formula>
    </cfRule>
  </conditionalFormatting>
  <conditionalFormatting sqref="E177">
    <cfRule type="containsText" priority="147" operator="containsText" dxfId="380" text="LONG ">
      <formula>NOT(ISERROR(SEARCH("LONG ",E177)))</formula>
    </cfRule>
  </conditionalFormatting>
  <conditionalFormatting sqref="E12:F12">
    <cfRule type="cellIs" priority="678" operator="lessThan" dxfId="204">
      <formula>1000</formula>
    </cfRule>
  </conditionalFormatting>
  <conditionalFormatting sqref="E14:F14">
    <cfRule type="cellIs" priority="675" operator="lessThan" dxfId="164">
      <formula>1000</formula>
    </cfRule>
  </conditionalFormatting>
  <conditionalFormatting sqref="E25:F27">
    <cfRule type="expression" priority="614" dxfId="358">
      <formula>($D$14="CANOPY TYPE")</formula>
    </cfRule>
  </conditionalFormatting>
  <conditionalFormatting sqref="E29:F29">
    <cfRule type="cellIs" priority="601" operator="lessThan" dxfId="204">
      <formula>1000</formula>
    </cfRule>
  </conditionalFormatting>
  <conditionalFormatting sqref="E31:F31">
    <cfRule type="cellIs" priority="598" operator="lessThan" dxfId="164">
      <formula>1000</formula>
    </cfRule>
  </conditionalFormatting>
  <conditionalFormatting sqref="E32:F32">
    <cfRule type="expression" priority="461" dxfId="315">
      <formula>(C32="LIGHT SELECTION")</formula>
    </cfRule>
  </conditionalFormatting>
  <conditionalFormatting sqref="E42:F44">
    <cfRule type="expression" priority="582" dxfId="358">
      <formula>($D$14="CANOPY TYPE")</formula>
    </cfRule>
  </conditionalFormatting>
  <conditionalFormatting sqref="E46:F46">
    <cfRule type="cellIs" priority="569" operator="lessThan" dxfId="204">
      <formula>1000</formula>
    </cfRule>
  </conditionalFormatting>
  <conditionalFormatting sqref="E48:F48">
    <cfRule type="cellIs" priority="566" operator="lessThan" dxfId="164">
      <formula>1000</formula>
    </cfRule>
  </conditionalFormatting>
  <conditionalFormatting sqref="E59:F61">
    <cfRule type="expression" priority="555" dxfId="358">
      <formula>($D$14="CANOPY TYPE")</formula>
    </cfRule>
  </conditionalFormatting>
  <conditionalFormatting sqref="E63:F63">
    <cfRule type="cellIs" priority="542" operator="lessThan" dxfId="204">
      <formula>1000</formula>
    </cfRule>
  </conditionalFormatting>
  <conditionalFormatting sqref="E65:F65">
    <cfRule type="cellIs" priority="539" operator="lessThan" dxfId="164">
      <formula>1000</formula>
    </cfRule>
  </conditionalFormatting>
  <conditionalFormatting sqref="E66:F66">
    <cfRule type="expression" priority="454" dxfId="315">
      <formula>(C66="LIGHT SELECTION")</formula>
    </cfRule>
  </conditionalFormatting>
  <conditionalFormatting sqref="E76:F78">
    <cfRule type="expression" priority="527" dxfId="358">
      <formula>($D$14="CANOPY TYPE")</formula>
    </cfRule>
  </conditionalFormatting>
  <conditionalFormatting sqref="E80:F80">
    <cfRule type="cellIs" priority="514" operator="lessThan" dxfId="204">
      <formula>1000</formula>
    </cfRule>
  </conditionalFormatting>
  <conditionalFormatting sqref="E82:F82">
    <cfRule type="cellIs" priority="511" operator="lessThan" dxfId="164">
      <formula>1000</formula>
    </cfRule>
  </conditionalFormatting>
  <conditionalFormatting sqref="E83:F83">
    <cfRule type="expression" priority="450" dxfId="315">
      <formula>(C83="LIGHT SELECTION")</formula>
    </cfRule>
  </conditionalFormatting>
  <conditionalFormatting sqref="E93:F95">
    <cfRule type="expression" priority="498" dxfId="358">
      <formula>($D$14="CANOPY TYPE")</formula>
    </cfRule>
  </conditionalFormatting>
  <conditionalFormatting sqref="E97:F97">
    <cfRule type="cellIs" priority="485" operator="lessThan" dxfId="204">
      <formula>1000</formula>
    </cfRule>
  </conditionalFormatting>
  <conditionalFormatting sqref="E99:F99">
    <cfRule type="cellIs" priority="482" operator="lessThan" dxfId="164">
      <formula>1000</formula>
    </cfRule>
  </conditionalFormatting>
  <conditionalFormatting sqref="E100:F100">
    <cfRule type="expression" priority="446" dxfId="315">
      <formula>(C100="LIGHT SELECTION")</formula>
    </cfRule>
  </conditionalFormatting>
  <conditionalFormatting sqref="E110:F112 E127:F129 E144:F146 E161:F163 E178:F180">
    <cfRule type="expression" priority="470" dxfId="358">
      <formula>($D$14="CANOPY TYPE")</formula>
    </cfRule>
  </conditionalFormatting>
  <conditionalFormatting sqref="E114:F114">
    <cfRule type="cellIs" priority="308" operator="lessThan" dxfId="204">
      <formula>1000</formula>
    </cfRule>
  </conditionalFormatting>
  <conditionalFormatting sqref="E116:F116">
    <cfRule type="cellIs" priority="305" operator="lessThan" dxfId="164">
      <formula>1000</formula>
    </cfRule>
  </conditionalFormatting>
  <conditionalFormatting sqref="E117:F117">
    <cfRule type="expression" priority="291" dxfId="315">
      <formula>(C117="LIGHT SELECTION")</formula>
    </cfRule>
  </conditionalFormatting>
  <conditionalFormatting sqref="E131:F131">
    <cfRule type="cellIs" priority="253" operator="lessThan" dxfId="204">
      <formula>1000</formula>
    </cfRule>
  </conditionalFormatting>
  <conditionalFormatting sqref="E133:F133">
    <cfRule type="cellIs" priority="250" operator="lessThan" dxfId="164">
      <formula>1000</formula>
    </cfRule>
  </conditionalFormatting>
  <conditionalFormatting sqref="E134:F134">
    <cfRule type="expression" priority="236" dxfId="315">
      <formula>(C134="LIGHT SELECTION")</formula>
    </cfRule>
  </conditionalFormatting>
  <conditionalFormatting sqref="E148:F148">
    <cfRule type="cellIs" priority="202" operator="lessThan" dxfId="204">
      <formula>1000</formula>
    </cfRule>
  </conditionalFormatting>
  <conditionalFormatting sqref="E150:F150">
    <cfRule type="cellIs" priority="199" operator="lessThan" dxfId="164">
      <formula>1000</formula>
    </cfRule>
  </conditionalFormatting>
  <conditionalFormatting sqref="E151:F151">
    <cfRule type="expression" priority="185" dxfId="315">
      <formula>(C151="LIGHT SELECTION")</formula>
    </cfRule>
  </conditionalFormatting>
  <conditionalFormatting sqref="E165:F165">
    <cfRule type="cellIs" priority="151" operator="lessThan" dxfId="204">
      <formula>1000</formula>
    </cfRule>
  </conditionalFormatting>
  <conditionalFormatting sqref="E167:F167">
    <cfRule type="cellIs" priority="148" operator="lessThan" dxfId="164">
      <formula>1000</formula>
    </cfRule>
  </conditionalFormatting>
  <conditionalFormatting sqref="E168:F168">
    <cfRule type="expression" priority="134" dxfId="315">
      <formula>(C168="LIGHT SELECTION")</formula>
    </cfRule>
  </conditionalFormatting>
  <conditionalFormatting sqref="F12">
    <cfRule type="cellIs" priority="679" operator="greaterThan" dxfId="204">
      <formula>3001</formula>
    </cfRule>
  </conditionalFormatting>
  <conditionalFormatting sqref="F15">
    <cfRule type="expression" priority="668" dxfId="215">
      <formula>(C15="LIGHT SELECTION")</formula>
    </cfRule>
    <cfRule type="expression" priority="670" dxfId="216">
      <formula>(C15="FLO")</formula>
    </cfRule>
    <cfRule type="expression" priority="463" dxfId="214">
      <formula>(C15="LED STRIP")</formula>
    </cfRule>
    <cfRule type="expression" priority="701" dxfId="315">
      <formula>(D49="LIGHT SELECTION")</formula>
    </cfRule>
  </conditionalFormatting>
  <conditionalFormatting sqref="F22:F23">
    <cfRule type="expression" priority="700" dxfId="205">
      <formula>D22="KSA"</formula>
    </cfRule>
    <cfRule type="expression" priority="692" dxfId="206">
      <formula>D22="NF"</formula>
    </cfRule>
    <cfRule type="expression" priority="693" dxfId="208">
      <formula>D22="WW PODS"</formula>
    </cfRule>
    <cfRule type="expression" priority="694" dxfId="206">
      <formula>D22="GRILLE"</formula>
    </cfRule>
    <cfRule type="expression" priority="695" dxfId="206">
      <formula>D22="CENTREX"</formula>
    </cfRule>
    <cfRule type="expression" priority="696" dxfId="206" stopIfTrue="1">
      <formula>D14="canopy type"</formula>
    </cfRule>
    <cfRule type="expression" priority="697" dxfId="207">
      <formula>(((I14*3600)/(C22*I11))^2+20)&gt;300</formula>
    </cfRule>
    <cfRule type="expression" priority="698" dxfId="205" stopIfTrue="1">
      <formula>(ISNUMBER(SEARCH("UV",D14)))</formula>
    </cfRule>
    <cfRule type="expression" priority="699" dxfId="207">
      <formula>(((I14*3600)/(C22*I11))^2+20)&gt;180</formula>
    </cfRule>
  </conditionalFormatting>
  <conditionalFormatting sqref="F24">
    <cfRule type="cellIs" priority="673" operator="lessThan" dxfId="204">
      <formula>2100</formula>
    </cfRule>
  </conditionalFormatting>
  <conditionalFormatting sqref="F29">
    <cfRule type="cellIs" priority="602" operator="greaterThan" dxfId="204">
      <formula>3001</formula>
    </cfRule>
  </conditionalFormatting>
  <conditionalFormatting sqref="F32">
    <cfRule type="expression" priority="462" dxfId="216">
      <formula>(C32="FLO")</formula>
    </cfRule>
    <cfRule type="expression" priority="460" dxfId="215">
      <formula>(C32="LIGHT SELECTION")</formula>
    </cfRule>
    <cfRule type="expression" priority="459" dxfId="214">
      <formula>(C32="LED STRIP")</formula>
    </cfRule>
  </conditionalFormatting>
  <conditionalFormatting sqref="F39:F40">
    <cfRule type="expression" priority="406" dxfId="207">
      <formula>(((I31*3600)/(C39*I28))^2+20)&gt;180</formula>
    </cfRule>
    <cfRule type="expression" priority="407" dxfId="205">
      <formula>D39="KSA"</formula>
    </cfRule>
    <cfRule type="expression" priority="399" dxfId="206">
      <formula>D39="NF"</formula>
    </cfRule>
    <cfRule type="expression" priority="400" dxfId="208">
      <formula>D39="WW PODS"</formula>
    </cfRule>
    <cfRule type="expression" priority="401" dxfId="206">
      <formula>D39="GRILLE"</formula>
    </cfRule>
    <cfRule type="expression" priority="402" dxfId="206">
      <formula>D39="CENTREX"</formula>
    </cfRule>
    <cfRule type="expression" priority="403" dxfId="206" stopIfTrue="1">
      <formula>D31="canopy type"</formula>
    </cfRule>
    <cfRule type="expression" priority="404" dxfId="207">
      <formula>(((I31*3600)/(C39*I28))^2+20)&gt;300</formula>
    </cfRule>
    <cfRule type="expression" priority="405" dxfId="205" stopIfTrue="1">
      <formula>(ISNUMBER(SEARCH("UV",D31)))</formula>
    </cfRule>
  </conditionalFormatting>
  <conditionalFormatting sqref="F41">
    <cfRule type="cellIs" priority="596" operator="lessThan" dxfId="204">
      <formula>2100</formula>
    </cfRule>
  </conditionalFormatting>
  <conditionalFormatting sqref="F46">
    <cfRule type="cellIs" priority="570" operator="greaterThan" dxfId="204">
      <formula>3001</formula>
    </cfRule>
  </conditionalFormatting>
  <conditionalFormatting sqref="F49">
    <cfRule type="expression" priority="702" dxfId="315">
      <formula>(#REF!="LIGHT SELECTION")</formula>
    </cfRule>
    <cfRule type="expression" priority="458" dxfId="216">
      <formula>(C49="FLO")</formula>
    </cfRule>
    <cfRule type="expression" priority="457" dxfId="215">
      <formula>(C49="LIGHT SELECTION")</formula>
    </cfRule>
    <cfRule type="expression" priority="456" dxfId="214">
      <formula>(C49="LED STRIP")</formula>
    </cfRule>
  </conditionalFormatting>
  <conditionalFormatting sqref="F56:F57">
    <cfRule type="expression" priority="379" dxfId="205" stopIfTrue="1">
      <formula>(ISNUMBER(SEARCH("UV",D48)))</formula>
    </cfRule>
    <cfRule type="expression" priority="380" dxfId="207">
      <formula>(((I48*3600)/(C56*I45))^2+20)&gt;180</formula>
    </cfRule>
    <cfRule type="expression" priority="378" dxfId="207">
      <formula>(((I48*3600)/(C56*I45))^2+20)&gt;300</formula>
    </cfRule>
    <cfRule type="expression" priority="377" dxfId="206" stopIfTrue="1">
      <formula>D48="canopy type"</formula>
    </cfRule>
    <cfRule type="expression" priority="376" dxfId="206">
      <formula>D56="CENTREX"</formula>
    </cfRule>
    <cfRule type="expression" priority="375" dxfId="206">
      <formula>D56="GRILLE"</formula>
    </cfRule>
    <cfRule type="expression" priority="374" dxfId="208">
      <formula>D56="WW PODS"</formula>
    </cfRule>
    <cfRule type="expression" priority="373" dxfId="206">
      <formula>D56="NF"</formula>
    </cfRule>
    <cfRule type="expression" priority="381" dxfId="205">
      <formula>D56="KSA"</formula>
    </cfRule>
  </conditionalFormatting>
  <conditionalFormatting sqref="F58">
    <cfRule type="cellIs" priority="564" operator="lessThan" dxfId="204">
      <formula>2100</formula>
    </cfRule>
  </conditionalFormatting>
  <conditionalFormatting sqref="F63">
    <cfRule type="cellIs" priority="543" operator="greaterThan" dxfId="204">
      <formula>3001</formula>
    </cfRule>
  </conditionalFormatting>
  <conditionalFormatting sqref="F66">
    <cfRule type="expression" priority="452" dxfId="214">
      <formula>(C66="LED STRIP")</formula>
    </cfRule>
    <cfRule type="expression" priority="453" dxfId="215">
      <formula>(C66="LIGHT SELECTION")</formula>
    </cfRule>
    <cfRule type="expression" priority="455" dxfId="216">
      <formula>(C66="FLO")</formula>
    </cfRule>
  </conditionalFormatting>
  <conditionalFormatting sqref="F73:F74">
    <cfRule type="expression" priority="358" dxfId="206">
      <formula>D73="NF"</formula>
    </cfRule>
    <cfRule type="expression" priority="359" dxfId="208">
      <formula>D73="WW PODS"</formula>
    </cfRule>
    <cfRule type="expression" priority="360" dxfId="206">
      <formula>D73="GRILLE"</formula>
    </cfRule>
    <cfRule type="expression" priority="361" dxfId="206">
      <formula>D73="CENTREX"</formula>
    </cfRule>
    <cfRule type="expression" priority="362" dxfId="206" stopIfTrue="1">
      <formula>D65="canopy type"</formula>
    </cfRule>
    <cfRule type="expression" priority="363" dxfId="207">
      <formula>(((I65*3600)/(C73*I62))^2+20)&gt;300</formula>
    </cfRule>
    <cfRule type="expression" priority="364" dxfId="205" stopIfTrue="1">
      <formula>(ISNUMBER(SEARCH("UV",D65)))</formula>
    </cfRule>
    <cfRule type="expression" priority="365" dxfId="207">
      <formula>(((I65*3600)/(C73*I62))^2+20)&gt;180</formula>
    </cfRule>
    <cfRule type="expression" priority="366" dxfId="205">
      <formula>D73="KSA"</formula>
    </cfRule>
  </conditionalFormatting>
  <conditionalFormatting sqref="F75">
    <cfRule type="cellIs" priority="537" operator="lessThan" dxfId="204">
      <formula>2100</formula>
    </cfRule>
  </conditionalFormatting>
  <conditionalFormatting sqref="F80">
    <cfRule type="cellIs" priority="515" operator="greaterThan" dxfId="204">
      <formula>3001</formula>
    </cfRule>
  </conditionalFormatting>
  <conditionalFormatting sqref="F83">
    <cfRule type="expression" priority="448" dxfId="214">
      <formula>(C83="LED STRIP")</formula>
    </cfRule>
    <cfRule type="expression" priority="451" dxfId="216">
      <formula>(C83="FLO")</formula>
    </cfRule>
    <cfRule type="expression" priority="449" dxfId="215">
      <formula>(C83="LIGHT SELECTION")</formula>
    </cfRule>
  </conditionalFormatting>
  <conditionalFormatting sqref="F90:F91">
    <cfRule type="expression" priority="343" dxfId="206">
      <formula>D90="NF"</formula>
    </cfRule>
    <cfRule type="expression" priority="344" dxfId="208">
      <formula>D90="WW PODS"</formula>
    </cfRule>
    <cfRule type="expression" priority="345" dxfId="206">
      <formula>D90="GRILLE"</formula>
    </cfRule>
    <cfRule type="expression" priority="346" dxfId="206">
      <formula>D90="CENTREX"</formula>
    </cfRule>
    <cfRule type="expression" priority="347" dxfId="206" stopIfTrue="1">
      <formula>D82="canopy type"</formula>
    </cfRule>
    <cfRule type="expression" priority="348" dxfId="207">
      <formula>(((I82*3600)/(C90*I79))^2+20)&gt;300</formula>
    </cfRule>
    <cfRule type="expression" priority="349" dxfId="205" stopIfTrue="1">
      <formula>(ISNUMBER(SEARCH("UV",D82)))</formula>
    </cfRule>
    <cfRule type="expression" priority="351" dxfId="205">
      <formula>D90="KSA"</formula>
    </cfRule>
    <cfRule type="expression" priority="350" dxfId="207">
      <formula>(((I82*3600)/(C90*I79))^2+20)&gt;180</formula>
    </cfRule>
  </conditionalFormatting>
  <conditionalFormatting sqref="F92">
    <cfRule type="cellIs" priority="509" operator="lessThan" dxfId="204">
      <formula>2100</formula>
    </cfRule>
  </conditionalFormatting>
  <conditionalFormatting sqref="F97">
    <cfRule type="cellIs" priority="486" operator="greaterThan" dxfId="204">
      <formula>3001</formula>
    </cfRule>
  </conditionalFormatting>
  <conditionalFormatting sqref="F100">
    <cfRule type="expression" priority="447" dxfId="216">
      <formula>(C100="FLO")</formula>
    </cfRule>
    <cfRule type="expression" priority="444" dxfId="214">
      <formula>(C100="LED STRIP")</formula>
    </cfRule>
    <cfRule type="expression" priority="445" dxfId="215">
      <formula>(C100="LIGHT SELECTION")</formula>
    </cfRule>
  </conditionalFormatting>
  <conditionalFormatting sqref="F107:F108">
    <cfRule type="expression" priority="329" dxfId="208">
      <formula>D107="WW PODS"</formula>
    </cfRule>
    <cfRule type="expression" priority="330" dxfId="206">
      <formula>D107="GRILLE"</formula>
    </cfRule>
    <cfRule type="expression" priority="334" dxfId="205" stopIfTrue="1">
      <formula>(ISNUMBER(SEARCH("UV",D99)))</formula>
    </cfRule>
    <cfRule type="expression" priority="333" dxfId="207">
      <formula>(((I99*3600)/(C107*I96))^2+20)&gt;300</formula>
    </cfRule>
    <cfRule type="expression" priority="335" dxfId="207">
      <formula>(((I99*3600)/(C107*I96))^2+20)&gt;180</formula>
    </cfRule>
    <cfRule type="expression" priority="332" dxfId="206" stopIfTrue="1">
      <formula>D99="canopy type"</formula>
    </cfRule>
    <cfRule type="expression" priority="331" dxfId="206">
      <formula>D107="CENTREX"</formula>
    </cfRule>
    <cfRule type="expression" priority="336" dxfId="205">
      <formula>D107="KSA"</formula>
    </cfRule>
    <cfRule type="expression" priority="328" dxfId="206">
      <formula>D107="NF"</formula>
    </cfRule>
  </conditionalFormatting>
  <conditionalFormatting sqref="F109">
    <cfRule type="cellIs" priority="480" operator="lessThan" dxfId="204">
      <formula>2100</formula>
    </cfRule>
  </conditionalFormatting>
  <conditionalFormatting sqref="F114">
    <cfRule type="cellIs" priority="309" operator="greaterThan" dxfId="204">
      <formula>3001</formula>
    </cfRule>
  </conditionalFormatting>
  <conditionalFormatting sqref="F117">
    <cfRule type="expression" priority="292" dxfId="216">
      <formula>(C117="FLO")</formula>
    </cfRule>
    <cfRule type="expression" priority="290" dxfId="215">
      <formula>(C117="LIGHT SELECTION")</formula>
    </cfRule>
    <cfRule type="expression" priority="289" dxfId="214">
      <formula>(C117="LED STRIP")</formula>
    </cfRule>
  </conditionalFormatting>
  <conditionalFormatting sqref="F124:F125">
    <cfRule type="expression" priority="279" dxfId="206">
      <formula>D124="GRILLE"</formula>
    </cfRule>
    <cfRule type="expression" priority="278" dxfId="208">
      <formula>D124="WW PODS"</formula>
    </cfRule>
    <cfRule type="expression" priority="277" dxfId="206">
      <formula>D124="NF"</formula>
    </cfRule>
    <cfRule type="expression" priority="281" dxfId="206" stopIfTrue="1">
      <formula>D116="canopy type"</formula>
    </cfRule>
    <cfRule type="expression" priority="282" dxfId="207">
      <formula>(((I116*3600)/(C124*I113))^2+20)&gt;300</formula>
    </cfRule>
    <cfRule type="expression" priority="283" dxfId="205" stopIfTrue="1">
      <formula>(ISNUMBER(SEARCH("UV",D116)))</formula>
    </cfRule>
    <cfRule type="expression" priority="284" dxfId="207">
      <formula>(((I116*3600)/(C124*I113))^2+20)&gt;180</formula>
    </cfRule>
    <cfRule type="expression" priority="285" dxfId="205">
      <formula>D124="KSA"</formula>
    </cfRule>
    <cfRule type="expression" priority="280" dxfId="206">
      <formula>D124="CENTREX"</formula>
    </cfRule>
  </conditionalFormatting>
  <conditionalFormatting sqref="F126">
    <cfRule type="cellIs" priority="303" operator="lessThan" dxfId="204">
      <formula>2100</formula>
    </cfRule>
  </conditionalFormatting>
  <conditionalFormatting sqref="F131">
    <cfRule type="cellIs" priority="254" operator="greaterThan" dxfId="204">
      <formula>3001</formula>
    </cfRule>
  </conditionalFormatting>
  <conditionalFormatting sqref="F134">
    <cfRule type="expression" priority="234" dxfId="214">
      <formula>(C134="LED STRIP")</formula>
    </cfRule>
    <cfRule type="expression" priority="237" dxfId="216">
      <formula>(C134="FLO")</formula>
    </cfRule>
    <cfRule type="expression" priority="235" dxfId="215">
      <formula>(C134="LIGHT SELECTION")</formula>
    </cfRule>
  </conditionalFormatting>
  <conditionalFormatting sqref="F141:F142">
    <cfRule type="expression" priority="223" dxfId="208">
      <formula>D141="WW PODS"</formula>
    </cfRule>
    <cfRule type="expression" priority="224" dxfId="206">
      <formula>D141="GRILLE"</formula>
    </cfRule>
    <cfRule type="expression" priority="225" dxfId="206">
      <formula>D141="CENTREX"</formula>
    </cfRule>
    <cfRule type="expression" priority="222" dxfId="206">
      <formula>D141="NF"</formula>
    </cfRule>
    <cfRule type="expression" priority="226" dxfId="206" stopIfTrue="1">
      <formula>D133="canopy type"</formula>
    </cfRule>
    <cfRule type="expression" priority="227" dxfId="207">
      <formula>(((I133*3600)/(C141*I130))^2+20)&gt;300</formula>
    </cfRule>
    <cfRule type="expression" priority="228" dxfId="205" stopIfTrue="1">
      <formula>(ISNUMBER(SEARCH("UV",D133)))</formula>
    </cfRule>
    <cfRule type="expression" priority="229" dxfId="207">
      <formula>(((I133*3600)/(C141*I130))^2+20)&gt;180</formula>
    </cfRule>
    <cfRule type="expression" priority="230" dxfId="205">
      <formula>D141="KSA"</formula>
    </cfRule>
  </conditionalFormatting>
  <conditionalFormatting sqref="F143">
    <cfRule type="cellIs" priority="248" operator="lessThan" dxfId="204">
      <formula>2100</formula>
    </cfRule>
  </conditionalFormatting>
  <conditionalFormatting sqref="F148">
    <cfRule type="cellIs" priority="203" operator="greaterThan" dxfId="204">
      <formula>3001</formula>
    </cfRule>
  </conditionalFormatting>
  <conditionalFormatting sqref="F151">
    <cfRule type="expression" priority="183" dxfId="214">
      <formula>(C151="LED STRIP")</formula>
    </cfRule>
    <cfRule type="expression" priority="184" dxfId="215">
      <formula>(C151="LIGHT SELECTION")</formula>
    </cfRule>
    <cfRule type="expression" priority="186" dxfId="216">
      <formula>(C151="FLO")</formula>
    </cfRule>
  </conditionalFormatting>
  <conditionalFormatting sqref="F158:F159">
    <cfRule type="expression" priority="178" dxfId="207">
      <formula>(((I150*3600)/(C158*I147))^2+20)&gt;180</formula>
    </cfRule>
    <cfRule type="expression" priority="171" dxfId="206">
      <formula>D158="NF"</formula>
    </cfRule>
    <cfRule type="expression" priority="172" dxfId="208">
      <formula>D158="WW PODS"</formula>
    </cfRule>
    <cfRule type="expression" priority="173" dxfId="206">
      <formula>D158="GRILLE"</formula>
    </cfRule>
    <cfRule type="expression" priority="174" dxfId="206">
      <formula>D158="CENTREX"</formula>
    </cfRule>
    <cfRule type="expression" priority="175" dxfId="206" stopIfTrue="1">
      <formula>D150="canopy type"</formula>
    </cfRule>
    <cfRule type="expression" priority="176" dxfId="207">
      <formula>(((I150*3600)/(C158*I147))^2+20)&gt;300</formula>
    </cfRule>
    <cfRule type="expression" priority="179" dxfId="205">
      <formula>D158="KSA"</formula>
    </cfRule>
    <cfRule type="expression" priority="177" dxfId="205" stopIfTrue="1">
      <formula>(ISNUMBER(SEARCH("UV",D150)))</formula>
    </cfRule>
  </conditionalFormatting>
  <conditionalFormatting sqref="F160">
    <cfRule type="cellIs" priority="197" operator="lessThan" dxfId="204">
      <formula>2100</formula>
    </cfRule>
  </conditionalFormatting>
  <conditionalFormatting sqref="F165">
    <cfRule type="cellIs" priority="152" operator="greaterThan" dxfId="204">
      <formula>3001</formula>
    </cfRule>
  </conditionalFormatting>
  <conditionalFormatting sqref="F168">
    <cfRule type="expression" priority="135" dxfId="216">
      <formula>(C168="FLO")</formula>
    </cfRule>
    <cfRule type="expression" priority="133" dxfId="215">
      <formula>(C168="LIGHT SELECTION")</formula>
    </cfRule>
    <cfRule type="expression" priority="132" dxfId="214">
      <formula>(C168="LED STRIP")</formula>
    </cfRule>
  </conditionalFormatting>
  <conditionalFormatting sqref="F175:F176">
    <cfRule type="expression" priority="126" dxfId="205" stopIfTrue="1">
      <formula>(ISNUMBER(SEARCH("UV",D167)))</formula>
    </cfRule>
    <cfRule type="expression" priority="125" dxfId="207">
      <formula>(((I167*3600)/(C175*I164))^2+20)&gt;300</formula>
    </cfRule>
    <cfRule type="expression" priority="124" dxfId="206" stopIfTrue="1">
      <formula>D167="canopy type"</formula>
    </cfRule>
    <cfRule type="expression" priority="123" dxfId="206">
      <formula>D175="CENTREX"</formula>
    </cfRule>
    <cfRule type="expression" priority="122" dxfId="206">
      <formula>D175="GRILLE"</formula>
    </cfRule>
    <cfRule type="expression" priority="121" dxfId="208">
      <formula>D175="WW PODS"</formula>
    </cfRule>
    <cfRule type="expression" priority="127" dxfId="207">
      <formula>(((I167*3600)/(C175*I164))^2+20)&gt;180</formula>
    </cfRule>
    <cfRule type="expression" priority="120" dxfId="206">
      <formula>D175="NF"</formula>
    </cfRule>
    <cfRule type="expression" priority="128" dxfId="205">
      <formula>D175="KSA"</formula>
    </cfRule>
  </conditionalFormatting>
  <conditionalFormatting sqref="F177">
    <cfRule type="cellIs" priority="146" operator="lessThan" dxfId="204">
      <formula>2100</formula>
    </cfRule>
  </conditionalFormatting>
  <conditionalFormatting sqref="G11">
    <cfRule type="expression" priority="681" dxfId="176">
      <formula>((F14-50)/H14)&lt;950</formula>
    </cfRule>
  </conditionalFormatting>
  <conditionalFormatting sqref="G12">
    <cfRule type="expression" priority="680" dxfId="175">
      <formula>((F14-50)/H14)&lt;950</formula>
    </cfRule>
  </conditionalFormatting>
  <conditionalFormatting sqref="G14">
    <cfRule type="cellIs" priority="676" operator="lessThan" dxfId="164">
      <formula>400</formula>
    </cfRule>
  </conditionalFormatting>
  <conditionalFormatting sqref="G28">
    <cfRule type="expression" priority="625" dxfId="176">
      <formula>((F31-50)/H31)&lt;950</formula>
    </cfRule>
  </conditionalFormatting>
  <conditionalFormatting sqref="G29">
    <cfRule type="expression" priority="603" dxfId="175">
      <formula>((F31-50)/H31)&lt;950</formula>
    </cfRule>
  </conditionalFormatting>
  <conditionalFormatting sqref="G31">
    <cfRule type="cellIs" priority="599" operator="lessThan" dxfId="164">
      <formula>400</formula>
    </cfRule>
  </conditionalFormatting>
  <conditionalFormatting sqref="G45">
    <cfRule type="expression" priority="641" dxfId="176">
      <formula>((F48-50)/H48)&lt;950</formula>
    </cfRule>
  </conditionalFormatting>
  <conditionalFormatting sqref="G46">
    <cfRule type="expression" priority="571" dxfId="175">
      <formula>((F48-50)/H48)&lt;950</formula>
    </cfRule>
  </conditionalFormatting>
  <conditionalFormatting sqref="G48">
    <cfRule type="cellIs" priority="567" operator="lessThan" dxfId="164">
      <formula>400</formula>
    </cfRule>
  </conditionalFormatting>
  <conditionalFormatting sqref="G62">
    <cfRule type="expression" priority="642" dxfId="176">
      <formula>((F65-50)/H65)&lt;950</formula>
    </cfRule>
  </conditionalFormatting>
  <conditionalFormatting sqref="G63">
    <cfRule type="expression" priority="544" dxfId="175">
      <formula>((F65-50)/H65)&lt;950</formula>
    </cfRule>
  </conditionalFormatting>
  <conditionalFormatting sqref="G65">
    <cfRule type="cellIs" priority="540" operator="lessThan" dxfId="164">
      <formula>400</formula>
    </cfRule>
  </conditionalFormatting>
  <conditionalFormatting sqref="G79">
    <cfRule type="expression" priority="643" dxfId="176">
      <formula>((F82-50)/H82)&lt;950</formula>
    </cfRule>
  </conditionalFormatting>
  <conditionalFormatting sqref="G80">
    <cfRule type="expression" priority="516" dxfId="175">
      <formula>((F82-50)/H82)&lt;950</formula>
    </cfRule>
  </conditionalFormatting>
  <conditionalFormatting sqref="G82">
    <cfRule type="cellIs" priority="512" operator="lessThan" dxfId="164">
      <formula>400</formula>
    </cfRule>
  </conditionalFormatting>
  <conditionalFormatting sqref="G96">
    <cfRule type="expression" priority="653" dxfId="176">
      <formula>((F99-50)/H99)&lt;950</formula>
    </cfRule>
  </conditionalFormatting>
  <conditionalFormatting sqref="G97">
    <cfRule type="expression" priority="487" dxfId="175">
      <formula>((F99-50)/H99)&lt;950</formula>
    </cfRule>
  </conditionalFormatting>
  <conditionalFormatting sqref="G99">
    <cfRule type="cellIs" priority="483" operator="lessThan" dxfId="164">
      <formula>400</formula>
    </cfRule>
  </conditionalFormatting>
  <conditionalFormatting sqref="G113">
    <cfRule type="expression" priority="321" dxfId="176">
      <formula>((F116-50)/H116)&lt;950</formula>
    </cfRule>
  </conditionalFormatting>
  <conditionalFormatting sqref="G114">
    <cfRule type="expression" priority="310" dxfId="175">
      <formula>((F116-50)/H116)&lt;950</formula>
    </cfRule>
  </conditionalFormatting>
  <conditionalFormatting sqref="G116">
    <cfRule type="cellIs" priority="306" operator="lessThan" dxfId="164">
      <formula>400</formula>
    </cfRule>
  </conditionalFormatting>
  <conditionalFormatting sqref="G130">
    <cfRule type="expression" priority="266" dxfId="176">
      <formula>((F133-50)/H133)&lt;950</formula>
    </cfRule>
  </conditionalFormatting>
  <conditionalFormatting sqref="G131">
    <cfRule type="expression" priority="255" dxfId="175">
      <formula>((F133-50)/H133)&lt;950</formula>
    </cfRule>
  </conditionalFormatting>
  <conditionalFormatting sqref="G133">
    <cfRule type="cellIs" priority="251" operator="lessThan" dxfId="164">
      <formula>400</formula>
    </cfRule>
  </conditionalFormatting>
  <conditionalFormatting sqref="G147">
    <cfRule type="expression" priority="215" dxfId="176">
      <formula>((F150-50)/H150)&lt;950</formula>
    </cfRule>
  </conditionalFormatting>
  <conditionalFormatting sqref="G148">
    <cfRule type="expression" priority="204" dxfId="175">
      <formula>((F150-50)/H150)&lt;950</formula>
    </cfRule>
  </conditionalFormatting>
  <conditionalFormatting sqref="G150">
    <cfRule type="cellIs" priority="200" operator="lessThan" dxfId="164">
      <formula>400</formula>
    </cfRule>
  </conditionalFormatting>
  <conditionalFormatting sqref="G164">
    <cfRule type="expression" priority="164" dxfId="176">
      <formula>((F167-50)/H167)&lt;950</formula>
    </cfRule>
  </conditionalFormatting>
  <conditionalFormatting sqref="G165">
    <cfRule type="expression" priority="153" dxfId="175">
      <formula>((F167-50)/H167)&lt;950</formula>
    </cfRule>
  </conditionalFormatting>
  <conditionalFormatting sqref="G167">
    <cfRule type="cellIs" priority="149" operator="lessThan" dxfId="164">
      <formula>400</formula>
    </cfRule>
  </conditionalFormatting>
  <conditionalFormatting sqref="I14">
    <cfRule type="cellIs" priority="677" operator="lessThan" dxfId="164">
      <formula>0.1</formula>
    </cfRule>
  </conditionalFormatting>
  <conditionalFormatting sqref="I31">
    <cfRule type="cellIs" priority="600" operator="lessThan" dxfId="164">
      <formula>0.1</formula>
    </cfRule>
  </conditionalFormatting>
  <conditionalFormatting sqref="I48">
    <cfRule type="cellIs" priority="568" operator="lessThan" dxfId="164">
      <formula>0.1</formula>
    </cfRule>
  </conditionalFormatting>
  <conditionalFormatting sqref="I65">
    <cfRule type="cellIs" priority="541" operator="lessThan" dxfId="164">
      <formula>0.1</formula>
    </cfRule>
  </conditionalFormatting>
  <conditionalFormatting sqref="I82">
    <cfRule type="cellIs" priority="513" operator="lessThan" dxfId="164">
      <formula>0.1</formula>
    </cfRule>
  </conditionalFormatting>
  <conditionalFormatting sqref="I99">
    <cfRule type="cellIs" priority="484" operator="lessThan" dxfId="164">
      <formula>0.1</formula>
    </cfRule>
  </conditionalFormatting>
  <conditionalFormatting sqref="I116">
    <cfRule type="cellIs" priority="307" operator="lessThan" dxfId="164">
      <formula>0.1</formula>
    </cfRule>
  </conditionalFormatting>
  <conditionalFormatting sqref="I133">
    <cfRule type="cellIs" priority="252" operator="lessThan" dxfId="164">
      <formula>0.1</formula>
    </cfRule>
  </conditionalFormatting>
  <conditionalFormatting sqref="I150">
    <cfRule type="cellIs" priority="201" operator="lessThan" dxfId="164">
      <formula>0.1</formula>
    </cfRule>
  </conditionalFormatting>
  <conditionalFormatting sqref="I167">
    <cfRule type="cellIs" priority="150" operator="lessThan" dxfId="164">
      <formula>0.1</formula>
    </cfRule>
  </conditionalFormatting>
  <conditionalFormatting sqref="J14:J27">
    <cfRule type="cellIs" priority="410" operator="greaterThan" dxfId="153">
      <formula>0</formula>
    </cfRule>
  </conditionalFormatting>
  <conditionalFormatting sqref="J31:J44">
    <cfRule type="cellIs" priority="383" operator="greaterThan" dxfId="153">
      <formula>0</formula>
    </cfRule>
  </conditionalFormatting>
  <conditionalFormatting sqref="J48:J61">
    <cfRule type="cellIs" priority="99" operator="greaterThan" dxfId="153">
      <formula>0</formula>
    </cfRule>
  </conditionalFormatting>
  <conditionalFormatting sqref="J65:J78">
    <cfRule type="cellIs" priority="85" operator="greaterThan" dxfId="153">
      <formula>0</formula>
    </cfRule>
  </conditionalFormatting>
  <conditionalFormatting sqref="J82:J95">
    <cfRule type="cellIs" priority="71" operator="greaterThan" dxfId="153">
      <formula>0</formula>
    </cfRule>
  </conditionalFormatting>
  <conditionalFormatting sqref="J99:J112">
    <cfRule type="cellIs" priority="57" operator="greaterThan" dxfId="153">
      <formula>0</formula>
    </cfRule>
  </conditionalFormatting>
  <conditionalFormatting sqref="J116:J129">
    <cfRule type="cellIs" priority="43" operator="greaterThan" dxfId="153">
      <formula>0</formula>
    </cfRule>
  </conditionalFormatting>
  <conditionalFormatting sqref="J133:J146">
    <cfRule type="cellIs" priority="29" operator="greaterThan" dxfId="153">
      <formula>0</formula>
    </cfRule>
  </conditionalFormatting>
  <conditionalFormatting sqref="J150:J163">
    <cfRule type="cellIs" priority="15" operator="greaterThan" dxfId="153">
      <formula>0</formula>
    </cfRule>
  </conditionalFormatting>
  <conditionalFormatting sqref="J167:J180">
    <cfRule type="cellIs" priority="1" operator="greaterThan" dxfId="153">
      <formula>0</formula>
    </cfRule>
  </conditionalFormatting>
  <conditionalFormatting sqref="J183:J197">
    <cfRule type="expression" priority="267" dxfId="153">
      <formula>C183&gt;0</formula>
    </cfRule>
  </conditionalFormatting>
  <conditionalFormatting sqref="J199">
    <cfRule type="expression" priority="658" dxfId="2">
      <formula>#REF!="EURO"</formula>
    </cfRule>
  </conditionalFormatting>
  <conditionalFormatting sqref="K14:K27">
    <cfRule type="cellIs" priority="424" operator="greaterThan" dxfId="141">
      <formula>0</formula>
    </cfRule>
  </conditionalFormatting>
  <conditionalFormatting sqref="K31:K44">
    <cfRule type="cellIs" priority="386" operator="greaterThan" dxfId="141">
      <formula>0</formula>
    </cfRule>
  </conditionalFormatting>
  <conditionalFormatting sqref="K48:K61">
    <cfRule type="cellIs" priority="102" operator="greaterThan" dxfId="141">
      <formula>0</formula>
    </cfRule>
  </conditionalFormatting>
  <conditionalFormatting sqref="K65:K78">
    <cfRule type="cellIs" priority="88" operator="greaterThan" dxfId="141">
      <formula>0</formula>
    </cfRule>
  </conditionalFormatting>
  <conditionalFormatting sqref="K82:K95">
    <cfRule type="cellIs" priority="74" operator="greaterThan" dxfId="141">
      <formula>0</formula>
    </cfRule>
  </conditionalFormatting>
  <conditionalFormatting sqref="K99:K112">
    <cfRule type="cellIs" priority="60" operator="greaterThan" dxfId="141">
      <formula>0</formula>
    </cfRule>
  </conditionalFormatting>
  <conditionalFormatting sqref="K116:K129">
    <cfRule type="cellIs" priority="46" operator="greaterThan" dxfId="141">
      <formula>0</formula>
    </cfRule>
  </conditionalFormatting>
  <conditionalFormatting sqref="K133:K146">
    <cfRule type="cellIs" priority="32" operator="greaterThan" dxfId="141">
      <formula>0</formula>
    </cfRule>
  </conditionalFormatting>
  <conditionalFormatting sqref="K150:K163">
    <cfRule type="cellIs" priority="18" operator="greaterThan" dxfId="141">
      <formula>0</formula>
    </cfRule>
  </conditionalFormatting>
  <conditionalFormatting sqref="K167:K180">
    <cfRule type="cellIs" priority="4" operator="greaterThan" dxfId="141">
      <formula>0</formula>
    </cfRule>
  </conditionalFormatting>
  <conditionalFormatting sqref="K183:K197">
    <cfRule type="cellIs" priority="268" operator="greaterThan" dxfId="141">
      <formula>0</formula>
    </cfRule>
  </conditionalFormatting>
  <conditionalFormatting sqref="K199">
    <cfRule type="expression" priority="657" dxfId="2">
      <formula>$B$9="EURO"</formula>
    </cfRule>
    <cfRule type="expression" priority="656" dxfId="3">
      <formula>$B$9="USD"</formula>
    </cfRule>
    <cfRule type="expression" priority="655" dxfId="0">
      <formula>$B$9="CZK"</formula>
    </cfRule>
    <cfRule type="expression" priority="654" dxfId="4">
      <formula>$B$9="PLN"</formula>
    </cfRule>
  </conditionalFormatting>
  <conditionalFormatting sqref="L14:L27">
    <cfRule type="expression" priority="421" dxfId="116">
      <formula>$C$9&lt;0</formula>
    </cfRule>
    <cfRule type="expression" priority="422" dxfId="115">
      <formula>$C$9&gt;0</formula>
    </cfRule>
  </conditionalFormatting>
  <conditionalFormatting sqref="L31:L44">
    <cfRule type="expression" priority="385" dxfId="115">
      <formula>$C$9&gt;0</formula>
    </cfRule>
    <cfRule type="expression" priority="384" dxfId="116">
      <formula>$C$9&lt;0</formula>
    </cfRule>
  </conditionalFormatting>
  <conditionalFormatting sqref="L48:L61">
    <cfRule type="expression" priority="100" dxfId="116">
      <formula>$C$9&lt;0</formula>
    </cfRule>
    <cfRule type="expression" priority="101" dxfId="115">
      <formula>$C$9&gt;0</formula>
    </cfRule>
  </conditionalFormatting>
  <conditionalFormatting sqref="L65:L78">
    <cfRule type="expression" priority="86" dxfId="116">
      <formula>$C$9&lt;0</formula>
    </cfRule>
    <cfRule type="expression" priority="87" dxfId="115">
      <formula>$C$9&gt;0</formula>
    </cfRule>
  </conditionalFormatting>
  <conditionalFormatting sqref="L82:L95">
    <cfRule type="expression" priority="72" dxfId="116">
      <formula>$C$9&lt;0</formula>
    </cfRule>
    <cfRule type="expression" priority="73" dxfId="115">
      <formula>$C$9&gt;0</formula>
    </cfRule>
  </conditionalFormatting>
  <conditionalFormatting sqref="L99:L112">
    <cfRule type="expression" priority="58" dxfId="116">
      <formula>$C$9&lt;0</formula>
    </cfRule>
    <cfRule type="expression" priority="59" dxfId="115">
      <formula>$C$9&gt;0</formula>
    </cfRule>
  </conditionalFormatting>
  <conditionalFormatting sqref="L116:L129">
    <cfRule type="expression" priority="44" dxfId="116">
      <formula>$C$9&lt;0</formula>
    </cfRule>
    <cfRule type="expression" priority="45" dxfId="115">
      <formula>$C$9&gt;0</formula>
    </cfRule>
  </conditionalFormatting>
  <conditionalFormatting sqref="L133:L146">
    <cfRule type="expression" priority="31" dxfId="115">
      <formula>$C$9&gt;0</formula>
    </cfRule>
    <cfRule type="expression" priority="30" dxfId="116">
      <formula>$C$9&lt;0</formula>
    </cfRule>
  </conditionalFormatting>
  <conditionalFormatting sqref="L150:L163">
    <cfRule type="expression" priority="17" dxfId="115">
      <formula>$C$9&gt;0</formula>
    </cfRule>
    <cfRule type="expression" priority="16" dxfId="116">
      <formula>$C$9&lt;0</formula>
    </cfRule>
  </conditionalFormatting>
  <conditionalFormatting sqref="L167:L180">
    <cfRule type="expression" priority="3" dxfId="115">
      <formula>$C$9&gt;0</formula>
    </cfRule>
    <cfRule type="expression" priority="2" dxfId="116">
      <formula>$C$9&lt;0</formula>
    </cfRule>
  </conditionalFormatting>
  <conditionalFormatting sqref="L183:L197">
    <cfRule type="expression" priority="644" dxfId="116">
      <formula>$C$9&lt;0</formula>
    </cfRule>
    <cfRule type="expression" priority="645" dxfId="115">
      <formula>$C$9&gt;0</formula>
    </cfRule>
  </conditionalFormatting>
  <conditionalFormatting sqref="N9 N12">
    <cfRule type="expression" priority="688" dxfId="4">
      <formula>$B$9="PLN"</formula>
    </cfRule>
    <cfRule type="expression" priority="689" dxfId="0">
      <formula>$B$9="CZK"</formula>
    </cfRule>
    <cfRule type="expression" priority="690" dxfId="3">
      <formula>$B$9="USD"</formula>
    </cfRule>
    <cfRule type="expression" priority="691" dxfId="2">
      <formula>$B$9="EURO"</formula>
    </cfRule>
  </conditionalFormatting>
  <conditionalFormatting sqref="N14:N27">
    <cfRule type="expression" priority="630" dxfId="3">
      <formula>$B$9="USD"</formula>
    </cfRule>
    <cfRule type="expression" priority="629" dxfId="2">
      <formula>$B$9="EURO"</formula>
    </cfRule>
    <cfRule type="cellIs" priority="628" operator="greaterThan" dxfId="1">
      <formula>0</formula>
    </cfRule>
    <cfRule type="expression" priority="632" dxfId="0">
      <formula>$B$9="CZK"</formula>
    </cfRule>
    <cfRule type="expression" priority="631" dxfId="4">
      <formula>$B$9="PLN"</formula>
    </cfRule>
  </conditionalFormatting>
  <conditionalFormatting sqref="N29">
    <cfRule type="expression" priority="609" dxfId="4">
      <formula>$B$9="PLN"</formula>
    </cfRule>
    <cfRule type="expression" priority="612" dxfId="2">
      <formula>$B$9="EURO"</formula>
    </cfRule>
    <cfRule type="expression" priority="611" dxfId="3">
      <formula>$B$9="USD"</formula>
    </cfRule>
    <cfRule type="expression" priority="610" dxfId="0">
      <formula>$B$9="CZK"</formula>
    </cfRule>
  </conditionalFormatting>
  <conditionalFormatting sqref="N31:N44">
    <cfRule type="cellIs" priority="389" operator="greaterThan" dxfId="1">
      <formula>0</formula>
    </cfRule>
    <cfRule type="expression" priority="390" dxfId="2">
      <formula>$B$9="EURO"</formula>
    </cfRule>
    <cfRule type="expression" priority="391" dxfId="3">
      <formula>$B$9="USD"</formula>
    </cfRule>
    <cfRule type="expression" priority="392" dxfId="4">
      <formula>$B$9="PLN"</formula>
    </cfRule>
    <cfRule type="expression" priority="393" dxfId="0">
      <formula>$B$9="CZK"</formula>
    </cfRule>
  </conditionalFormatting>
  <conditionalFormatting sqref="N46">
    <cfRule type="expression" priority="577" dxfId="4">
      <formula>$B$9="PLN"</formula>
    </cfRule>
    <cfRule type="expression" priority="579" dxfId="3">
      <formula>$B$9="USD"</formula>
    </cfRule>
    <cfRule type="expression" priority="580" dxfId="2">
      <formula>$B$9="EURO"</formula>
    </cfRule>
    <cfRule type="expression" priority="578" dxfId="0">
      <formula>$B$9="CZK"</formula>
    </cfRule>
  </conditionalFormatting>
  <conditionalFormatting sqref="N48:N61">
    <cfRule type="expression" priority="105" dxfId="2">
      <formula>$B$9="EURO"</formula>
    </cfRule>
    <cfRule type="cellIs" priority="104" operator="greaterThan" dxfId="1">
      <formula>0</formula>
    </cfRule>
    <cfRule type="expression" priority="108" dxfId="0">
      <formula>$B$9="CZK"</formula>
    </cfRule>
    <cfRule type="expression" priority="107" dxfId="4">
      <formula>$B$9="PLN"</formula>
    </cfRule>
    <cfRule type="expression" priority="106" dxfId="3">
      <formula>$B$9="USD"</formula>
    </cfRule>
  </conditionalFormatting>
  <conditionalFormatting sqref="N63">
    <cfRule type="expression" priority="550" dxfId="4">
      <formula>$B$9="PLN"</formula>
    </cfRule>
    <cfRule type="expression" priority="551" dxfId="0">
      <formula>$B$9="CZK"</formula>
    </cfRule>
    <cfRule type="expression" priority="552" dxfId="3">
      <formula>$B$9="USD"</formula>
    </cfRule>
    <cfRule type="expression" priority="553" dxfId="2">
      <formula>$B$9="EURO"</formula>
    </cfRule>
  </conditionalFormatting>
  <conditionalFormatting sqref="N65:N78">
    <cfRule type="expression" priority="93" dxfId="4">
      <formula>$B$9="PLN"</formula>
    </cfRule>
    <cfRule type="expression" priority="94" dxfId="0">
      <formula>$B$9="CZK"</formula>
    </cfRule>
    <cfRule type="expression" priority="92" dxfId="3">
      <formula>$B$9="USD"</formula>
    </cfRule>
    <cfRule type="expression" priority="91" dxfId="2">
      <formula>$B$9="EURO"</formula>
    </cfRule>
    <cfRule type="cellIs" priority="90" operator="greaterThan" dxfId="1">
      <formula>0</formula>
    </cfRule>
  </conditionalFormatting>
  <conditionalFormatting sqref="N80">
    <cfRule type="expression" priority="523" dxfId="0">
      <formula>$B$9="CZK"</formula>
    </cfRule>
    <cfRule type="expression" priority="524" dxfId="3">
      <formula>$B$9="USD"</formula>
    </cfRule>
    <cfRule type="expression" priority="522" dxfId="4">
      <formula>$B$9="PLN"</formula>
    </cfRule>
    <cfRule type="expression" priority="525" dxfId="2">
      <formula>$B$9="EURO"</formula>
    </cfRule>
  </conditionalFormatting>
  <conditionalFormatting sqref="N82:N95">
    <cfRule type="expression" priority="79" dxfId="4">
      <formula>$B$9="PLN"</formula>
    </cfRule>
    <cfRule type="expression" priority="78" dxfId="3">
      <formula>$B$9="USD"</formula>
    </cfRule>
    <cfRule type="expression" priority="80" dxfId="0">
      <formula>$B$9="CZK"</formula>
    </cfRule>
    <cfRule type="cellIs" priority="76" operator="greaterThan" dxfId="1">
      <formula>0</formula>
    </cfRule>
    <cfRule type="expression" priority="77" dxfId="2">
      <formula>$B$9="EURO"</formula>
    </cfRule>
  </conditionalFormatting>
  <conditionalFormatting sqref="N97">
    <cfRule type="expression" priority="494" dxfId="0">
      <formula>$B$9="CZK"</formula>
    </cfRule>
    <cfRule type="expression" priority="493" dxfId="4">
      <formula>$B$9="PLN"</formula>
    </cfRule>
    <cfRule type="expression" priority="496" dxfId="2">
      <formula>$B$9="EURO"</formula>
    </cfRule>
    <cfRule type="expression" priority="495" dxfId="3">
      <formula>$B$9="USD"</formula>
    </cfRule>
  </conditionalFormatting>
  <conditionalFormatting sqref="N99:N112">
    <cfRule type="cellIs" priority="62" operator="greaterThan" dxfId="1">
      <formula>0</formula>
    </cfRule>
    <cfRule type="expression" priority="63" dxfId="2">
      <formula>$B$9="EURO"</formula>
    </cfRule>
    <cfRule type="expression" priority="64" dxfId="3">
      <formula>$B$9="USD"</formula>
    </cfRule>
    <cfRule type="expression" priority="65" dxfId="4">
      <formula>$B$9="PLN"</formula>
    </cfRule>
    <cfRule type="expression" priority="66" dxfId="0">
      <formula>$B$9="CZK"</formula>
    </cfRule>
  </conditionalFormatting>
  <conditionalFormatting sqref="N114">
    <cfRule type="expression" priority="317" dxfId="0">
      <formula>$B$9="CZK"</formula>
    </cfRule>
    <cfRule type="expression" priority="318" dxfId="3">
      <formula>$B$9="USD"</formula>
    </cfRule>
    <cfRule type="expression" priority="319" dxfId="2">
      <formula>$B$9="EURO"</formula>
    </cfRule>
    <cfRule type="expression" priority="316" dxfId="4">
      <formula>$B$9="PLN"</formula>
    </cfRule>
  </conditionalFormatting>
  <conditionalFormatting sqref="N116:N129">
    <cfRule type="cellIs" priority="48" operator="greaterThan" dxfId="1">
      <formula>0</formula>
    </cfRule>
    <cfRule type="expression" priority="52" dxfId="0">
      <formula>$B$9="CZK"</formula>
    </cfRule>
    <cfRule type="expression" priority="51" dxfId="4">
      <formula>$B$9="PLN"</formula>
    </cfRule>
    <cfRule type="expression" priority="50" dxfId="3">
      <formula>$B$9="USD"</formula>
    </cfRule>
    <cfRule type="expression" priority="49" dxfId="2">
      <formula>$B$9="EURO"</formula>
    </cfRule>
  </conditionalFormatting>
  <conditionalFormatting sqref="N131">
    <cfRule type="expression" priority="261" dxfId="4">
      <formula>$B$9="PLN"</formula>
    </cfRule>
    <cfRule type="expression" priority="262" dxfId="0">
      <formula>$B$9="CZK"</formula>
    </cfRule>
    <cfRule type="expression" priority="263" dxfId="3">
      <formula>$B$9="USD"</formula>
    </cfRule>
    <cfRule type="expression" priority="264" dxfId="2">
      <formula>$B$9="EURO"</formula>
    </cfRule>
  </conditionalFormatting>
  <conditionalFormatting sqref="N133:N146">
    <cfRule type="expression" priority="37" dxfId="4">
      <formula>$B$9="PLN"</formula>
    </cfRule>
    <cfRule type="expression" priority="36" dxfId="3">
      <formula>$B$9="USD"</formula>
    </cfRule>
    <cfRule type="expression" priority="38" dxfId="0">
      <formula>$B$9="CZK"</formula>
    </cfRule>
    <cfRule type="expression" priority="35" dxfId="2">
      <formula>$B$9="EURO"</formula>
    </cfRule>
    <cfRule type="cellIs" priority="34" operator="greaterThan" dxfId="1">
      <formula>0</formula>
    </cfRule>
  </conditionalFormatting>
  <conditionalFormatting sqref="N148">
    <cfRule type="expression" priority="213" dxfId="2">
      <formula>$B$9="EURO"</formula>
    </cfRule>
    <cfRule type="expression" priority="211" dxfId="0">
      <formula>$B$9="CZK"</formula>
    </cfRule>
    <cfRule type="expression" priority="210" dxfId="4">
      <formula>$B$9="PLN"</formula>
    </cfRule>
    <cfRule type="expression" priority="212" dxfId="3">
      <formula>$B$9="USD"</formula>
    </cfRule>
  </conditionalFormatting>
  <conditionalFormatting sqref="N150:N163">
    <cfRule type="expression" priority="22" dxfId="3">
      <formula>$B$9="USD"</formula>
    </cfRule>
    <cfRule type="cellIs" priority="20" operator="greaterThan" dxfId="1">
      <formula>0</formula>
    </cfRule>
    <cfRule type="expression" priority="21" dxfId="2">
      <formula>$B$9="EURO"</formula>
    </cfRule>
    <cfRule type="expression" priority="24" dxfId="0">
      <formula>$B$9="CZK"</formula>
    </cfRule>
    <cfRule type="expression" priority="23" dxfId="4">
      <formula>$B$9="PLN"</formula>
    </cfRule>
  </conditionalFormatting>
  <conditionalFormatting sqref="N165">
    <cfRule type="expression" priority="161" dxfId="3">
      <formula>$B$9="USD"</formula>
    </cfRule>
    <cfRule type="expression" priority="160" dxfId="0">
      <formula>$B$9="CZK"</formula>
    </cfRule>
    <cfRule type="expression" priority="162" dxfId="2">
      <formula>$B$9="EURO"</formula>
    </cfRule>
    <cfRule type="expression" priority="159" dxfId="4">
      <formula>$B$9="PLN"</formula>
    </cfRule>
  </conditionalFormatting>
  <conditionalFormatting sqref="N167:N180">
    <cfRule type="expression" priority="10" dxfId="0">
      <formula>$B$9="CZK"</formula>
    </cfRule>
    <cfRule type="expression" priority="7" dxfId="2">
      <formula>$B$9="EURO"</formula>
    </cfRule>
    <cfRule type="cellIs" priority="6" operator="greaterThan" dxfId="1">
      <formula>0</formula>
    </cfRule>
    <cfRule type="expression" priority="8" dxfId="3">
      <formula>$B$9="USD"</formula>
    </cfRule>
    <cfRule type="expression" priority="9" dxfId="4">
      <formula>$B$9="PLN"</formula>
    </cfRule>
  </conditionalFormatting>
  <conditionalFormatting sqref="N183:N197">
    <cfRule type="expression" priority="640" dxfId="0">
      <formula>$B$9="CZK"</formula>
    </cfRule>
    <cfRule type="expression" priority="639" dxfId="4">
      <formula>$B$9="PLN"</formula>
    </cfRule>
    <cfRule type="expression" priority="638" dxfId="3">
      <formula>$B$9="USD"</formula>
    </cfRule>
    <cfRule type="expression" priority="637" dxfId="2">
      <formula>$B$9="EURO"</formula>
    </cfRule>
    <cfRule type="cellIs" priority="636" operator="greaterThan" dxfId="1">
      <formula>0</formula>
    </cfRule>
  </conditionalFormatting>
  <conditionalFormatting sqref="N182:O182">
    <cfRule type="expression" priority="647" dxfId="0">
      <formula>$B$9="CZK"</formula>
    </cfRule>
    <cfRule type="expression" priority="646" dxfId="4">
      <formula>$B$9="PLN"</formula>
    </cfRule>
    <cfRule type="expression" priority="649" dxfId="2">
      <formula>$B$9="EURO"</formula>
    </cfRule>
    <cfRule type="expression" priority="648" dxfId="3">
      <formula>$B$9="USD"</formula>
    </cfRule>
  </conditionalFormatting>
  <conditionalFormatting sqref="O14:O27">
    <cfRule type="cellIs" priority="633" operator="greaterThan" dxfId="5">
      <formula>0</formula>
    </cfRule>
  </conditionalFormatting>
  <conditionalFormatting sqref="O31:O44">
    <cfRule type="cellIs" priority="394" operator="greaterThan" dxfId="5">
      <formula>0</formula>
    </cfRule>
  </conditionalFormatting>
  <conditionalFormatting sqref="O48:O61">
    <cfRule type="cellIs" priority="109" operator="greaterThan" dxfId="5">
      <formula>0</formula>
    </cfRule>
  </conditionalFormatting>
  <conditionalFormatting sqref="O65:O78">
    <cfRule type="cellIs" priority="95" operator="greaterThan" dxfId="5">
      <formula>0</formula>
    </cfRule>
  </conditionalFormatting>
  <conditionalFormatting sqref="O82:O95">
    <cfRule type="cellIs" priority="81" operator="greaterThan" dxfId="5">
      <formula>0</formula>
    </cfRule>
  </conditionalFormatting>
  <conditionalFormatting sqref="O99:O112">
    <cfRule type="cellIs" priority="67" operator="greaterThan" dxfId="5">
      <formula>0</formula>
    </cfRule>
  </conditionalFormatting>
  <conditionalFormatting sqref="O116:O129">
    <cfRule type="cellIs" priority="53" operator="greaterThan" dxfId="5">
      <formula>0</formula>
    </cfRule>
  </conditionalFormatting>
  <conditionalFormatting sqref="O133:O146">
    <cfRule type="cellIs" priority="39" operator="greaterThan" dxfId="5">
      <formula>0</formula>
    </cfRule>
  </conditionalFormatting>
  <conditionalFormatting sqref="O150:O163">
    <cfRule type="cellIs" priority="25" operator="greaterThan" dxfId="5">
      <formula>0</formula>
    </cfRule>
  </conditionalFormatting>
  <conditionalFormatting sqref="O167:O180">
    <cfRule type="cellIs" priority="11" operator="greaterThan" dxfId="5">
      <formula>0</formula>
    </cfRule>
  </conditionalFormatting>
  <conditionalFormatting sqref="O183:O197">
    <cfRule type="cellIs" priority="659" operator="greaterThan" dxfId="5">
      <formula>0</formula>
    </cfRule>
  </conditionalFormatting>
  <conditionalFormatting sqref="Q16">
    <cfRule type="expression" priority="414" dxfId="4">
      <formula>$B$9="PLN"</formula>
    </cfRule>
    <cfRule type="expression" priority="413" dxfId="3">
      <formula>$B$9="USD"</formula>
    </cfRule>
    <cfRule type="expression" priority="412" dxfId="2">
      <formula>$B$9="EURO"</formula>
    </cfRule>
    <cfRule type="cellIs" priority="411" operator="greaterThan" dxfId="1">
      <formula>0</formula>
    </cfRule>
    <cfRule type="expression" priority="415" dxfId="0">
      <formula>$B$9="CZK"</formula>
    </cfRule>
  </conditionalFormatting>
  <dataValidations count="16">
    <dataValidation sqref="D26 D43 D60 D77 D94 D111 D128 D145 D162 D179" showDropDown="0" showInputMessage="1" showErrorMessage="1" allowBlank="1" type="list">
      <formula1>"0,1,2,3,4,5,6,7,8,9,10"</formula1>
    </dataValidation>
    <dataValidation sqref="G181" showDropDown="0" showInputMessage="1" showErrorMessage="1" allowBlank="1" type="list">
      <formula1>#REF!</formula1>
    </dataValidation>
    <dataValidation sqref="C14 C31 C48 C65 C82 C99 C116 C133 C150 C167" showDropDown="0" showInputMessage="1" showErrorMessage="1" allowBlank="1" type="list">
      <formula1>"WALL, ISLAND"</formula1>
    </dataValidation>
    <dataValidation sqref="E14 E31 E48 E65 E82 E99 E116 E133 E150 E167" showDropDown="0" showInputMessage="1" showErrorMessage="1" allowBlank="1" operator="greaterThan"/>
    <dataValidation sqref="C20:C21 C37:C38 C54:C55 C71:C72 C88:C89 C105:C106 C122:C123 C139:C140 C156:C157 C173:C174" showDropDown="0" showInputMessage="1" showErrorMessage="1" allowBlank="1" type="list">
      <formula1>"0,1,2,3,4,5,6,7,8,9,10,11,12,13,14,15,16,17,18,19,20"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7 C44 C61 C78 C95 C112 C129 C146 C163 C180" showDropDown="0" showInputMessage="1" showErrorMessage="1" allowBlank="1" type="list">
      <formula1>"0,0.5,1,1.5,2,2.5,3,3.5,4,4.5,5"</formula1>
    </dataValidation>
    <dataValidation sqref="C15 C32 C49 C66 C83 C100 C117 C134 C151 C168 C185 C202 C219 C236 C253 C270 C287 C304" showDropDown="0" showInputMessage="0" showErrorMessage="0" allowBlank="1" type="list">
      <formula1>Lists!$A$1:$A$5</formula1>
    </dataValidation>
    <dataValidation sqref="C16 C33 C50 C67 C84 C101 C118 C135 C152 C169 C186 C203 C220 C237 C254 C271 C288 C305" showDropDown="0" showInputMessage="0" showErrorMessage="0" allowBlank="1" type="list">
      <formula1>Lists!$B$1:$B$17</formula1>
    </dataValidation>
    <dataValidation sqref="C17 C34 C51 C68 C85 C102 C119 C136 C153 C170 C187 C204 C221 C238 C255 C272 C289 C306" showDropDown="0" showInputMessage="0" showErrorMessage="0" allowBlank="1" type="list">
      <formula1>Lists!$B$1:$B$18</formula1>
    </dataValidation>
    <dataValidation sqref="C19 C36 C53 C70 C87 C104 C121 C138 C155 C172 C189 C206 C223 C240 C257 C274 C291 C308" showDropDown="0" showInputMessage="0" showErrorMessage="0" allowBlank="1" type="list">
      <formula1>Lists!$C$1:$C$2</formula1>
    </dataValidation>
    <dataValidation sqref="C25 C42 C59 C76 C93 C110 C127 C144 C161 C178 C195 C212 C229 C246 C263 C280 C297" showDropDown="0" showInputMessage="0" showErrorMessage="0" allowBlank="1" type="list">
      <formula1>Lists!$D$1:$D$4</formula1>
    </dataValidation>
    <dataValidation sqref="C26 C43 C60 C77 C94 C111 C128 C145 C162 C179 C196 C213 C230 C247 C264 C281 C298" showDropDown="0" showInputMessage="0" showErrorMessage="0" allowBlank="1" type="list">
      <formula1>Lists!$E$1:$E$10</formula1>
    </dataValidation>
    <dataValidation sqref="D183" showDropDown="0" showInputMessage="0" showErrorMessage="0" allowBlank="1" type="list">
      <formula1>Lists!$F$1:$F$193</formula1>
    </dataValidation>
    <dataValidation sqref="D184" showDropDown="0" showInputMessage="0" showErrorMessage="0" allowBlank="1" type="list">
      <formula1>Lists!$G$1:$G$12</formula1>
    </dataValidation>
    <dataValidation sqref="D185" showDropDown="0" showInputMessage="0" showErrorMessage="0" allowBlank="1" type="list">
      <formula1>Lists!$G$1:$G$12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1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 codeName="Sheet38">
    <tabColor theme="8" tint="0.7999816888943144"/>
    <outlinePr summaryBelow="1" summaryRight="1"/>
    <pageSetUpPr fitToPage="1"/>
  </sheetPr>
  <dimension ref="A1:Z310"/>
  <sheetViews>
    <sheetView showGridLines="0" topLeftCell="G2" zoomScale="106" zoomScaleNormal="80" zoomScaleSheetLayoutView="50" workbookViewId="0">
      <selection activeCell="P182" sqref="P182"/>
    </sheetView>
  </sheetViews>
  <sheetFormatPr baseColWidth="10" defaultColWidth="8.83203125" defaultRowHeight="15" customHeight="1" outlineLevelRow="1"/>
  <cols>
    <col width="2" customWidth="1" style="666" min="1" max="1"/>
    <col width="29.6640625" customWidth="1" style="1095" min="2" max="2"/>
    <col width="24.6640625" customWidth="1" style="1095" min="3" max="3"/>
    <col width="27.1640625" customWidth="1" style="1095" min="4" max="4"/>
    <col width="26.6640625" customWidth="1" style="1095" min="5" max="5"/>
    <col width="18.83203125" customWidth="1" style="1095" min="6" max="6"/>
    <col width="22.6640625" customWidth="1" style="1095" min="7" max="7"/>
    <col width="10" bestFit="1" customWidth="1" style="1096" min="8" max="8"/>
    <col width="11.6640625" bestFit="1" customWidth="1" style="1096" min="9" max="9"/>
    <col width="12.33203125" customWidth="1" style="1097" min="10" max="10"/>
    <col width="15" customWidth="1" style="1098" min="11" max="11"/>
    <col width="7.6640625" bestFit="1" customWidth="1" style="1098" min="12" max="12"/>
    <col hidden="1" width="12.33203125" customWidth="1" style="1099" min="13" max="13"/>
    <col width="12.8320312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8"/>
    <col width="8.83203125" customWidth="1" style="1095" min="99" max="16384"/>
  </cols>
  <sheetData>
    <row r="1" ht="15" customHeight="1" s="1085">
      <c r="B1" s="1116" t="inlineStr">
        <is>
          <t>F24 - 19  CANOPY COST SHEET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 t="n"/>
      <c r="F3" s="690" t="inlineStr">
        <is>
          <t>Project Name</t>
        </is>
      </c>
      <c r="G3" s="1071" t="n"/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 t="n"/>
      <c r="F5" s="690" t="inlineStr">
        <is>
          <t>Location</t>
        </is>
      </c>
      <c r="G5" s="1071" t="n"/>
      <c r="M5" s="684" t="n"/>
      <c r="N5" s="685" t="n"/>
      <c r="P5" s="1118" t="inlineStr">
        <is>
          <t>RECO CANOPIES MUST HAVE COALESCERS</t>
        </is>
      </c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 t="n"/>
      <c r="F7" s="690" t="inlineStr">
        <is>
          <t>Date</t>
        </is>
      </c>
      <c r="G7" s="1075" t="n"/>
      <c r="N7" s="699" t="inlineStr">
        <is>
          <t>Revision No</t>
        </is>
      </c>
      <c r="O7" s="809" t="inlineStr">
        <is>
          <t>B</t>
        </is>
      </c>
      <c r="P7" s="1091" t="inlineStr">
        <is>
          <t>GP SHOULD BE MINIMUM 44%</t>
        </is>
      </c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47" t="n"/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8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 xml:space="preserve">ITEM 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68">
        <f>N12-N19</f>
        <v/>
      </c>
      <c r="Q12" s="1095" t="n"/>
      <c r="R12" s="1095" t="n"/>
      <c r="S12" s="713" t="n"/>
      <c r="T12" s="1095" t="n"/>
      <c r="X12" s="1095" t="n"/>
      <c r="Y12" s="1095" t="n"/>
      <c r="Z12" s="1095" t="n"/>
    </row>
    <row r="13" hidden="1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hidden="1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CANOPY TYPE</t>
        </is>
      </c>
      <c r="E14" s="734" t="n"/>
      <c r="F14" s="734" t="n"/>
      <c r="G14" s="734" t="n"/>
      <c r="H14" s="735" t="n"/>
      <c r="I14" s="734" t="n"/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hidden="1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LIGHT SELECTION</t>
        </is>
      </c>
      <c r="D15" s="741" t="n"/>
      <c r="E15" s="848" t="n"/>
      <c r="F15" s="743" t="n"/>
      <c r="G15" s="744" t="n"/>
      <c r="H15" s="668" t="n"/>
      <c r="I15" s="668" t="n"/>
      <c r="J15" s="736">
        <f>IF(ISNA(C12),0,IF(D15=0,0,IF(C15="FLO",VLOOKUP(E15,'Base Costs'!$M$4:$N$14,2,FALSE),IF(C15="LED STRIP",VLOOKUP(E15,'Base Costs'!$M$4:$N$14,2,FALSE),(VLOOKUP(C15,'Base Costs'!$M$4:$N$14,2,FALSE))))))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hidden="1" outlineLevel="1" ht="15" customHeight="1" s="1085">
      <c r="A16" s="666" t="n">
        <v>234</v>
      </c>
      <c r="B16" s="269" t="inlineStr">
        <is>
          <t>SPECIAL WORKS</t>
        </is>
      </c>
      <c r="C16" s="33" t="inlineStr">
        <is>
          <t>SELECT WORKS</t>
        </is>
      </c>
      <c r="D16" s="735" t="n"/>
      <c r="E16" s="753">
        <f>IF(C16="","",VLOOKUP(C16,CCBASE!$A$53:$D$73,4,FALSE))</f>
        <v/>
      </c>
      <c r="F16" s="754" t="n"/>
      <c r="G16" s="749" t="n"/>
      <c r="H16" s="750" t="n"/>
      <c r="I16" s="755" t="n"/>
      <c r="J16" s="736">
        <f>IF(C16="",0,VLOOKUP(C16,CCBASE!$A$53:$C$73,2,FALSE))</f>
        <v/>
      </c>
      <c r="K16" s="737">
        <f>J16*D16</f>
        <v/>
      </c>
      <c r="L16" s="738" t="n">
        <v>0.44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hidden="1" outlineLevel="1" ht="15" customHeight="1" s="1085">
      <c r="B17" s="269" t="inlineStr">
        <is>
          <t>SPECIAL WORKS</t>
        </is>
      </c>
      <c r="C17" s="752" t="inlineStr">
        <is>
          <t>SELECT WORKS</t>
        </is>
      </c>
      <c r="D17" s="735" t="n"/>
      <c r="E17" s="753">
        <f>IF(C17="","",VLOOKUP(C17,CCBASE!$A$53:$D$73,4,FALSE))</f>
        <v/>
      </c>
      <c r="F17" s="754" t="n"/>
      <c r="G17" s="749" t="n"/>
      <c r="H17" s="750" t="n"/>
      <c r="I17" s="755" t="n"/>
      <c r="J17" s="736">
        <f>IF(C17="",0,VLOOKUP(C17,CCBASE!$A$53:$C$73,2,FALSE))</f>
        <v/>
      </c>
      <c r="K17" s="737">
        <f>J17*D17</f>
        <v/>
      </c>
      <c r="L17" s="738" t="n">
        <v>0.44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hidden="1" outlineLevel="1" ht="15" customHeight="1" s="1085">
      <c r="B18" s="978" t="inlineStr">
        <is>
          <t>SPECIAL WORKS</t>
        </is>
      </c>
      <c r="C18" s="979" t="inlineStr">
        <is>
          <t>BIM/ REVIT per CANOPY</t>
        </is>
      </c>
      <c r="D18" s="980" t="n">
        <v>1</v>
      </c>
      <c r="E18" s="981">
        <f>IF(C18="","",VLOOKUP(C18,CCBASE!$A$53:$D$73,4,FALSE))</f>
        <v/>
      </c>
      <c r="F18" s="982" t="n"/>
      <c r="G18" s="977" t="n"/>
      <c r="H18" s="983" t="n"/>
      <c r="I18" s="984" t="n"/>
      <c r="J18" s="985">
        <f>IF(C18="",0,VLOOKUP(C18,CCBASE!$A$53:$C$73,2,FALSE))</f>
        <v/>
      </c>
      <c r="K18" s="986">
        <f>J18*D18</f>
        <v/>
      </c>
      <c r="L18" s="987" t="n">
        <v>0.44</v>
      </c>
      <c r="M18" s="988">
        <f>K18/(1-L18)*(1+$C$9)</f>
        <v/>
      </c>
      <c r="N18" s="986">
        <f>M18*VLOOKUP($B$9,'Base Costs'!$A$32:$B$37,2,FALSE)</f>
        <v/>
      </c>
      <c r="O18" s="989">
        <f>M18-K18</f>
        <v/>
      </c>
      <c r="P18" s="990" t="inlineStr">
        <is>
          <t>always include</t>
        </is>
      </c>
      <c r="S18" s="694" t="n"/>
      <c r="Y18" s="1095" t="n"/>
    </row>
    <row r="19" hidden="1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SELECT CLADDING</t>
        </is>
      </c>
      <c r="D19" s="756">
        <f>IF(NOT(ISBLANK(C19)), ROUNDUP($F14/1000,0), 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S19" s="694" t="n"/>
      <c r="Y19" s="1095" t="n"/>
    </row>
    <row r="20" hidden="1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hidden="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hidden="1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S22" s="694" t="n"/>
      <c r="Y22" s="1095" t="n"/>
    </row>
    <row r="23" hidden="1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>
        <f>IF(ISNA(D23),0,(VLOOKUP(D23,'Base Costs'!$Q$4:$R$14,2,FALSE)))</f>
        <v/>
      </c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hidden="1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hidden="1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hidden="1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hidden="1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collapsed="1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 xml:space="preserve">ITEM 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68">
        <f>N29-N36</f>
        <v/>
      </c>
      <c r="Q29" s="1095" t="n"/>
      <c r="R29" s="1095" t="n"/>
      <c r="S29" s="713" t="n"/>
      <c r="T29" s="1095" t="n"/>
      <c r="X29" s="1095" t="n"/>
      <c r="Y29" s="1095" t="n"/>
      <c r="Z29" s="1095" t="n"/>
    </row>
    <row r="30" hidden="1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hidden="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hidden="1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hidden="1" outlineLevel="1" ht="15" customHeight="1" s="1085">
      <c r="A33" s="666" t="n">
        <v>234</v>
      </c>
      <c r="B33" s="731" t="inlineStr">
        <is>
          <t>SPECIAL WORKS</t>
        </is>
      </c>
      <c r="C33" s="752" t="inlineStr">
        <is>
          <t>SELECT WORKS</t>
        </is>
      </c>
      <c r="D33" s="735" t="n"/>
      <c r="E33" s="753">
        <f>IF(C33="","",VLOOKUP(C33,CCBASE!$A$53:$D$73,4,FALSE))</f>
        <v/>
      </c>
      <c r="F33" s="754" t="n"/>
      <c r="G33" s="749" t="n"/>
      <c r="H33" s="750" t="n"/>
      <c r="I33" s="755" t="n"/>
      <c r="J33" s="736">
        <f>IF(C33="",0,VLOOKUP(C33,CCBASE!$A$53:$C$73,2,FALSE))</f>
        <v/>
      </c>
      <c r="K33" s="737">
        <f>J33*D33</f>
        <v/>
      </c>
      <c r="L33" s="738" t="n">
        <v>0.44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hidden="1" outlineLevel="1" ht="15" customHeight="1" s="1085">
      <c r="B34" s="731" t="inlineStr">
        <is>
          <t>SPECIAL WORKS</t>
        </is>
      </c>
      <c r="C34" s="752" t="inlineStr">
        <is>
          <t>SELECT WORKS</t>
        </is>
      </c>
      <c r="D34" s="735" t="n"/>
      <c r="E34" s="753">
        <f>IF(C34="","",VLOOKUP(C34,CCBASE!$A$53:$D$73,4,FALSE))</f>
        <v/>
      </c>
      <c r="F34" s="754" t="n"/>
      <c r="G34" s="749" t="n"/>
      <c r="H34" s="750" t="n"/>
      <c r="I34" s="755" t="n"/>
      <c r="J34" s="736">
        <f>IF(C34="",0,VLOOKUP(C34,CCBASE!$A$53:$C$73,2,FALSE))</f>
        <v/>
      </c>
      <c r="K34" s="737">
        <f>J34*D34</f>
        <v/>
      </c>
      <c r="L34" s="738" t="n">
        <v>0.44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hidden="1" outlineLevel="1" ht="15" customHeight="1" s="1085">
      <c r="B35" s="978" t="inlineStr">
        <is>
          <t>SPECIAL WORKS</t>
        </is>
      </c>
      <c r="C35" s="979" t="inlineStr">
        <is>
          <t>BIM/ REVIT per CANOPY</t>
        </is>
      </c>
      <c r="D35" s="980" t="n"/>
      <c r="E35" s="1111" t="n"/>
      <c r="G35" s="977" t="n"/>
      <c r="H35" s="983" t="n"/>
      <c r="I35" s="984" t="n"/>
      <c r="J35" s="985">
        <f>IF(C35="",0,VLOOKUP(C35,CCBASE!$A$53:$C$73,2,FALSE))</f>
        <v/>
      </c>
      <c r="K35" s="986">
        <f>J35*D35</f>
        <v/>
      </c>
      <c r="L35" s="987" t="n">
        <v>0.44</v>
      </c>
      <c r="M35" s="988">
        <f>K35/(1-L35)*(1+$C$9)</f>
        <v/>
      </c>
      <c r="N35" s="986">
        <f>M35*VLOOKUP($B$9,'Base Costs'!$A$32:$B$37,2,FALSE)</f>
        <v/>
      </c>
      <c r="O35" s="989">
        <f>M35-K35</f>
        <v/>
      </c>
      <c r="P35" s="990" t="inlineStr">
        <is>
          <t>always include</t>
        </is>
      </c>
      <c r="S35" s="694" t="n"/>
      <c r="Y35" s="1095" t="n"/>
    </row>
    <row r="36" hidden="1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SELECT CLADDING</t>
        </is>
      </c>
      <c r="D36" s="756">
        <f>IF(NOT(ISBLANK(C36)), ROUNDUP($F31/1000,0), 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Y36" s="1095" t="n"/>
    </row>
    <row r="37" hidden="1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hidden="1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hidden="1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S39" s="694" t="n"/>
      <c r="Y39" s="1095" t="n"/>
    </row>
    <row r="40" hidden="1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>
        <f>IF(ISNA(D40),0,(VLOOKUP(D40,'Base Costs'!$Q$4:$R$13,2,FALSE)))</f>
        <v/>
      </c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hidden="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hidden="1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hidden="1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hidden="1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collapsed="1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68">
        <f>N46-N53</f>
        <v/>
      </c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731" t="inlineStr">
        <is>
          <t>SPECIAL WORKS</t>
        </is>
      </c>
      <c r="C50" s="752" t="inlineStr">
        <is>
          <t>SELECT WORKS</t>
        </is>
      </c>
      <c r="D50" s="735" t="n"/>
      <c r="E50" s="753">
        <f>IF(C50="","",VLOOKUP(C50,CCBASE!$A$53:$D$73,4,FALSE))</f>
        <v/>
      </c>
      <c r="F50" s="754" t="n"/>
      <c r="G50" s="749" t="n"/>
      <c r="H50" s="750" t="n"/>
      <c r="I50" s="755" t="n"/>
      <c r="J50" s="736">
        <f>IF(C50="",0,VLOOKUP(C50,CCBASE!$A$53:$C$73,2,FALSE))</f>
        <v/>
      </c>
      <c r="K50" s="737">
        <f>J50*D50</f>
        <v/>
      </c>
      <c r="L50" s="738" t="n">
        <v>0.44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731" t="inlineStr">
        <is>
          <t>SPECIAL WORKS</t>
        </is>
      </c>
      <c r="C51" s="752" t="inlineStr">
        <is>
          <t>SELECT WORKS</t>
        </is>
      </c>
      <c r="D51" s="735" t="n"/>
      <c r="E51" s="753">
        <f>IF(C51="","",VLOOKUP(C51,CCBASE!$A$53:$D$73,4,FALSE))</f>
        <v/>
      </c>
      <c r="F51" s="754" t="n"/>
      <c r="G51" s="749" t="n"/>
      <c r="H51" s="750" t="n"/>
      <c r="I51" s="755" t="n"/>
      <c r="J51" s="736">
        <f>IF(C51="",0,VLOOKUP(C51,CCBASE!$A$53:$C$73,2,FALSE))</f>
        <v/>
      </c>
      <c r="K51" s="737">
        <f>J51*D51</f>
        <v/>
      </c>
      <c r="L51" s="738" t="n">
        <v>0.44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978" t="inlineStr">
        <is>
          <t>SPECIAL WORKS</t>
        </is>
      </c>
      <c r="C52" s="979" t="inlineStr">
        <is>
          <t>BIM/ REVIT per CANOPY</t>
        </is>
      </c>
      <c r="D52" s="980" t="n"/>
      <c r="E52" s="981">
        <f>IF(C52="","",VLOOKUP(C52,CCBASE!$A$53:$D$73,4,FALSE))</f>
        <v/>
      </c>
      <c r="F52" s="982" t="n"/>
      <c r="G52" s="977" t="n"/>
      <c r="H52" s="983" t="n"/>
      <c r="I52" s="984" t="n"/>
      <c r="J52" s="985">
        <f>IF(C52="",0,VLOOKUP(C52,CCBASE!$A$53:$C$73,2,FALSE))</f>
        <v/>
      </c>
      <c r="K52" s="986">
        <f>J52*D52</f>
        <v/>
      </c>
      <c r="L52" s="987" t="n">
        <v>0.44</v>
      </c>
      <c r="M52" s="988">
        <f>K52/(1-L52)*(1+$C$9)</f>
        <v/>
      </c>
      <c r="N52" s="986">
        <f>M52*VLOOKUP($B$9,'Base Costs'!$A$32:$B$37,2,FALSE)</f>
        <v/>
      </c>
      <c r="O52" s="989">
        <f>M52-K52</f>
        <v/>
      </c>
      <c r="P52" s="990" t="inlineStr">
        <is>
          <t>always include</t>
        </is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SELECT CLADDING</t>
        </is>
      </c>
      <c r="D53" s="756">
        <f>IF(NOT(ISBLANK(C53)), ROUNDUP($F48/1000,0), 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>
        <f>IF(ISNA(D57),0,(VLOOKUP(D57,'Base Costs'!$Q$4:$R$13,2,FALSE)))</f>
        <v/>
      </c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68">
        <f>N63-N70</f>
        <v/>
      </c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731" t="inlineStr">
        <is>
          <t>SPECIAL WORKS</t>
        </is>
      </c>
      <c r="C67" s="752" t="inlineStr">
        <is>
          <t>SELECT WORKS</t>
        </is>
      </c>
      <c r="D67" s="735" t="n"/>
      <c r="E67" s="753">
        <f>IF(C67="","",VLOOKUP(C67,CCBASE!$A$53:$D$73,4,FALSE))</f>
        <v/>
      </c>
      <c r="F67" s="754" t="n"/>
      <c r="G67" s="749" t="n"/>
      <c r="H67" s="750" t="n"/>
      <c r="I67" s="755" t="n"/>
      <c r="J67" s="736">
        <f>IF(C67="",0,VLOOKUP(C67,CCBASE!$A$53:$C$73,2,FALSE))</f>
        <v/>
      </c>
      <c r="K67" s="737">
        <f>J67*D67</f>
        <v/>
      </c>
      <c r="L67" s="738" t="n">
        <v>0.44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731" t="inlineStr">
        <is>
          <t>SPECIAL WORKS</t>
        </is>
      </c>
      <c r="C68" s="752" t="inlineStr">
        <is>
          <t>SELECT WORKS</t>
        </is>
      </c>
      <c r="D68" s="735" t="n"/>
      <c r="E68" s="753">
        <f>IF(C68="","",VLOOKUP(C68,CCBASE!$A$53:$D$73,4,FALSE))</f>
        <v/>
      </c>
      <c r="F68" s="754" t="n"/>
      <c r="G68" s="749" t="n"/>
      <c r="H68" s="750" t="n"/>
      <c r="I68" s="755" t="n"/>
      <c r="J68" s="736">
        <f>IF(C68="",0,VLOOKUP(C68,CCBASE!$A$53:$C$73,2,FALSE))</f>
        <v/>
      </c>
      <c r="K68" s="737">
        <f>J68*D68</f>
        <v/>
      </c>
      <c r="L68" s="738" t="n">
        <v>0.44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978" t="inlineStr">
        <is>
          <t>SPECIAL WORKS</t>
        </is>
      </c>
      <c r="C69" s="979" t="inlineStr">
        <is>
          <t>BIM/ REVIT per CANOPY</t>
        </is>
      </c>
      <c r="D69" s="980" t="n"/>
      <c r="E69" s="981">
        <f>IF(C69="","",VLOOKUP(C69,CCBASE!$A$53:$D$73,4,FALSE))</f>
        <v/>
      </c>
      <c r="F69" s="982" t="n"/>
      <c r="G69" s="977" t="n"/>
      <c r="H69" s="983" t="n"/>
      <c r="I69" s="984" t="n"/>
      <c r="J69" s="985">
        <f>IF(C69="",0,VLOOKUP(C69,CCBASE!$A$53:$C$73,2,FALSE))</f>
        <v/>
      </c>
      <c r="K69" s="986">
        <f>J69*D69</f>
        <v/>
      </c>
      <c r="L69" s="987" t="n">
        <v>0.44</v>
      </c>
      <c r="M69" s="988">
        <f>K69/(1-L69)*(1+$C$9)</f>
        <v/>
      </c>
      <c r="N69" s="986">
        <f>M69*VLOOKUP($B$9,'Base Costs'!$A$32:$B$37,2,FALSE)</f>
        <v/>
      </c>
      <c r="O69" s="989">
        <f>M69-K69</f>
        <v/>
      </c>
      <c r="P69" s="990" t="inlineStr">
        <is>
          <t>always include</t>
        </is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IF(NOT(ISBLANK(C70)), ROUNDUP(F65/1000,0), 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>
        <f>IF(ISNA(D74),0,(VLOOKUP(D74,'Base Costs'!$Q$4:$R$13,2,FALSE)))</f>
        <v/>
      </c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68">
        <f>N80-N87</f>
        <v/>
      </c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731" t="inlineStr">
        <is>
          <t>SPECIAL WORKS</t>
        </is>
      </c>
      <c r="C84" s="752" t="inlineStr">
        <is>
          <t>SELECT WORKS</t>
        </is>
      </c>
      <c r="D84" s="735" t="n"/>
      <c r="E84" s="753">
        <f>IF(C84="","",VLOOKUP(C84,CCBASE!$A$53:$D$73,4,FALSE))</f>
        <v/>
      </c>
      <c r="F84" s="754" t="n"/>
      <c r="G84" s="749" t="n"/>
      <c r="H84" s="750" t="n"/>
      <c r="I84" s="755" t="n"/>
      <c r="J84" s="736">
        <f>IF(C84="",0,VLOOKUP(C84,CCBASE!$A$53:$C$73,2,FALSE))</f>
        <v/>
      </c>
      <c r="K84" s="737">
        <f>J84*D84</f>
        <v/>
      </c>
      <c r="L84" s="738" t="n">
        <v>0.44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SPECIAL WORKS</t>
        </is>
      </c>
      <c r="C85" s="752" t="inlineStr">
        <is>
          <t>SELECT WORKS</t>
        </is>
      </c>
      <c r="D85" s="735" t="n"/>
      <c r="E85" s="753">
        <f>IF(C85="","",VLOOKUP(C85,CCBASE!$A$53:$D$73,4,FALSE))</f>
        <v/>
      </c>
      <c r="F85" s="754" t="n"/>
      <c r="G85" s="749" t="n"/>
      <c r="H85" s="750" t="n"/>
      <c r="I85" s="755" t="n"/>
      <c r="J85" s="736">
        <f>IF(C85="",0,VLOOKUP(C85,CCBASE!$A$53:$C$73,2,FALSE))</f>
        <v/>
      </c>
      <c r="K85" s="737">
        <f>J85*D85</f>
        <v/>
      </c>
      <c r="L85" s="738" t="n">
        <v>0.44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978" t="inlineStr">
        <is>
          <t>SPECIAL WORKS</t>
        </is>
      </c>
      <c r="C86" s="979" t="inlineStr">
        <is>
          <t>BIM/ REVIT per CANOPY</t>
        </is>
      </c>
      <c r="D86" s="980" t="n"/>
      <c r="E86" s="981">
        <f>IF(C86="","",VLOOKUP(C86,CCBASE!$A$53:$D$73,4,FALSE))</f>
        <v/>
      </c>
      <c r="F86" s="982" t="n"/>
      <c r="G86" s="977" t="n"/>
      <c r="H86" s="983" t="n"/>
      <c r="I86" s="984" t="n"/>
      <c r="J86" s="985">
        <f>IF(C86="",0,VLOOKUP(C86,CCBASE!$A$53:$C$73,2,FALSE))</f>
        <v/>
      </c>
      <c r="K86" s="986">
        <f>J86*D86</f>
        <v/>
      </c>
      <c r="L86" s="987" t="n">
        <v>0.44</v>
      </c>
      <c r="M86" s="988">
        <f>K86/(1-L86)*(1+$C$9)</f>
        <v/>
      </c>
      <c r="N86" s="986">
        <f>M86*VLOOKUP($B$9,'Base Costs'!$A$32:$B$37,2,FALSE)</f>
        <v/>
      </c>
      <c r="O86" s="989">
        <f>M86-K86</f>
        <v/>
      </c>
      <c r="P86" s="990" t="inlineStr">
        <is>
          <t>always include</t>
        </is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IF(NOT(ISBLANK(C87)), ROUNDUP(F82/1000,0), 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>
        <f>IF(ISNA(D91),0,(VLOOKUP(D91,'Base Costs'!$Q$4:$R$13,2,FALSE)))</f>
        <v/>
      </c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IF(ISNUMBER(SEARCH("UV",D99)),49.7,71.75)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68">
        <f>N97-N104</f>
        <v/>
      </c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731" t="inlineStr">
        <is>
          <t>SPECIAL WORKS</t>
        </is>
      </c>
      <c r="C101" s="752" t="inlineStr">
        <is>
          <t>SELECT WORKS</t>
        </is>
      </c>
      <c r="D101" s="735" t="n"/>
      <c r="E101" s="753">
        <f>IF(C101="","",VLOOKUP(C101,CCBASE!$A$53:$D$73,4,FALSE))</f>
        <v/>
      </c>
      <c r="F101" s="754" t="n"/>
      <c r="G101" s="749" t="n"/>
      <c r="H101" s="750" t="n"/>
      <c r="I101" s="755" t="n"/>
      <c r="J101" s="736">
        <f>IF(C101="",0,VLOOKUP(C101,CCBASE!$A$53:$C$73,2,FALSE))</f>
        <v/>
      </c>
      <c r="K101" s="737">
        <f>J101*D101</f>
        <v/>
      </c>
      <c r="L101" s="738" t="n">
        <v>0.44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584" t="inlineStr">
        <is>
          <t>SPECIAL WORKS</t>
        </is>
      </c>
      <c r="C102" s="33" t="inlineStr">
        <is>
          <t>SELECT WORKS</t>
        </is>
      </c>
      <c r="D102" s="735" t="n"/>
      <c r="E102" s="753">
        <f>IF(C102="","",VLOOKUP(C102,CCBASE!$A$53:$D$73,4,FALSE))</f>
        <v/>
      </c>
      <c r="F102" s="754" t="n"/>
      <c r="G102" s="749" t="n"/>
      <c r="H102" s="750" t="n"/>
      <c r="I102" s="755" t="n"/>
      <c r="J102" s="736">
        <f>IF(C102="",0,VLOOKUP(C102,CCBASE!$A$53:$C$73,2,FALSE))</f>
        <v/>
      </c>
      <c r="K102" s="737">
        <f>J102*D102</f>
        <v/>
      </c>
      <c r="L102" s="738" t="n">
        <v>0.44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991" t="inlineStr">
        <is>
          <t>SPECIAL WORKS</t>
        </is>
      </c>
      <c r="C103" s="992" t="inlineStr">
        <is>
          <t>BIM/ REVIT per CANOPY</t>
        </is>
      </c>
      <c r="D103" s="980" t="n"/>
      <c r="E103" s="981">
        <f>IF(C103="","",VLOOKUP(C103,CCBASE!$A$53:$D$73,4,FALSE))</f>
        <v/>
      </c>
      <c r="F103" s="982" t="n"/>
      <c r="G103" s="977" t="n"/>
      <c r="H103" s="983" t="n"/>
      <c r="I103" s="984" t="n"/>
      <c r="J103" s="985">
        <f>IF(C103="",0,VLOOKUP(C103,CCBASE!$A$53:$C$73,2,FALSE))</f>
        <v/>
      </c>
      <c r="K103" s="986">
        <f>J103*D103</f>
        <v/>
      </c>
      <c r="L103" s="987" t="n">
        <v>0.44</v>
      </c>
      <c r="M103" s="988">
        <f>K103/(1-L103)*(1+$C$9)</f>
        <v/>
      </c>
      <c r="N103" s="986">
        <f>M103*VLOOKUP($B$9,'Base Costs'!$A$32:$B$37,2,FALSE)</f>
        <v/>
      </c>
      <c r="O103" s="989">
        <f>M103-K103</f>
        <v/>
      </c>
      <c r="P103" s="990" t="inlineStr">
        <is>
          <t>always include</t>
        </is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IF(NOT(ISBLANK(C104)), ROUNDUP(F99/1000,0), 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>
        <f>IF(ISNA(D108),0,(VLOOKUP(D108,'Base Costs'!$Q$4:$R$13,2,FALSE)))</f>
        <v/>
      </c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IF(ISNUMBER(SEARCH("UV",D116)),49.7,71.75)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68">
        <f>N114-N121</f>
        <v/>
      </c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731" t="inlineStr">
        <is>
          <t>SPECIAL WORKS</t>
        </is>
      </c>
      <c r="C118" s="752" t="inlineStr">
        <is>
          <t>SELECT WORKS</t>
        </is>
      </c>
      <c r="D118" s="735" t="n"/>
      <c r="E118" s="753">
        <f>IF(C118="","",VLOOKUP(C118,CCBASE!$A$53:$D$73,4,FALSE))</f>
        <v/>
      </c>
      <c r="F118" s="754" t="n"/>
      <c r="G118" s="749" t="n"/>
      <c r="H118" s="750" t="n"/>
      <c r="I118" s="755" t="n"/>
      <c r="J118" s="736">
        <f>IF(C118="",0,VLOOKUP(C118,CCBASE!$A$53:$C$73,2,FALSE))</f>
        <v/>
      </c>
      <c r="K118" s="737">
        <f>J118*D118</f>
        <v/>
      </c>
      <c r="L118" s="738" t="n">
        <v>0.44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584" t="inlineStr">
        <is>
          <t>SPECIAL WORKS</t>
        </is>
      </c>
      <c r="C119" s="33" t="inlineStr">
        <is>
          <t>SELECT WORKS</t>
        </is>
      </c>
      <c r="D119" s="735" t="n"/>
      <c r="E119" s="753">
        <f>IF(C119="","",VLOOKUP(C119,CCBASE!$A$53:$D$73,4,FALSE))</f>
        <v/>
      </c>
      <c r="F119" s="754" t="n"/>
      <c r="G119" s="749" t="n"/>
      <c r="H119" s="750" t="n"/>
      <c r="I119" s="755" t="n"/>
      <c r="J119" s="736">
        <f>IF(C119="",0,VLOOKUP(C119,CCBASE!$A$53:$C$73,2,FALSE))</f>
        <v/>
      </c>
      <c r="K119" s="737">
        <f>J119*D119</f>
        <v/>
      </c>
      <c r="L119" s="738" t="n">
        <v>0.44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991" t="inlineStr">
        <is>
          <t>SPECIAL WORKS</t>
        </is>
      </c>
      <c r="C120" s="992" t="inlineStr">
        <is>
          <t>BIM/ REVIT per CANOPY</t>
        </is>
      </c>
      <c r="D120" s="980" t="n"/>
      <c r="E120" s="981">
        <f>IF(C120="","",VLOOKUP(C120,CCBASE!$A$53:$D$73,4,FALSE))</f>
        <v/>
      </c>
      <c r="F120" s="982" t="n"/>
      <c r="G120" s="977" t="n"/>
      <c r="H120" s="983" t="n"/>
      <c r="I120" s="984" t="n"/>
      <c r="J120" s="985">
        <f>IF(C120="",0,VLOOKUP(C120,CCBASE!$A$53:$C$73,2,FALSE))</f>
        <v/>
      </c>
      <c r="K120" s="986">
        <f>J120*D120</f>
        <v/>
      </c>
      <c r="L120" s="987" t="n">
        <v>0.44</v>
      </c>
      <c r="M120" s="988">
        <f>K120/(1-L120)*(1+$C$9)</f>
        <v/>
      </c>
      <c r="N120" s="986">
        <f>M120*VLOOKUP($B$9,'Base Costs'!$A$32:$B$37,2,FALSE)</f>
        <v/>
      </c>
      <c r="O120" s="989">
        <f>M120-K120</f>
        <v/>
      </c>
      <c r="P120" s="990" t="inlineStr">
        <is>
          <t>always include</t>
        </is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IF(NOT(ISBLANK(C121)), ROUNDUP(F116/1000,0), 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>
        <f>IF(ISNA(D125),0,(VLOOKUP(D125,'Base Costs'!$Q$4:$R$13,2,FALSE)))</f>
        <v/>
      </c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68">
        <f>N131-N138</f>
        <v/>
      </c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733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731" t="inlineStr">
        <is>
          <t>SPECIAL WORKS</t>
        </is>
      </c>
      <c r="C135" s="752" t="inlineStr">
        <is>
          <t>SELECT WORKS</t>
        </is>
      </c>
      <c r="D135" s="735" t="n"/>
      <c r="E135" s="753">
        <f>IF(C135="","",VLOOKUP(C135,CCBASE!$A$53:$D$73,4,FALSE))</f>
        <v/>
      </c>
      <c r="F135" s="754" t="n"/>
      <c r="G135" s="749" t="n"/>
      <c r="H135" s="750" t="n"/>
      <c r="I135" s="755" t="n"/>
      <c r="J135" s="736">
        <f>IF(C135="",0,VLOOKUP(C135,CCBASE!$A$53:$C$73,2,FALSE))</f>
        <v/>
      </c>
      <c r="K135" s="737">
        <f>J135*D135</f>
        <v/>
      </c>
      <c r="L135" s="738" t="n">
        <v>0.44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584" t="inlineStr">
        <is>
          <t>SPECIAL WORKS</t>
        </is>
      </c>
      <c r="C136" s="33" t="inlineStr">
        <is>
          <t>SELECT WORKS</t>
        </is>
      </c>
      <c r="D136" s="735" t="n"/>
      <c r="E136" s="753">
        <f>IF(C136="","",VLOOKUP(C136,CCBASE!$A$53:$D$73,4,FALSE))</f>
        <v/>
      </c>
      <c r="F136" s="754" t="n"/>
      <c r="G136" s="749" t="n"/>
      <c r="H136" s="750" t="n"/>
      <c r="I136" s="755" t="n"/>
      <c r="J136" s="736">
        <f>IF(C136="",0,VLOOKUP(C136,CCBASE!$A$53:$C$73,2,FALSE))</f>
        <v/>
      </c>
      <c r="K136" s="737">
        <f>J136*D136</f>
        <v/>
      </c>
      <c r="L136" s="738" t="n">
        <v>0.44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991" t="inlineStr">
        <is>
          <t>SPECIAL WORKS</t>
        </is>
      </c>
      <c r="C137" s="992" t="inlineStr">
        <is>
          <t>BIM/ REVIT per CANOPY</t>
        </is>
      </c>
      <c r="D137" s="980" t="n"/>
      <c r="E137" s="981">
        <f>IF(C137="","",VLOOKUP(C137,CCBASE!$A$53:$D$73,4,FALSE))</f>
        <v/>
      </c>
      <c r="F137" s="982" t="n"/>
      <c r="G137" s="977" t="n"/>
      <c r="H137" s="983" t="n"/>
      <c r="I137" s="984" t="n"/>
      <c r="J137" s="985">
        <f>IF(C137="",0,VLOOKUP(C137,CCBASE!$A$53:$C$73,2,FALSE))</f>
        <v/>
      </c>
      <c r="K137" s="986">
        <f>J137*D137</f>
        <v/>
      </c>
      <c r="L137" s="987" t="n">
        <v>0.44</v>
      </c>
      <c r="M137" s="988">
        <f>K137/(1-L137)*(1+$C$9)</f>
        <v/>
      </c>
      <c r="N137" s="986">
        <f>M137*VLOOKUP($B$9,'Base Costs'!$A$32:$B$37,2,FALSE)</f>
        <v/>
      </c>
      <c r="O137" s="989">
        <f>M137-K137</f>
        <v/>
      </c>
      <c r="P137" s="990" t="inlineStr">
        <is>
          <t>always include</t>
        </is>
      </c>
      <c r="S137" s="694" t="n"/>
      <c r="Y137" s="1095" t="n"/>
    </row>
    <row r="138" hidden="1" outlineLevel="1" ht="15" customHeight="1" s="1085">
      <c r="A138" s="666" t="n">
        <v>289</v>
      </c>
      <c r="B138" s="584" t="inlineStr">
        <is>
          <t>WALL CLADDING</t>
        </is>
      </c>
      <c r="C138" s="33" t="inlineStr">
        <is>
          <t>SELECT CLADDING</t>
        </is>
      </c>
      <c r="D138" s="756">
        <f>IF(NOT(ISBLANK(C138)), ROUNDUP(F133/1000,0), 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584" t="inlineStr">
        <is>
          <t>INFILL PANEL</t>
        </is>
      </c>
      <c r="C139" s="752" t="n"/>
      <c r="D139" s="742" t="inlineStr">
        <is>
          <t>m²</t>
        </is>
      </c>
      <c r="E139" s="749" t="n"/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>
        <f>IF(ISNA(D142),0,(VLOOKUP(D142,'Base Costs'!$Q$4:$R$13,2,FALSE)))</f>
        <v/>
      </c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IF(ISNUMBER(SEARCH("UV",D150)),49.7,71.75)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68">
        <f>N148-N155</f>
        <v/>
      </c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731" t="inlineStr">
        <is>
          <t>SPECIAL WORKS</t>
        </is>
      </c>
      <c r="C152" s="752" t="inlineStr">
        <is>
          <t>SELECT WORKS</t>
        </is>
      </c>
      <c r="D152" s="735" t="n"/>
      <c r="E152" s="753">
        <f>IF(C152="","",VLOOKUP(C152,CCBASE!$A$53:$D$73,4,FALSE))</f>
        <v/>
      </c>
      <c r="F152" s="754" t="n"/>
      <c r="G152" s="749" t="n"/>
      <c r="H152" s="750" t="n"/>
      <c r="I152" s="755" t="n"/>
      <c r="J152" s="736">
        <f>IF(C152="",0,VLOOKUP(C152,CCBASE!$A$53:$C$73,2,FALSE))</f>
        <v/>
      </c>
      <c r="K152" s="737">
        <f>J152*D152</f>
        <v/>
      </c>
      <c r="L152" s="738" t="n">
        <v>0.44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584" t="inlineStr">
        <is>
          <t>SPECIAL WORKS</t>
        </is>
      </c>
      <c r="C153" s="33" t="inlineStr">
        <is>
          <t>SELECT WORKS</t>
        </is>
      </c>
      <c r="D153" s="735" t="n"/>
      <c r="E153" s="753">
        <f>IF(C153="","",VLOOKUP(C153,CCBASE!$A$53:$D$73,4,FALSE))</f>
        <v/>
      </c>
      <c r="F153" s="754" t="n"/>
      <c r="G153" s="749" t="n"/>
      <c r="H153" s="750" t="n"/>
      <c r="I153" s="755" t="n"/>
      <c r="J153" s="736">
        <f>IF(C153="",0,VLOOKUP(C153,CCBASE!$A$53:$C$73,2,FALSE))</f>
        <v/>
      </c>
      <c r="K153" s="737">
        <f>J153*D153</f>
        <v/>
      </c>
      <c r="L153" s="738" t="n">
        <v>0.44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991" t="inlineStr">
        <is>
          <t>SPECIAL WORKS</t>
        </is>
      </c>
      <c r="C154" s="992" t="inlineStr">
        <is>
          <t>BIM/ REVIT per CANOPY</t>
        </is>
      </c>
      <c r="D154" s="980" t="n"/>
      <c r="E154" s="981">
        <f>IF(C154="","",VLOOKUP(C154,CCBASE!$A$53:$D$73,4,FALSE))</f>
        <v/>
      </c>
      <c r="F154" s="982" t="n"/>
      <c r="G154" s="977" t="n"/>
      <c r="H154" s="983" t="n"/>
      <c r="I154" s="984" t="n"/>
      <c r="J154" s="985">
        <f>IF(C154="",0,VLOOKUP(C154,CCBASE!$A$53:$C$73,2,FALSE))</f>
        <v/>
      </c>
      <c r="K154" s="986">
        <f>J154*D154</f>
        <v/>
      </c>
      <c r="L154" s="987" t="n">
        <v>0.44</v>
      </c>
      <c r="M154" s="988">
        <f>K154/(1-L154)*(1+$C$9)</f>
        <v/>
      </c>
      <c r="N154" s="986">
        <f>M154*VLOOKUP($B$9,'Base Costs'!$A$32:$B$37,2,FALSE)</f>
        <v/>
      </c>
      <c r="O154" s="989">
        <f>M154-K154</f>
        <v/>
      </c>
      <c r="P154" s="990" t="inlineStr">
        <is>
          <t>always include</t>
        </is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IF(NOT(ISBLANK(C155)), ROUNDUP(F150/1000,0), 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>
        <f>IF(ISNA(D159),0,(VLOOKUP(D159,'Base Costs'!$Q$4:$R$13,2,FALSE)))</f>
        <v/>
      </c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IF(ISNUMBER(SEARCH("UV",D167)),49.7,71.75)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68">
        <f>N165-N172</f>
        <v/>
      </c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731" t="inlineStr">
        <is>
          <t>SPECIAL WORKS</t>
        </is>
      </c>
      <c r="C169" s="752" t="inlineStr">
        <is>
          <t>SELECT WORKS</t>
        </is>
      </c>
      <c r="D169" s="735" t="n"/>
      <c r="E169" s="753">
        <f>IF(C169="","",VLOOKUP(C169,CCBASE!$A$53:$D$73,4,FALSE))</f>
        <v/>
      </c>
      <c r="F169" s="754" t="n"/>
      <c r="G169" s="749" t="n"/>
      <c r="H169" s="750" t="n"/>
      <c r="I169" s="755" t="n"/>
      <c r="J169" s="736">
        <f>IF(C169="",0,VLOOKUP(C169,CCBASE!$A$53:$C$73,2,FALSE))</f>
        <v/>
      </c>
      <c r="K169" s="737">
        <f>J169*D169</f>
        <v/>
      </c>
      <c r="L169" s="738" t="n">
        <v>0.44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584" t="inlineStr">
        <is>
          <t>SPECIAL WORKS</t>
        </is>
      </c>
      <c r="C170" s="33" t="inlineStr">
        <is>
          <t>SELECT WORKS</t>
        </is>
      </c>
      <c r="D170" s="735" t="n"/>
      <c r="E170" s="753">
        <f>IF(C170="","",VLOOKUP(C170,CCBASE!$A$53:$D$73,4,FALSE))</f>
        <v/>
      </c>
      <c r="F170" s="754" t="n"/>
      <c r="G170" s="749" t="n"/>
      <c r="H170" s="750" t="n"/>
      <c r="I170" s="755" t="n"/>
      <c r="J170" s="736">
        <f>IF(C170="",0,VLOOKUP(C170,CCBASE!$A$53:$C$73,2,FALSE))</f>
        <v/>
      </c>
      <c r="K170" s="737">
        <f>J170*D170</f>
        <v/>
      </c>
      <c r="L170" s="738" t="n">
        <v>0.44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991" t="inlineStr">
        <is>
          <t>SPECIAL WORKS</t>
        </is>
      </c>
      <c r="C171" s="992" t="inlineStr">
        <is>
          <t>BIM/ REVIT per CANOPY</t>
        </is>
      </c>
      <c r="D171" s="980" t="n"/>
      <c r="E171" s="981">
        <f>IF(C171="","",VLOOKUP(C171,CCBASE!$A$53:$D$73,4,FALSE))</f>
        <v/>
      </c>
      <c r="F171" s="982" t="n"/>
      <c r="G171" s="977" t="n"/>
      <c r="H171" s="983" t="n"/>
      <c r="I171" s="984" t="n"/>
      <c r="J171" s="985">
        <f>IF(C171="",0,VLOOKUP(C171,CCBASE!$A$53:$C$73,2,FALSE))</f>
        <v/>
      </c>
      <c r="K171" s="986">
        <f>J171*D171</f>
        <v/>
      </c>
      <c r="L171" s="987" t="n">
        <v>0.44</v>
      </c>
      <c r="M171" s="988">
        <f>K171/(1-L171)*(1+$C$9)</f>
        <v/>
      </c>
      <c r="N171" s="986">
        <f>M171*VLOOKUP($B$9,'Base Costs'!$A$32:$B$37,2,FALSE)</f>
        <v/>
      </c>
      <c r="O171" s="989">
        <f>M171-K171</f>
        <v/>
      </c>
      <c r="P171" s="990" t="inlineStr">
        <is>
          <t>always include</t>
        </is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IF(NOT(ISBLANK(C172)), ROUNDUP(F167/1000,0), 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>
        <f>IF(ISNA(D176),0,(VLOOKUP(D176,'Base Costs'!$Q$4:$R$13,2,FALSE)))</f>
        <v/>
      </c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10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P182" s="1068">
        <f>N182-N193</f>
        <v/>
      </c>
      <c r="S182" s="694" t="n"/>
    </row>
    <row r="183" ht="15" customHeight="1" s="1085">
      <c r="A183" s="666" t="n">
        <v>222</v>
      </c>
      <c r="B183" s="589" t="inlineStr">
        <is>
          <t>DELIVERY 1 x 7.5T TAIL LIFT 3200KGS</t>
        </is>
      </c>
      <c r="C183" s="774" t="n"/>
      <c r="D183" s="775" t="inlineStr">
        <is>
          <t>SELECT LOCATION…</t>
        </is>
      </c>
      <c r="E183" s="1111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Q183" s="745" t="n"/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/>
      <c r="D184" s="775" t="inlineStr">
        <is>
          <t>PLANT SELECTION (weekly)</t>
        </is>
      </c>
      <c r="E184" s="1108" t="inlineStr">
        <is>
          <t>Install of 6no Pieces of Canopy Max</t>
        </is>
      </c>
      <c r="G184" s="748" t="n"/>
      <c r="H184" s="748" t="n"/>
      <c r="I184" s="748" t="n"/>
      <c r="J184" s="776">
        <f>VLOOKUP(D184,'Base Costs'!$A$3:$B$15,2,FALSE)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269" t="inlineStr">
        <is>
          <t xml:space="preserve">PLANT HIRE </t>
        </is>
      </c>
      <c r="C185" s="777" t="n"/>
      <c r="D185" s="775" t="inlineStr">
        <is>
          <t>PLANT SELECTION (weekly)</t>
        </is>
      </c>
      <c r="E185" s="1108" t="inlineStr">
        <is>
          <t>Install of 6no Pieces of Canopy Max</t>
        </is>
      </c>
      <c r="G185" s="748" t="n"/>
      <c r="H185" s="748" t="n"/>
      <c r="I185" s="748" t="n"/>
      <c r="J185" s="776">
        <f>VLOOKUP(D185,'Base Costs'!$A$3:$B$15,2,FALSE)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S185" s="694" t="n"/>
    </row>
    <row r="186" ht="15" customHeight="1" s="1085">
      <c r="A186" s="666" t="n">
        <v>222</v>
      </c>
      <c r="B186" s="270" t="n"/>
      <c r="C186" s="946" t="n"/>
      <c r="D186" s="775" t="inlineStr">
        <is>
          <t>SELECT LOCATION…</t>
        </is>
      </c>
      <c r="E186" s="1109" t="n"/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610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>
        <f>ROUNDUP((IF(C14="WALL",(F14/1000),(F14/1000)*2)+IF(C31="WALL",(F31/1000),(F31/1000)*2)+IF(C48="WALL",(F48/1000),(F48/1000)*2)+IF(C65="WALL",(F65/1000),(F65/1000)*2)+IF(C82="WALL",(F82/1000),(F82/1000)*2)+IF(C99="WALL",(F99/1000),(F99/1000)*2)+IF(C116="WALL",(F116/1000),(F116/1000)*2)+IF(C133="WALL",(F133/1000),(F133/1000)*2)+IF(C150="WALL",(F150/1000),(F150/1000)*2)+IF(C167="WALL",(F167/1000),(F167/1000)*2)),0)</f>
        <v/>
      </c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731" t="inlineStr">
        <is>
          <t>INSTALLATION NORMAL HOURS</t>
        </is>
      </c>
      <c r="C189" s="777" t="n"/>
      <c r="D189" s="1102" t="inlineStr">
        <is>
          <t>2 Pieces = 1 Day, 4 Pieces = 1.5 Days, 6 Pieces = 2 Days, 8 Pieces = 2.5 Days (1 Section up to 3m long equals 2 Pieces) + logistics</t>
        </is>
      </c>
      <c r="J189" s="776" t="n">
        <v>610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S189" s="694" t="n"/>
    </row>
    <row r="190" ht="15" customHeight="1" s="1085">
      <c r="A190" s="666" t="n">
        <v>400</v>
      </c>
      <c r="B190" s="731" t="inlineStr">
        <is>
          <t>INSTALLATION AFTER HOURS</t>
        </is>
      </c>
      <c r="C190" s="777" t="n"/>
      <c r="D190" s="1102" t="inlineStr">
        <is>
          <t>2 Pieces = 1 Day, 4 Pieces = 1.5 Days, 6 Pieces = 2 Days, 8 Pieces = 2.5 Days (1 Section up to 3m long equals 2 Pieces) + logistics</t>
        </is>
      </c>
      <c r="J190" s="776" t="n">
        <v>1220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610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220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15" t="inlineStr">
        <is>
          <t>ONE Engineer,  1 day per 4no UV or W/W Sections of Canopy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9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09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20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2">
    <mergeCell ref="B203:O203"/>
    <mergeCell ref="H91:I91"/>
    <mergeCell ref="D189:I189"/>
    <mergeCell ref="E121:F121"/>
    <mergeCell ref="H38:I38"/>
    <mergeCell ref="H125:I125"/>
    <mergeCell ref="B200:O200"/>
    <mergeCell ref="G186:I186"/>
    <mergeCell ref="D194:F194"/>
    <mergeCell ref="C5:D5"/>
    <mergeCell ref="H141:I141"/>
    <mergeCell ref="E185:F185"/>
    <mergeCell ref="D197:F197"/>
    <mergeCell ref="B182:G182"/>
    <mergeCell ref="B202:O202"/>
    <mergeCell ref="H55:I55"/>
    <mergeCell ref="H40:I40"/>
    <mergeCell ref="H74:I74"/>
    <mergeCell ref="H176:I176"/>
    <mergeCell ref="H56:I56"/>
    <mergeCell ref="P7:R7"/>
    <mergeCell ref="E35:F35"/>
    <mergeCell ref="H39:I39"/>
    <mergeCell ref="E87:F87"/>
    <mergeCell ref="G9:J9"/>
    <mergeCell ref="H21:I21"/>
    <mergeCell ref="H73:I73"/>
    <mergeCell ref="H157:I157"/>
    <mergeCell ref="D195:E195"/>
    <mergeCell ref="D193:F193"/>
    <mergeCell ref="E138:F138"/>
    <mergeCell ref="E19:F19"/>
    <mergeCell ref="H142:I142"/>
    <mergeCell ref="E155:F155"/>
    <mergeCell ref="H89:I89"/>
    <mergeCell ref="H123:I123"/>
    <mergeCell ref="G5:J5"/>
    <mergeCell ref="B1:C1"/>
    <mergeCell ref="E9:F9"/>
    <mergeCell ref="H108:I108"/>
    <mergeCell ref="H106:I106"/>
    <mergeCell ref="E186:F186"/>
    <mergeCell ref="G183:I183"/>
    <mergeCell ref="E104:F104"/>
    <mergeCell ref="H72:I72"/>
    <mergeCell ref="H174:I174"/>
    <mergeCell ref="H90:I90"/>
    <mergeCell ref="B205:O205"/>
    <mergeCell ref="H57:I57"/>
    <mergeCell ref="G7:J7"/>
    <mergeCell ref="H159:I159"/>
    <mergeCell ref="E36:F36"/>
    <mergeCell ref="H22:I22"/>
    <mergeCell ref="E70:F70"/>
    <mergeCell ref="H140:I140"/>
    <mergeCell ref="H158:I158"/>
    <mergeCell ref="D196:E196"/>
    <mergeCell ref="E172:F172"/>
    <mergeCell ref="C7:D7"/>
    <mergeCell ref="D190:I190"/>
    <mergeCell ref="G3:J3"/>
    <mergeCell ref="E183:F183"/>
    <mergeCell ref="H124:I124"/>
    <mergeCell ref="B201:O201"/>
    <mergeCell ref="E184:F184"/>
    <mergeCell ref="H107:I107"/>
    <mergeCell ref="E53:F53"/>
    <mergeCell ref="B204:O204"/>
    <mergeCell ref="H23:I23"/>
    <mergeCell ref="C3:D3"/>
    <mergeCell ref="P5:T5"/>
    <mergeCell ref="H175:I175"/>
  </mergeCells>
  <conditionalFormatting sqref="B9">
    <cfRule type="containsText" priority="663" operator="containsText" dxfId="680" text="SELECT">
      <formula>NOT(ISERROR(SEARCH("SELECT",B9)))</formula>
    </cfRule>
    <cfRule type="expression" priority="664" dxfId="680">
      <formula>B9="CURRENCY"</formula>
    </cfRule>
  </conditionalFormatting>
  <conditionalFormatting sqref="B11">
    <cfRule type="expression" priority="626" dxfId="637">
      <formula>$B11&lt;&gt;""</formula>
    </cfRule>
  </conditionalFormatting>
  <conditionalFormatting sqref="B14:B23">
    <cfRule type="expression" priority="618" dxfId="633">
      <formula>$J14&gt;0</formula>
    </cfRule>
  </conditionalFormatting>
  <conditionalFormatting sqref="B24">
    <cfRule type="expression" priority="615" dxfId="633">
      <formula>ISNUMBER(SEARCH("UV",$D14))</formula>
    </cfRule>
    <cfRule type="expression" priority="616" dxfId="358">
      <formula>($D14="CANOPY TYPE")</formula>
    </cfRule>
  </conditionalFormatting>
  <conditionalFormatting sqref="B25:B27">
    <cfRule type="expression" priority="443" dxfId="633">
      <formula>$J25&gt;0</formula>
    </cfRule>
  </conditionalFormatting>
  <conditionalFormatting sqref="B28">
    <cfRule type="expression" priority="624" dxfId="637">
      <formula>$B28&lt;&gt;""</formula>
    </cfRule>
  </conditionalFormatting>
  <conditionalFormatting sqref="B31:B40">
    <cfRule type="expression" priority="388" dxfId="633">
      <formula>$J31&gt;0</formula>
    </cfRule>
  </conditionalFormatting>
  <conditionalFormatting sqref="B41">
    <cfRule type="expression" priority="583" dxfId="633">
      <formula>ISNUMBER(SEARCH("UV",$D31))</formula>
    </cfRule>
    <cfRule type="expression" priority="584" dxfId="358">
      <formula>($D31="CANOPY TYPE")</formula>
    </cfRule>
  </conditionalFormatting>
  <conditionalFormatting sqref="B42:B44">
    <cfRule type="expression" priority="585" dxfId="633">
      <formula>$J42&gt;0</formula>
    </cfRule>
  </conditionalFormatting>
  <conditionalFormatting sqref="B45">
    <cfRule type="expression" priority="623" dxfId="637">
      <formula>$B45&lt;&gt;""</formula>
    </cfRule>
  </conditionalFormatting>
  <conditionalFormatting sqref="B48:B57">
    <cfRule type="expression" priority="103" dxfId="633">
      <formula>$J48&gt;0</formula>
    </cfRule>
  </conditionalFormatting>
  <conditionalFormatting sqref="B58">
    <cfRule type="expression" priority="557" dxfId="358">
      <formula>($D48="CANOPY TYPE")</formula>
    </cfRule>
    <cfRule type="expression" priority="556" dxfId="633">
      <formula>ISNUMBER(SEARCH("UV",$D48))</formula>
    </cfRule>
  </conditionalFormatting>
  <conditionalFormatting sqref="B59:B61">
    <cfRule type="expression" priority="442" dxfId="633">
      <formula>$J59&gt;0</formula>
    </cfRule>
  </conditionalFormatting>
  <conditionalFormatting sqref="B62">
    <cfRule type="expression" priority="622" dxfId="637">
      <formula>$B62&lt;&gt;""</formula>
    </cfRule>
  </conditionalFormatting>
  <conditionalFormatting sqref="B65:B74">
    <cfRule type="expression" priority="89" dxfId="633">
      <formula>$J65&gt;0</formula>
    </cfRule>
  </conditionalFormatting>
  <conditionalFormatting sqref="B75">
    <cfRule type="expression" priority="528" dxfId="633">
      <formula>ISNUMBER(SEARCH("UV",$D65))</formula>
    </cfRule>
    <cfRule type="expression" priority="529" dxfId="358">
      <formula>($D65="CANOPY TYPE")</formula>
    </cfRule>
  </conditionalFormatting>
  <conditionalFormatting sqref="B76:B78">
    <cfRule type="expression" priority="441" dxfId="633">
      <formula>$J76&gt;0</formula>
    </cfRule>
  </conditionalFormatting>
  <conditionalFormatting sqref="B79">
    <cfRule type="expression" priority="621" dxfId="637">
      <formula>$B79&lt;&gt;""</formula>
    </cfRule>
  </conditionalFormatting>
  <conditionalFormatting sqref="B82:B91">
    <cfRule type="expression" priority="75" dxfId="633">
      <formula>$J82&gt;0</formula>
    </cfRule>
  </conditionalFormatting>
  <conditionalFormatting sqref="B92">
    <cfRule type="expression" priority="499" dxfId="633">
      <formula>ISNUMBER(SEARCH("UV",$D82))</formula>
    </cfRule>
    <cfRule type="expression" priority="500" dxfId="358">
      <formula>($D82="CANOPY TYPE")</formula>
    </cfRule>
  </conditionalFormatting>
  <conditionalFormatting sqref="B93:B95">
    <cfRule type="expression" priority="440" dxfId="633">
      <formula>$J93&gt;0</formula>
    </cfRule>
  </conditionalFormatting>
  <conditionalFormatting sqref="B96">
    <cfRule type="expression" priority="620" dxfId="637">
      <formula>$B96&lt;&gt;""</formula>
    </cfRule>
  </conditionalFormatting>
  <conditionalFormatting sqref="B99:B108">
    <cfRule type="expression" priority="61" dxfId="633">
      <formula>$J99&gt;0</formula>
    </cfRule>
  </conditionalFormatting>
  <conditionalFormatting sqref="B109">
    <cfRule type="expression" priority="472" dxfId="358">
      <formula>($D99="CANOPY TYPE")</formula>
    </cfRule>
    <cfRule type="expression" priority="471" dxfId="633">
      <formula>ISNUMBER(SEARCH("UV",$D99))</formula>
    </cfRule>
  </conditionalFormatting>
  <conditionalFormatting sqref="B110:B112 B127:B129 B144:B146 B161:B163 B178:B180">
    <cfRule type="expression" priority="439" dxfId="633">
      <formula>$J110&gt;0</formula>
    </cfRule>
  </conditionalFormatting>
  <conditionalFormatting sqref="B113">
    <cfRule type="expression" priority="320" dxfId="637">
      <formula>$B113&lt;&gt;""</formula>
    </cfRule>
  </conditionalFormatting>
  <conditionalFormatting sqref="B116:B125">
    <cfRule type="expression" priority="47" dxfId="633">
      <formula>$J116&gt;0</formula>
    </cfRule>
  </conditionalFormatting>
  <conditionalFormatting sqref="B126">
    <cfRule type="expression" priority="295" dxfId="633">
      <formula>ISNUMBER(SEARCH("UV",$D116))</formula>
    </cfRule>
    <cfRule type="expression" priority="296" dxfId="358">
      <formula>($D116="CANOPY TYPE")</formula>
    </cfRule>
  </conditionalFormatting>
  <conditionalFormatting sqref="B130">
    <cfRule type="expression" priority="265" dxfId="637">
      <formula>$B130&lt;&gt;""</formula>
    </cfRule>
  </conditionalFormatting>
  <conditionalFormatting sqref="B133:B142">
    <cfRule type="expression" priority="33" dxfId="633">
      <formula>$J133&gt;0</formula>
    </cfRule>
  </conditionalFormatting>
  <conditionalFormatting sqref="B143">
    <cfRule type="expression" priority="241" dxfId="358">
      <formula>($D133="CANOPY TYPE")</formula>
    </cfRule>
    <cfRule type="expression" priority="240" dxfId="633">
      <formula>ISNUMBER(SEARCH("UV",$D133))</formula>
    </cfRule>
  </conditionalFormatting>
  <conditionalFormatting sqref="B147">
    <cfRule type="expression" priority="214" dxfId="637">
      <formula>$B147&lt;&gt;""</formula>
    </cfRule>
  </conditionalFormatting>
  <conditionalFormatting sqref="B150:B159">
    <cfRule type="expression" priority="19" dxfId="633">
      <formula>$J150&gt;0</formula>
    </cfRule>
  </conditionalFormatting>
  <conditionalFormatting sqref="B160">
    <cfRule type="expression" priority="190" dxfId="358">
      <formula>($D150="CANOPY TYPE")</formula>
    </cfRule>
    <cfRule type="expression" priority="189" dxfId="633">
      <formula>ISNUMBER(SEARCH("UV",$D150))</formula>
    </cfRule>
  </conditionalFormatting>
  <conditionalFormatting sqref="B164">
    <cfRule type="expression" priority="163" dxfId="637">
      <formula>$B164&lt;&gt;""</formula>
    </cfRule>
  </conditionalFormatting>
  <conditionalFormatting sqref="B167:B176">
    <cfRule type="expression" priority="5" dxfId="633">
      <formula>$J167&gt;0</formula>
    </cfRule>
  </conditionalFormatting>
  <conditionalFormatting sqref="B177">
    <cfRule type="expression" priority="138" dxfId="633">
      <formula>ISNUMBER(SEARCH("UV",$D167))</formula>
    </cfRule>
    <cfRule type="expression" priority="139" dxfId="358">
      <formula>($D167="CANOPY TYPE")</formula>
    </cfRule>
  </conditionalFormatting>
  <conditionalFormatting sqref="B183:B197">
    <cfRule type="expression" priority="617" dxfId="633">
      <formula>$C183&gt;0</formula>
    </cfRule>
  </conditionalFormatting>
  <conditionalFormatting sqref="C14">
    <cfRule type="containsText" priority="429" operator="containsText" dxfId="204" text="CONFIG">
      <formula>NOT(ISERROR(SEARCH("CONFIG",C14)))</formula>
    </cfRule>
  </conditionalFormatting>
  <conditionalFormatting sqref="C15">
    <cfRule type="containsText" priority="434" operator="containsText" dxfId="561" text="LIGHT SELECTION">
      <formula>NOT(ISERROR(SEARCH("LIGHT SELECTION",C15)))</formula>
    </cfRule>
  </conditionalFormatting>
  <conditionalFormatting sqref="C20:C21">
    <cfRule type="cellIs" priority="669" operator="lessThan" dxfId="561">
      <formula>1</formula>
    </cfRule>
  </conditionalFormatting>
  <conditionalFormatting sqref="C22:C23">
    <cfRule type="expression" priority="409" dxfId="383">
      <formula>D22="WW PODS"</formula>
    </cfRule>
  </conditionalFormatting>
  <conditionalFormatting sqref="C24">
    <cfRule type="expression" priority="686" dxfId="559">
      <formula>ISNUMBER(SEARCH("UV",D14))</formula>
    </cfRule>
  </conditionalFormatting>
  <conditionalFormatting sqref="C25">
    <cfRule type="expression" priority="651" dxfId="472">
      <formula>(ISNUMBER(SEARCH("CMW",D14)))=TRUE</formula>
    </cfRule>
  </conditionalFormatting>
  <conditionalFormatting sqref="C26">
    <cfRule type="expression" priority="650" dxfId="472">
      <formula>(ISNUMBER(SEARCH("CMW",D14)))=TRUE</formula>
    </cfRule>
  </conditionalFormatting>
  <conditionalFormatting sqref="C27">
    <cfRule type="expression" priority="619" dxfId="472">
      <formula>(ISNUMBER(SEARCH("CMW",$D14)))=TRUE</formula>
    </cfRule>
  </conditionalFormatting>
  <conditionalFormatting sqref="C31">
    <cfRule type="containsText" priority="594" operator="containsText" dxfId="204" text="CONFIG">
      <formula>NOT(ISERROR(SEARCH("CONFIG",C31)))</formula>
    </cfRule>
  </conditionalFormatting>
  <conditionalFormatting sqref="C32">
    <cfRule type="containsText" priority="436" operator="containsText" dxfId="561" text="LIGHT SELECTION">
      <formula>NOT(ISERROR(SEARCH("LIGHT SELECTION",C32)))</formula>
    </cfRule>
  </conditionalFormatting>
  <conditionalFormatting sqref="C37:C38">
    <cfRule type="cellIs" priority="593" operator="lessThan" dxfId="561">
      <formula>1</formula>
    </cfRule>
  </conditionalFormatting>
  <conditionalFormatting sqref="C39:C40">
    <cfRule type="expression" priority="387" dxfId="383">
      <formula>D39="WW PODS"</formula>
    </cfRule>
  </conditionalFormatting>
  <conditionalFormatting sqref="C41">
    <cfRule type="expression" priority="608" dxfId="559">
      <formula>ISNUMBER(SEARCH("UV",D31))</formula>
    </cfRule>
  </conditionalFormatting>
  <conditionalFormatting sqref="C42">
    <cfRule type="expression" priority="591" dxfId="472">
      <formula>(ISNUMBER(SEARCH("CMW",D31)))=TRUE</formula>
    </cfRule>
  </conditionalFormatting>
  <conditionalFormatting sqref="C43">
    <cfRule type="expression" priority="468" dxfId="472">
      <formula>(ISNUMBER(SEARCH("CMW",D31)))=TRUE</formula>
    </cfRule>
  </conditionalFormatting>
  <conditionalFormatting sqref="C44">
    <cfRule type="expression" priority="586" dxfId="472">
      <formula>(ISNUMBER(SEARCH("CMW",$D31)))=TRUE</formula>
    </cfRule>
  </conditionalFormatting>
  <conditionalFormatting sqref="C48">
    <cfRule type="containsText" priority="563" operator="containsText" dxfId="204" text="CONFIG">
      <formula>NOT(ISERROR(SEARCH("CONFIG",C48)))</formula>
    </cfRule>
  </conditionalFormatting>
  <conditionalFormatting sqref="C49">
    <cfRule type="containsText" priority="433" operator="containsText" dxfId="561" text="LIGHT SELECTION">
      <formula>NOT(ISERROR(SEARCH("LIGHT SELECTION",C49)))</formula>
    </cfRule>
  </conditionalFormatting>
  <conditionalFormatting sqref="C54:C55">
    <cfRule type="cellIs" priority="562" operator="lessThan" dxfId="561">
      <formula>1</formula>
    </cfRule>
  </conditionalFormatting>
  <conditionalFormatting sqref="C56:C57">
    <cfRule type="expression" priority="368" dxfId="383">
      <formula>D56="WW PODS"</formula>
    </cfRule>
  </conditionalFormatting>
  <conditionalFormatting sqref="C58">
    <cfRule type="expression" priority="576" dxfId="559">
      <formula>ISNUMBER(SEARCH("UV",D48))</formula>
    </cfRule>
  </conditionalFormatting>
  <conditionalFormatting sqref="C59">
    <cfRule type="expression" priority="560" dxfId="472">
      <formula>(ISNUMBER(SEARCH("CMW",D48)))=TRUE</formula>
    </cfRule>
  </conditionalFormatting>
  <conditionalFormatting sqref="C60">
    <cfRule type="expression" priority="467" dxfId="472">
      <formula>(ISNUMBER(SEARCH("CMW",D48)))=TRUE</formula>
    </cfRule>
  </conditionalFormatting>
  <conditionalFormatting sqref="C61">
    <cfRule type="expression" priority="558" dxfId="472">
      <formula>(ISNUMBER(SEARCH("CMW",$D48)))=TRUE</formula>
    </cfRule>
  </conditionalFormatting>
  <conditionalFormatting sqref="C65">
    <cfRule type="containsText" priority="536" operator="containsText" dxfId="204" text="CONFIG">
      <formula>NOT(ISERROR(SEARCH("CONFIG",C65)))</formula>
    </cfRule>
  </conditionalFormatting>
  <conditionalFormatting sqref="C66">
    <cfRule type="containsText" priority="432" operator="containsText" dxfId="561" text="LIGHT SELECTION">
      <formula>NOT(ISERROR(SEARCH("LIGHT SELECTION",C66)))</formula>
    </cfRule>
  </conditionalFormatting>
  <conditionalFormatting sqref="C71:C72">
    <cfRule type="cellIs" priority="535" operator="lessThan" dxfId="561">
      <formula>1</formula>
    </cfRule>
  </conditionalFormatting>
  <conditionalFormatting sqref="C73:C74">
    <cfRule type="expression" priority="353" dxfId="383">
      <formula>D73="WW PODS"</formula>
    </cfRule>
  </conditionalFormatting>
  <conditionalFormatting sqref="C75">
    <cfRule type="expression" priority="549" dxfId="559">
      <formula>ISNUMBER(SEARCH("UV",D65))</formula>
    </cfRule>
  </conditionalFormatting>
  <conditionalFormatting sqref="C76">
    <cfRule type="expression" priority="532" dxfId="472">
      <formula>(ISNUMBER(SEARCH("CMW",D65)))=TRUE</formula>
    </cfRule>
  </conditionalFormatting>
  <conditionalFormatting sqref="C77">
    <cfRule type="expression" priority="466" dxfId="472">
      <formula>(ISNUMBER(SEARCH("CMW",D65)))=TRUE</formula>
    </cfRule>
  </conditionalFormatting>
  <conditionalFormatting sqref="C78">
    <cfRule type="expression" priority="530" dxfId="472">
      <formula>(ISNUMBER(SEARCH("CMW",$D65)))=TRUE</formula>
    </cfRule>
  </conditionalFormatting>
  <conditionalFormatting sqref="C82">
    <cfRule type="containsText" priority="507" operator="containsText" dxfId="204" text="CONFIG">
      <formula>NOT(ISERROR(SEARCH("CONFIG",C82)))</formula>
    </cfRule>
  </conditionalFormatting>
  <conditionalFormatting sqref="C83">
    <cfRule type="containsText" priority="431" operator="containsText" dxfId="561" text="LIGHT SELECTION">
      <formula>NOT(ISERROR(SEARCH("LIGHT SELECTION",C83)))</formula>
    </cfRule>
  </conditionalFormatting>
  <conditionalFormatting sqref="C88:C89">
    <cfRule type="cellIs" priority="506" operator="lessThan" dxfId="561">
      <formula>1</formula>
    </cfRule>
  </conditionalFormatting>
  <conditionalFormatting sqref="C90:C91">
    <cfRule type="expression" priority="338" dxfId="383">
      <formula>D90="WW PODS"</formula>
    </cfRule>
  </conditionalFormatting>
  <conditionalFormatting sqref="C92">
    <cfRule type="expression" priority="521" dxfId="559">
      <formula>ISNUMBER(SEARCH("UV",D82))</formula>
    </cfRule>
  </conditionalFormatting>
  <conditionalFormatting sqref="C93">
    <cfRule type="expression" priority="503" dxfId="472">
      <formula>(ISNUMBER(SEARCH("CMW",D82)))=TRUE</formula>
    </cfRule>
  </conditionalFormatting>
  <conditionalFormatting sqref="C94">
    <cfRule type="expression" priority="465" dxfId="472">
      <formula>(ISNUMBER(SEARCH("CMW",D82)))=TRUE</formula>
    </cfRule>
  </conditionalFormatting>
  <conditionalFormatting sqref="C95">
    <cfRule type="expression" priority="501" dxfId="472">
      <formula>(ISNUMBER(SEARCH("CMW",$D82)))=TRUE</formula>
    </cfRule>
  </conditionalFormatting>
  <conditionalFormatting sqref="C99">
    <cfRule type="containsText" priority="478" operator="containsText" dxfId="204" text="CONFIG">
      <formula>NOT(ISERROR(SEARCH("CONFIG",C99)))</formula>
    </cfRule>
  </conditionalFormatting>
  <conditionalFormatting sqref="C100">
    <cfRule type="containsText" priority="430" operator="containsText" dxfId="561" text="LIGHT SELECTION">
      <formula>NOT(ISERROR(SEARCH("LIGHT SELECTION",C100)))</formula>
    </cfRule>
  </conditionalFormatting>
  <conditionalFormatting sqref="C105:C106">
    <cfRule type="cellIs" priority="477" operator="lessThan" dxfId="561">
      <formula>1</formula>
    </cfRule>
  </conditionalFormatting>
  <conditionalFormatting sqref="C107:C108">
    <cfRule type="expression" priority="323" dxfId="383">
      <formula>D107="WW PODS"</formula>
    </cfRule>
  </conditionalFormatting>
  <conditionalFormatting sqref="C109">
    <cfRule type="expression" priority="492" dxfId="559">
      <formula>ISNUMBER(SEARCH("UV",D99))</formula>
    </cfRule>
  </conditionalFormatting>
  <conditionalFormatting sqref="C110">
    <cfRule type="expression" priority="475" dxfId="472">
      <formula>(ISNUMBER(SEARCH("CMW",D99)))=TRUE</formula>
    </cfRule>
  </conditionalFormatting>
  <conditionalFormatting sqref="C111">
    <cfRule type="expression" priority="464" dxfId="472">
      <formula>(ISNUMBER(SEARCH("CMW",D99)))=TRUE</formula>
    </cfRule>
  </conditionalFormatting>
  <conditionalFormatting sqref="C112 C129 C146 C163 C180">
    <cfRule type="expression" priority="473" dxfId="472">
      <formula>(ISNUMBER(SEARCH("CMW",$D99)))=TRUE</formula>
    </cfRule>
  </conditionalFormatting>
  <conditionalFormatting sqref="C116">
    <cfRule type="containsText" priority="301" operator="containsText" dxfId="204" text="CONFIG">
      <formula>NOT(ISERROR(SEARCH("CONFIG",C116)))</formula>
    </cfRule>
  </conditionalFormatting>
  <conditionalFormatting sqref="C117">
    <cfRule type="containsText" priority="288" operator="containsText" dxfId="561" text="LIGHT SELECTION">
      <formula>NOT(ISERROR(SEARCH("LIGHT SELECTION",C117)))</formula>
    </cfRule>
  </conditionalFormatting>
  <conditionalFormatting sqref="C122:C123">
    <cfRule type="cellIs" priority="300" operator="lessThan" dxfId="561">
      <formula>1</formula>
    </cfRule>
  </conditionalFormatting>
  <conditionalFormatting sqref="C124:C125">
    <cfRule type="expression" priority="272" dxfId="383">
      <formula>D124="WW PODS"</formula>
    </cfRule>
  </conditionalFormatting>
  <conditionalFormatting sqref="C126">
    <cfRule type="expression" priority="315" dxfId="559">
      <formula>ISNUMBER(SEARCH("UV",D116))</formula>
    </cfRule>
  </conditionalFormatting>
  <conditionalFormatting sqref="C127">
    <cfRule type="expression" priority="298" dxfId="472">
      <formula>(ISNUMBER(SEARCH("CMW",D116)))=TRUE</formula>
    </cfRule>
  </conditionalFormatting>
  <conditionalFormatting sqref="C128">
    <cfRule type="expression" priority="293" dxfId="472">
      <formula>(ISNUMBER(SEARCH("CMW",D116)))=TRUE</formula>
    </cfRule>
  </conditionalFormatting>
  <conditionalFormatting sqref="C133">
    <cfRule type="containsText" priority="246" operator="containsText" dxfId="204" text="CONFIG">
      <formula>NOT(ISERROR(SEARCH("CONFIG",C133)))</formula>
    </cfRule>
  </conditionalFormatting>
  <conditionalFormatting sqref="C134">
    <cfRule type="containsText" priority="233" operator="containsText" dxfId="561" text="LIGHT SELECTION">
      <formula>NOT(ISERROR(SEARCH("LIGHT SELECTION",C134)))</formula>
    </cfRule>
  </conditionalFormatting>
  <conditionalFormatting sqref="C139:C140">
    <cfRule type="cellIs" priority="245" operator="lessThan" dxfId="561">
      <formula>1</formula>
    </cfRule>
  </conditionalFormatting>
  <conditionalFormatting sqref="C141:C142">
    <cfRule type="expression" priority="217" dxfId="383">
      <formula>D141="WW PODS"</formula>
    </cfRule>
  </conditionalFormatting>
  <conditionalFormatting sqref="C143">
    <cfRule type="expression" priority="260" dxfId="559">
      <formula>ISNUMBER(SEARCH("UV",D133))</formula>
    </cfRule>
  </conditionalFormatting>
  <conditionalFormatting sqref="C144">
    <cfRule type="expression" priority="243" dxfId="472">
      <formula>(ISNUMBER(SEARCH("CMW",D133)))=TRUE</formula>
    </cfRule>
  </conditionalFormatting>
  <conditionalFormatting sqref="C145">
    <cfRule type="expression" priority="238" dxfId="472">
      <formula>(ISNUMBER(SEARCH("CMW",D133)))=TRUE</formula>
    </cfRule>
  </conditionalFormatting>
  <conditionalFormatting sqref="C150">
    <cfRule type="containsText" priority="195" operator="containsText" dxfId="204" text="CONFIG">
      <formula>NOT(ISERROR(SEARCH("CONFIG",C150)))</formula>
    </cfRule>
  </conditionalFormatting>
  <conditionalFormatting sqref="C151">
    <cfRule type="containsText" priority="182" operator="containsText" dxfId="561" text="LIGHT SELECTION">
      <formula>NOT(ISERROR(SEARCH("LIGHT SELECTION",C151)))</formula>
    </cfRule>
  </conditionalFormatting>
  <conditionalFormatting sqref="C156:C157">
    <cfRule type="cellIs" priority="194" operator="lessThan" dxfId="561">
      <formula>1</formula>
    </cfRule>
  </conditionalFormatting>
  <conditionalFormatting sqref="C158:C159">
    <cfRule type="expression" priority="166" dxfId="383">
      <formula>D158="WW PODS"</formula>
    </cfRule>
  </conditionalFormatting>
  <conditionalFormatting sqref="C160">
    <cfRule type="expression" priority="209" dxfId="559">
      <formula>ISNUMBER(SEARCH("UV",D150))</formula>
    </cfRule>
  </conditionalFormatting>
  <conditionalFormatting sqref="C161">
    <cfRule type="expression" priority="192" dxfId="472">
      <formula>(ISNUMBER(SEARCH("CMW",D150)))=TRUE</formula>
    </cfRule>
  </conditionalFormatting>
  <conditionalFormatting sqref="C162">
    <cfRule type="expression" priority="187" dxfId="472">
      <formula>(ISNUMBER(SEARCH("CMW",D150)))=TRUE</formula>
    </cfRule>
  </conditionalFormatting>
  <conditionalFormatting sqref="C167">
    <cfRule type="containsText" priority="144" operator="containsText" dxfId="204" text="CONFIG">
      <formula>NOT(ISERROR(SEARCH("CONFIG",C167)))</formula>
    </cfRule>
  </conditionalFormatting>
  <conditionalFormatting sqref="C168">
    <cfRule type="containsText" priority="131" operator="containsText" dxfId="561" text="LIGHT SELECTION">
      <formula>NOT(ISERROR(SEARCH("LIGHT SELECTION",C168)))</formula>
    </cfRule>
  </conditionalFormatting>
  <conditionalFormatting sqref="C173:C174">
    <cfRule type="cellIs" priority="143" operator="lessThan" dxfId="561">
      <formula>1</formula>
    </cfRule>
  </conditionalFormatting>
  <conditionalFormatting sqref="C175:C176">
    <cfRule type="expression" priority="115" dxfId="383">
      <formula>D175="WW PODS"</formula>
    </cfRule>
  </conditionalFormatting>
  <conditionalFormatting sqref="C177">
    <cfRule type="expression" priority="158" dxfId="559">
      <formula>ISNUMBER(SEARCH("UV",D167))</formula>
    </cfRule>
  </conditionalFormatting>
  <conditionalFormatting sqref="C178">
    <cfRule type="expression" priority="141" dxfId="472">
      <formula>(ISNUMBER(SEARCH("CMW",D167)))=TRUE</formula>
    </cfRule>
  </conditionalFormatting>
  <conditionalFormatting sqref="C179">
    <cfRule type="expression" priority="136" dxfId="472">
      <formula>(ISNUMBER(SEARCH("CMW",D167)))=TRUE</formula>
    </cfRule>
  </conditionalFormatting>
  <conditionalFormatting sqref="C183:C184">
    <cfRule type="cellIs" priority="671" operator="lessThan" dxfId="554">
      <formula>1</formula>
    </cfRule>
  </conditionalFormatting>
  <conditionalFormatting sqref="C185">
    <cfRule type="cellIs" priority="660" operator="lessThan" dxfId="164">
      <formula>1</formula>
    </cfRule>
  </conditionalFormatting>
  <conditionalFormatting sqref="C186:C197">
    <cfRule type="cellIs" priority="270" operator="lessThan" dxfId="554">
      <formula>1</formula>
    </cfRule>
  </conditionalFormatting>
  <conditionalFormatting sqref="C9:D9">
    <cfRule type="cellIs" priority="661" operator="lessThan" dxfId="207">
      <formula>0</formula>
    </cfRule>
    <cfRule type="cellIs" priority="662" operator="greaterThan" dxfId="552">
      <formula>0</formula>
    </cfRule>
  </conditionalFormatting>
  <conditionalFormatting sqref="D14">
    <cfRule type="containsText" priority="672" operator="containsText" dxfId="164" text="CANOPY TYPE">
      <formula>NOT(ISERROR(SEARCH("CANOPY TYPE",D14)))</formula>
    </cfRule>
  </conditionalFormatting>
  <conditionalFormatting sqref="D15">
    <cfRule type="expression" priority="425" dxfId="206">
      <formula>(C15="LIGHT SELECTION")</formula>
    </cfRule>
  </conditionalFormatting>
  <conditionalFormatting sqref="D16:D18">
    <cfRule type="expression" priority="627" dxfId="206">
      <formula>($C16="SELECT WORKS")</formula>
    </cfRule>
  </conditionalFormatting>
  <conditionalFormatting sqref="D19">
    <cfRule type="expression" priority="269" dxfId="206">
      <formula>$C19="SELECT CLADDING"</formula>
    </cfRule>
  </conditionalFormatting>
  <conditionalFormatting sqref="D22:D23">
    <cfRule type="expression" priority="408" dxfId="358">
      <formula>($D$14="CANOPY TYPE")</formula>
    </cfRule>
  </conditionalFormatting>
  <conditionalFormatting sqref="D24">
    <cfRule type="expression" priority="685" dxfId="474">
      <formula>ISNUMBER(SEARCH("UV",D14))</formula>
    </cfRule>
  </conditionalFormatting>
  <conditionalFormatting sqref="D25">
    <cfRule type="expression" priority="613" dxfId="358">
      <formula>($D$14="CANOPY TYPE")</formula>
    </cfRule>
  </conditionalFormatting>
  <conditionalFormatting sqref="D26">
    <cfRule type="expression" priority="635" dxfId="472">
      <formula>(ISNUMBER(SEARCH("CMW",D14)))=TRUE</formula>
    </cfRule>
  </conditionalFormatting>
  <conditionalFormatting sqref="D31">
    <cfRule type="containsText" priority="595" operator="containsText" dxfId="164" text="CANOPY TYPE">
      <formula>NOT(ISERROR(SEARCH("CANOPY TYPE",D31)))</formula>
    </cfRule>
  </conditionalFormatting>
  <conditionalFormatting sqref="D32">
    <cfRule type="expression" priority="438" dxfId="206">
      <formula>(C32="LIGHT SELECTION")</formula>
    </cfRule>
  </conditionalFormatting>
  <conditionalFormatting sqref="D33:D35">
    <cfRule type="expression" priority="588" dxfId="206">
      <formula>($C33="SELECT WORKS")</formula>
    </cfRule>
  </conditionalFormatting>
  <conditionalFormatting sqref="D36">
    <cfRule type="expression" priority="417" dxfId="206">
      <formula>$C36="SELECT CLADDING"</formula>
    </cfRule>
  </conditionalFormatting>
  <conditionalFormatting sqref="D39:D40">
    <cfRule type="expression" priority="382" dxfId="358">
      <formula>($D$14="CANOPY TYPE")</formula>
    </cfRule>
  </conditionalFormatting>
  <conditionalFormatting sqref="D41">
    <cfRule type="expression" priority="607" dxfId="474">
      <formula>ISNUMBER(SEARCH("UV",D31))</formula>
    </cfRule>
  </conditionalFormatting>
  <conditionalFormatting sqref="D42">
    <cfRule type="expression" priority="581" dxfId="358">
      <formula>($D$14="CANOPY TYPE")</formula>
    </cfRule>
  </conditionalFormatting>
  <conditionalFormatting sqref="D43">
    <cfRule type="expression" priority="590" dxfId="472">
      <formula>(ISNUMBER(SEARCH("CMW",D31)))=TRUE</formula>
    </cfRule>
  </conditionalFormatting>
  <conditionalFormatting sqref="D48">
    <cfRule type="containsText" priority="420" operator="containsText" dxfId="164" text="CANOPY TYPE">
      <formula>NOT(ISERROR(SEARCH("CANOPY TYPE",D48)))</formula>
    </cfRule>
  </conditionalFormatting>
  <conditionalFormatting sqref="D49">
    <cfRule type="expression" priority="435" dxfId="206">
      <formula>(C15="LIGHT SELECTION")</formula>
    </cfRule>
  </conditionalFormatting>
  <conditionalFormatting sqref="D50:D52">
    <cfRule type="expression" priority="111" dxfId="206">
      <formula>($C50="SELECT WORKS")</formula>
    </cfRule>
  </conditionalFormatting>
  <conditionalFormatting sqref="D53">
    <cfRule type="expression" priority="418" dxfId="206">
      <formula>$C53="SELECT CLADDING"</formula>
    </cfRule>
  </conditionalFormatting>
  <conditionalFormatting sqref="D56:D57">
    <cfRule type="expression" priority="367" dxfId="358">
      <formula>($D$14="CANOPY TYPE")</formula>
    </cfRule>
  </conditionalFormatting>
  <conditionalFormatting sqref="D58">
    <cfRule type="expression" priority="575" dxfId="474">
      <formula>ISNUMBER(SEARCH("UV",D48))</formula>
    </cfRule>
  </conditionalFormatting>
  <conditionalFormatting sqref="D59">
    <cfRule type="expression" priority="554" dxfId="358">
      <formula>($D$14="CANOPY TYPE")</formula>
    </cfRule>
  </conditionalFormatting>
  <conditionalFormatting sqref="D60">
    <cfRule type="expression" priority="559" dxfId="472">
      <formula>(ISNUMBER(SEARCH("CMW",D48)))=TRUE</formula>
    </cfRule>
  </conditionalFormatting>
  <conditionalFormatting sqref="D65">
    <cfRule type="containsText" priority="419" operator="containsText" dxfId="164" text="CANOPY TYPE">
      <formula>NOT(ISERROR(SEARCH("CANOPY TYPE",D65)))</formula>
    </cfRule>
  </conditionalFormatting>
  <conditionalFormatting sqref="D66">
    <cfRule type="expression" priority="428" dxfId="206">
      <formula>(C66="LIGHT SELECTION")</formula>
    </cfRule>
  </conditionalFormatting>
  <conditionalFormatting sqref="D67:D69">
    <cfRule type="expression" priority="97" dxfId="206">
      <formula>($C67="SELECT WORKS")</formula>
    </cfRule>
  </conditionalFormatting>
  <conditionalFormatting sqref="D70">
    <cfRule type="expression" priority="533" dxfId="206">
      <formula>$C70="SELECT CLADDING"</formula>
    </cfRule>
  </conditionalFormatting>
  <conditionalFormatting sqref="D73:D74">
    <cfRule type="expression" priority="352" dxfId="358">
      <formula>($D$14="CANOPY TYPE")</formula>
    </cfRule>
  </conditionalFormatting>
  <conditionalFormatting sqref="D75">
    <cfRule type="expression" priority="548" dxfId="474">
      <formula>ISNUMBER(SEARCH("UV",D65))</formula>
    </cfRule>
  </conditionalFormatting>
  <conditionalFormatting sqref="D76">
    <cfRule type="expression" priority="526" dxfId="358">
      <formula>($D$14="CANOPY TYPE")</formula>
    </cfRule>
  </conditionalFormatting>
  <conditionalFormatting sqref="D77">
    <cfRule type="expression" priority="531" dxfId="472">
      <formula>(ISNUMBER(SEARCH("CMW",D65)))=TRUE</formula>
    </cfRule>
  </conditionalFormatting>
  <conditionalFormatting sqref="D82">
    <cfRule type="containsText" priority="508" operator="containsText" dxfId="164" text="CANOPY TYPE">
      <formula>NOT(ISERROR(SEARCH("CANOPY TYPE",D82)))</formula>
    </cfRule>
  </conditionalFormatting>
  <conditionalFormatting sqref="D83">
    <cfRule type="expression" priority="427" dxfId="206">
      <formula>(C83="LIGHT SELECTION")</formula>
    </cfRule>
  </conditionalFormatting>
  <conditionalFormatting sqref="D84:D86">
    <cfRule type="expression" priority="83" dxfId="206">
      <formula>($C84="SELECT WORKS")</formula>
    </cfRule>
  </conditionalFormatting>
  <conditionalFormatting sqref="D87">
    <cfRule type="expression" priority="504" dxfId="206">
      <formula>$C87="SELECT CLADDING"</formula>
    </cfRule>
  </conditionalFormatting>
  <conditionalFormatting sqref="D90:D91">
    <cfRule type="expression" priority="337" dxfId="358">
      <formula>($D$14="CANOPY TYPE")</formula>
    </cfRule>
  </conditionalFormatting>
  <conditionalFormatting sqref="D92">
    <cfRule type="expression" priority="520" dxfId="474">
      <formula>ISNUMBER(SEARCH("UV",D82))</formula>
    </cfRule>
  </conditionalFormatting>
  <conditionalFormatting sqref="D93">
    <cfRule type="expression" priority="497" dxfId="358">
      <formula>($D$14="CANOPY TYPE")</formula>
    </cfRule>
  </conditionalFormatting>
  <conditionalFormatting sqref="D94">
    <cfRule type="expression" priority="502" dxfId="472">
      <formula>(ISNUMBER(SEARCH("CMW",D82)))=TRUE</formula>
    </cfRule>
  </conditionalFormatting>
  <conditionalFormatting sqref="D99">
    <cfRule type="containsText" priority="479" operator="containsText" dxfId="164" text="CANOPY TYPE">
      <formula>NOT(ISERROR(SEARCH("CANOPY TYPE",D99)))</formula>
    </cfRule>
  </conditionalFormatting>
  <conditionalFormatting sqref="D100">
    <cfRule type="expression" priority="426" dxfId="206">
      <formula>(C100="LIGHT SELECTION")</formula>
    </cfRule>
  </conditionalFormatting>
  <conditionalFormatting sqref="D101:D103">
    <cfRule type="expression" priority="69" dxfId="206">
      <formula>($C101="SELECT WORKS")</formula>
    </cfRule>
  </conditionalFormatting>
  <conditionalFormatting sqref="D104">
    <cfRule type="expression" priority="416" dxfId="206">
      <formula>$C104="SELECT CLADDING"</formula>
    </cfRule>
  </conditionalFormatting>
  <conditionalFormatting sqref="D107:D108">
    <cfRule type="expression" priority="322" dxfId="358">
      <formula>($D$14="CANOPY TYPE")</formula>
    </cfRule>
  </conditionalFormatting>
  <conditionalFormatting sqref="D109">
    <cfRule type="expression" priority="491" dxfId="474">
      <formula>ISNUMBER(SEARCH("UV",D99))</formula>
    </cfRule>
  </conditionalFormatting>
  <conditionalFormatting sqref="D110">
    <cfRule type="expression" priority="469" dxfId="358">
      <formula>($D$14="CANOPY TYPE")</formula>
    </cfRule>
  </conditionalFormatting>
  <conditionalFormatting sqref="D111">
    <cfRule type="expression" priority="474" dxfId="472">
      <formula>(ISNUMBER(SEARCH("CMW",D99)))=TRUE</formula>
    </cfRule>
  </conditionalFormatting>
  <conditionalFormatting sqref="D116">
    <cfRule type="containsText" priority="302" operator="containsText" dxfId="164" text="CANOPY TYPE">
      <formula>NOT(ISERROR(SEARCH("CANOPY TYPE",D116)))</formula>
    </cfRule>
  </conditionalFormatting>
  <conditionalFormatting sqref="D117">
    <cfRule type="expression" priority="287" dxfId="206">
      <formula>(C117="LIGHT SELECTION")</formula>
    </cfRule>
  </conditionalFormatting>
  <conditionalFormatting sqref="D118:D120">
    <cfRule type="expression" priority="55" dxfId="206">
      <formula>($C118="SELECT WORKS")</formula>
    </cfRule>
  </conditionalFormatting>
  <conditionalFormatting sqref="D121">
    <cfRule type="expression" priority="286" dxfId="206">
      <formula>$C121="SELECT CLADDING"</formula>
    </cfRule>
  </conditionalFormatting>
  <conditionalFormatting sqref="D124:D125">
    <cfRule type="expression" priority="271" dxfId="358">
      <formula>($D$14="CANOPY TYPE")</formula>
    </cfRule>
  </conditionalFormatting>
  <conditionalFormatting sqref="D126">
    <cfRule type="expression" priority="314" dxfId="474">
      <formula>ISNUMBER(SEARCH("UV",D116))</formula>
    </cfRule>
  </conditionalFormatting>
  <conditionalFormatting sqref="D127">
    <cfRule type="expression" priority="294" dxfId="358">
      <formula>($D$14="CANOPY TYPE")</formula>
    </cfRule>
  </conditionalFormatting>
  <conditionalFormatting sqref="D128">
    <cfRule type="expression" priority="297" dxfId="472">
      <formula>(ISNUMBER(SEARCH("CMW",D116)))=TRUE</formula>
    </cfRule>
  </conditionalFormatting>
  <conditionalFormatting sqref="D133">
    <cfRule type="containsText" priority="247" operator="containsText" dxfId="164" text="CANOPY TYPE">
      <formula>NOT(ISERROR(SEARCH("CANOPY TYPE",D133)))</formula>
    </cfRule>
  </conditionalFormatting>
  <conditionalFormatting sqref="D134">
    <cfRule type="expression" priority="232" dxfId="206">
      <formula>(C134="LIGHT SELECTION")</formula>
    </cfRule>
  </conditionalFormatting>
  <conditionalFormatting sqref="D135:D137">
    <cfRule type="expression" priority="41" dxfId="206">
      <formula>($C135="SELECT WORKS")</formula>
    </cfRule>
  </conditionalFormatting>
  <conditionalFormatting sqref="D138">
    <cfRule type="expression" priority="231" dxfId="206">
      <formula>$C138="SELECT CLADDING"</formula>
    </cfRule>
  </conditionalFormatting>
  <conditionalFormatting sqref="D141:D142">
    <cfRule type="expression" priority="216" dxfId="358">
      <formula>($D$14="CANOPY TYPE")</formula>
    </cfRule>
  </conditionalFormatting>
  <conditionalFormatting sqref="D143">
    <cfRule type="expression" priority="259" dxfId="474">
      <formula>ISNUMBER(SEARCH("UV",D133))</formula>
    </cfRule>
  </conditionalFormatting>
  <conditionalFormatting sqref="D144">
    <cfRule type="expression" priority="239" dxfId="358">
      <formula>($D$14="CANOPY TYPE")</formula>
    </cfRule>
  </conditionalFormatting>
  <conditionalFormatting sqref="D145">
    <cfRule type="expression" priority="242" dxfId="472">
      <formula>(ISNUMBER(SEARCH("CMW",D133)))=TRUE</formula>
    </cfRule>
  </conditionalFormatting>
  <conditionalFormatting sqref="D150">
    <cfRule type="containsText" priority="196" operator="containsText" dxfId="164" text="CANOPY TYPE">
      <formula>NOT(ISERROR(SEARCH("CANOPY TYPE",D150)))</formula>
    </cfRule>
  </conditionalFormatting>
  <conditionalFormatting sqref="D151">
    <cfRule type="expression" priority="181" dxfId="206">
      <formula>(C151="LIGHT SELECTION")</formula>
    </cfRule>
  </conditionalFormatting>
  <conditionalFormatting sqref="D152:D154">
    <cfRule type="expression" priority="27" dxfId="206">
      <formula>($C152="SELECT WORKS")</formula>
    </cfRule>
  </conditionalFormatting>
  <conditionalFormatting sqref="D155">
    <cfRule type="expression" priority="180" dxfId="206">
      <formula>$C155="SELECT CLADDING"</formula>
    </cfRule>
  </conditionalFormatting>
  <conditionalFormatting sqref="D158:D159">
    <cfRule type="expression" priority="165" dxfId="358">
      <formula>($D$14="CANOPY TYPE")</formula>
    </cfRule>
  </conditionalFormatting>
  <conditionalFormatting sqref="D160">
    <cfRule type="expression" priority="208" dxfId="474">
      <formula>ISNUMBER(SEARCH("UV",D150))</formula>
    </cfRule>
  </conditionalFormatting>
  <conditionalFormatting sqref="D161">
    <cfRule type="expression" priority="188" dxfId="358">
      <formula>($D$14="CANOPY TYPE")</formula>
    </cfRule>
  </conditionalFormatting>
  <conditionalFormatting sqref="D162">
    <cfRule type="expression" priority="191" dxfId="472">
      <formula>(ISNUMBER(SEARCH("CMW",D150)))=TRUE</formula>
    </cfRule>
  </conditionalFormatting>
  <conditionalFormatting sqref="D167">
    <cfRule type="containsText" priority="145" operator="containsText" dxfId="164" text="CANOPY TYPE">
      <formula>NOT(ISERROR(SEARCH("CANOPY TYPE",D167)))</formula>
    </cfRule>
  </conditionalFormatting>
  <conditionalFormatting sqref="D168">
    <cfRule type="expression" priority="130" dxfId="206">
      <formula>(C168="LIGHT SELECTION")</formula>
    </cfRule>
  </conditionalFormatting>
  <conditionalFormatting sqref="D169:D171">
    <cfRule type="expression" priority="13" dxfId="206">
      <formula>($C169="SELECT WORKS")</formula>
    </cfRule>
  </conditionalFormatting>
  <conditionalFormatting sqref="D172">
    <cfRule type="expression" priority="129" dxfId="206">
      <formula>$C172="SELECT CLADDING"</formula>
    </cfRule>
  </conditionalFormatting>
  <conditionalFormatting sqref="D175:D176">
    <cfRule type="expression" priority="114" dxfId="358">
      <formula>($D$14="CANOPY TYPE")</formula>
    </cfRule>
  </conditionalFormatting>
  <conditionalFormatting sqref="D177">
    <cfRule type="expression" priority="157" dxfId="474">
      <formula>ISNUMBER(SEARCH("UV",D167))</formula>
    </cfRule>
  </conditionalFormatting>
  <conditionalFormatting sqref="D178">
    <cfRule type="expression" priority="137" dxfId="358">
      <formula>($D$14="CANOPY TYPE")</formula>
    </cfRule>
  </conditionalFormatting>
  <conditionalFormatting sqref="D179">
    <cfRule type="expression" priority="140" dxfId="472">
      <formula>(ISNUMBER(SEARCH("CMW",D167)))=TRUE</formula>
    </cfRule>
  </conditionalFormatting>
  <conditionalFormatting sqref="E12">
    <cfRule type="cellIs" priority="684" operator="greaterThan" dxfId="204">
      <formula>2000</formula>
    </cfRule>
    <cfRule type="expression" priority="683" dxfId="387">
      <formula>ISNUMBER(SEARCH("I-MUAP",$D$14))</formula>
    </cfRule>
    <cfRule type="expression" priority="682" dxfId="386">
      <formula>AND((ISNUMBER(SEARCH("I-MUAP",$D$14))),E12&lt;2500)</formula>
    </cfRule>
  </conditionalFormatting>
  <conditionalFormatting sqref="E15">
    <cfRule type="expression" priority="423" dxfId="315">
      <formula>(C15="LIGHT SELECTION")</formula>
    </cfRule>
  </conditionalFormatting>
  <conditionalFormatting sqref="E16:E18">
    <cfRule type="expression" priority="113" dxfId="381">
      <formula>$C16="SELECT WORKS"</formula>
    </cfRule>
  </conditionalFormatting>
  <conditionalFormatting sqref="E22:E23">
    <cfRule type="expression" priority="665" dxfId="384">
      <formula>D22="WW PODS"</formula>
    </cfRule>
    <cfRule type="expression" priority="666" dxfId="383">
      <formula>D22="FILTER TYPE"</formula>
    </cfRule>
    <cfRule type="expression" priority="667" dxfId="382">
      <formula>D22="KSA"</formula>
    </cfRule>
    <cfRule type="expression" priority="687" dxfId="381">
      <formula>(D14="CANOPY TYPE")</formula>
    </cfRule>
  </conditionalFormatting>
  <conditionalFormatting sqref="E24">
    <cfRule type="containsText" priority="674" operator="containsText" dxfId="380" text="LONG ">
      <formula>NOT(ISERROR(SEARCH("LONG ",E24)))</formula>
    </cfRule>
  </conditionalFormatting>
  <conditionalFormatting sqref="E29">
    <cfRule type="expression" priority="604" dxfId="386">
      <formula>AND((ISNUMBER(SEARCH("I-MUAP",$D$14))),E29&lt;2500)</formula>
    </cfRule>
    <cfRule type="expression" priority="605" dxfId="387">
      <formula>ISNUMBER(SEARCH("I-MUAP",$D$14))</formula>
    </cfRule>
    <cfRule type="cellIs" priority="606" operator="greaterThan" dxfId="204">
      <formula>2000</formula>
    </cfRule>
  </conditionalFormatting>
  <conditionalFormatting sqref="E33:E34">
    <cfRule type="expression" priority="587" dxfId="381">
      <formula>$C33="SELECT WORKS"</formula>
    </cfRule>
  </conditionalFormatting>
  <conditionalFormatting sqref="E39:E40">
    <cfRule type="expression" priority="397" dxfId="382">
      <formula>D39="KSA"</formula>
    </cfRule>
    <cfRule type="expression" priority="398" dxfId="381">
      <formula>(D31="CANOPY TYPE")</formula>
    </cfRule>
    <cfRule type="expression" priority="396" dxfId="383">
      <formula>D39="FILTER TYPE"</formula>
    </cfRule>
    <cfRule type="expression" priority="395" dxfId="384">
      <formula>D39="WW PODS"</formula>
    </cfRule>
  </conditionalFormatting>
  <conditionalFormatting sqref="E41">
    <cfRule type="containsText" priority="597" operator="containsText" dxfId="380" text="LONG ">
      <formula>NOT(ISERROR(SEARCH("LONG ",E41)))</formula>
    </cfRule>
  </conditionalFormatting>
  <conditionalFormatting sqref="E46">
    <cfRule type="cellIs" priority="574" operator="greaterThan" dxfId="204">
      <formula>2000</formula>
    </cfRule>
    <cfRule type="expression" priority="573" dxfId="387">
      <formula>ISNUMBER(SEARCH("I-MUAP",$D$14))</formula>
    </cfRule>
    <cfRule type="expression" priority="572" dxfId="386">
      <formula>AND((ISNUMBER(SEARCH("I-MUAP",$D$14))),E46&lt;2500)</formula>
    </cfRule>
  </conditionalFormatting>
  <conditionalFormatting sqref="E49">
    <cfRule type="expression" priority="437" dxfId="315">
      <formula>(C49="LIGHT SELECTION")</formula>
    </cfRule>
  </conditionalFormatting>
  <conditionalFormatting sqref="E50:E52">
    <cfRule type="expression" priority="110" dxfId="381">
      <formula>$C50="SELECT WORKS"</formula>
    </cfRule>
  </conditionalFormatting>
  <conditionalFormatting sqref="E56:E57">
    <cfRule type="expression" priority="369" dxfId="384">
      <formula>D56="WW PODS"</formula>
    </cfRule>
    <cfRule type="expression" priority="370" dxfId="383">
      <formula>D56="FILTER TYPE"</formula>
    </cfRule>
    <cfRule type="expression" priority="372" dxfId="381">
      <formula>(D48="CANOPY TYPE")</formula>
    </cfRule>
    <cfRule type="expression" priority="371" dxfId="382">
      <formula>D56="KSA"</formula>
    </cfRule>
  </conditionalFormatting>
  <conditionalFormatting sqref="E58">
    <cfRule type="containsText" priority="565" operator="containsText" dxfId="380" text="LONG ">
      <formula>NOT(ISERROR(SEARCH("LONG ",E58)))</formula>
    </cfRule>
  </conditionalFormatting>
  <conditionalFormatting sqref="E63">
    <cfRule type="cellIs" priority="547" operator="greaterThan" dxfId="204">
      <formula>2000</formula>
    </cfRule>
    <cfRule type="expression" priority="546" dxfId="387">
      <formula>ISNUMBER(SEARCH("I-MUAP",$D$14))</formula>
    </cfRule>
    <cfRule type="expression" priority="545" dxfId="386">
      <formula>AND((ISNUMBER(SEARCH("I-MUAP",$D$14))),E63&lt;2500)</formula>
    </cfRule>
  </conditionalFormatting>
  <conditionalFormatting sqref="E67:E69">
    <cfRule type="expression" priority="96" dxfId="381">
      <formula>$C67="SELECT WORKS"</formula>
    </cfRule>
  </conditionalFormatting>
  <conditionalFormatting sqref="E73:E74">
    <cfRule type="expression" priority="354" dxfId="384">
      <formula>D73="WW PODS"</formula>
    </cfRule>
    <cfRule type="expression" priority="356" dxfId="382">
      <formula>D73="KSA"</formula>
    </cfRule>
    <cfRule type="expression" priority="357" dxfId="381">
      <formula>(D65="CANOPY TYPE")</formula>
    </cfRule>
    <cfRule type="expression" priority="355" dxfId="383">
      <formula>D73="FILTER TYPE"</formula>
    </cfRule>
  </conditionalFormatting>
  <conditionalFormatting sqref="E75">
    <cfRule type="containsText" priority="538" operator="containsText" dxfId="380" text="LONG ">
      <formula>NOT(ISERROR(SEARCH("LONG ",E75)))</formula>
    </cfRule>
  </conditionalFormatting>
  <conditionalFormatting sqref="E80">
    <cfRule type="cellIs" priority="519" operator="greaterThan" dxfId="204">
      <formula>2000</formula>
    </cfRule>
    <cfRule type="expression" priority="517" dxfId="386">
      <formula>AND((ISNUMBER(SEARCH("I-MUAP",$D$14))),E80&lt;2500)</formula>
    </cfRule>
    <cfRule type="expression" priority="518" dxfId="387">
      <formula>ISNUMBER(SEARCH("I-MUAP",$D$14))</formula>
    </cfRule>
  </conditionalFormatting>
  <conditionalFormatting sqref="E84:E86">
    <cfRule type="expression" priority="82" dxfId="381">
      <formula>$C84="SELECT WORKS"</formula>
    </cfRule>
  </conditionalFormatting>
  <conditionalFormatting sqref="E90:E91">
    <cfRule type="expression" priority="342" dxfId="381">
      <formula>(D82="CANOPY TYPE")</formula>
    </cfRule>
    <cfRule type="expression" priority="339" dxfId="384">
      <formula>D90="WW PODS"</formula>
    </cfRule>
    <cfRule type="expression" priority="340" dxfId="383">
      <formula>D90="FILTER TYPE"</formula>
    </cfRule>
    <cfRule type="expression" priority="341" dxfId="382">
      <formula>D90="KSA"</formula>
    </cfRule>
  </conditionalFormatting>
  <conditionalFormatting sqref="E92">
    <cfRule type="containsText" priority="510" operator="containsText" dxfId="380" text="LONG ">
      <formula>NOT(ISERROR(SEARCH("LONG ",E92)))</formula>
    </cfRule>
  </conditionalFormatting>
  <conditionalFormatting sqref="E97">
    <cfRule type="expression" priority="489" dxfId="387">
      <formula>ISNUMBER(SEARCH("I-MUAP",$D$14))</formula>
    </cfRule>
    <cfRule type="cellIs" priority="490" operator="greaterThan" dxfId="204">
      <formula>2000</formula>
    </cfRule>
    <cfRule type="expression" priority="488" dxfId="386">
      <formula>AND((ISNUMBER(SEARCH("I-MUAP",$D$14))),E97&lt;2500)</formula>
    </cfRule>
  </conditionalFormatting>
  <conditionalFormatting sqref="E101:E103">
    <cfRule type="expression" priority="68" dxfId="381">
      <formula>$C101="SELECT WORKS"</formula>
    </cfRule>
  </conditionalFormatting>
  <conditionalFormatting sqref="E107:E108">
    <cfRule type="expression" priority="324" dxfId="384">
      <formula>D107="WW PODS"</formula>
    </cfRule>
    <cfRule type="expression" priority="325" dxfId="383">
      <formula>D107="FILTER TYPE"</formula>
    </cfRule>
    <cfRule type="expression" priority="326" dxfId="382">
      <formula>D107="KSA"</formula>
    </cfRule>
    <cfRule type="expression" priority="327" dxfId="381">
      <formula>(D99="CANOPY TYPE")</formula>
    </cfRule>
  </conditionalFormatting>
  <conditionalFormatting sqref="E109">
    <cfRule type="containsText" priority="481" operator="containsText" dxfId="380" text="LONG ">
      <formula>NOT(ISERROR(SEARCH("LONG ",E109)))</formula>
    </cfRule>
  </conditionalFormatting>
  <conditionalFormatting sqref="E114">
    <cfRule type="cellIs" priority="313" operator="greaterThan" dxfId="204">
      <formula>2000</formula>
    </cfRule>
    <cfRule type="expression" priority="312" dxfId="387">
      <formula>ISNUMBER(SEARCH("I-MUAP",$D$14))</formula>
    </cfRule>
    <cfRule type="expression" priority="311" dxfId="386">
      <formula>AND((ISNUMBER(SEARCH("I-MUAP",$D$14))),E114&lt;2500)</formula>
    </cfRule>
  </conditionalFormatting>
  <conditionalFormatting sqref="E118:E120">
    <cfRule type="expression" priority="54" dxfId="381">
      <formula>$C118="SELECT WORKS"</formula>
    </cfRule>
  </conditionalFormatting>
  <conditionalFormatting sqref="E124:E125">
    <cfRule type="expression" priority="273" dxfId="384">
      <formula>D124="WW PODS"</formula>
    </cfRule>
    <cfRule type="expression" priority="276" dxfId="381">
      <formula>(D116="CANOPY TYPE")</formula>
    </cfRule>
    <cfRule type="expression" priority="275" dxfId="382">
      <formula>D124="KSA"</formula>
    </cfRule>
    <cfRule type="expression" priority="274" dxfId="383">
      <formula>D124="FILTER TYPE"</formula>
    </cfRule>
  </conditionalFormatting>
  <conditionalFormatting sqref="E126">
    <cfRule type="containsText" priority="304" operator="containsText" dxfId="380" text="LONG ">
      <formula>NOT(ISERROR(SEARCH("LONG ",E126)))</formula>
    </cfRule>
  </conditionalFormatting>
  <conditionalFormatting sqref="E131">
    <cfRule type="expression" priority="257" dxfId="387">
      <formula>ISNUMBER(SEARCH("I-MUAP",$D$14))</formula>
    </cfRule>
    <cfRule type="cellIs" priority="258" operator="greaterThan" dxfId="204">
      <formula>2000</formula>
    </cfRule>
    <cfRule type="expression" priority="256" dxfId="386">
      <formula>AND((ISNUMBER(SEARCH("I-MUAP",$D$14))),E131&lt;2500)</formula>
    </cfRule>
  </conditionalFormatting>
  <conditionalFormatting sqref="E135:E137">
    <cfRule type="expression" priority="40" dxfId="381">
      <formula>$C135="SELECT WORKS"</formula>
    </cfRule>
  </conditionalFormatting>
  <conditionalFormatting sqref="E141:E142">
    <cfRule type="expression" priority="221" dxfId="381">
      <formula>(D133="CANOPY TYPE")</formula>
    </cfRule>
    <cfRule type="expression" priority="220" dxfId="382">
      <formula>D141="KSA"</formula>
    </cfRule>
    <cfRule type="expression" priority="218" dxfId="384">
      <formula>D141="WW PODS"</formula>
    </cfRule>
    <cfRule type="expression" priority="219" dxfId="383">
      <formula>D141="FILTER TYPE"</formula>
    </cfRule>
  </conditionalFormatting>
  <conditionalFormatting sqref="E143">
    <cfRule type="containsText" priority="249" operator="containsText" dxfId="380" text="LONG ">
      <formula>NOT(ISERROR(SEARCH("LONG ",E143)))</formula>
    </cfRule>
  </conditionalFormatting>
  <conditionalFormatting sqref="E148">
    <cfRule type="cellIs" priority="207" operator="greaterThan" dxfId="204">
      <formula>2000</formula>
    </cfRule>
    <cfRule type="expression" priority="206" dxfId="387">
      <formula>ISNUMBER(SEARCH("I-MUAP",$D$14))</formula>
    </cfRule>
    <cfRule type="expression" priority="205" dxfId="386">
      <formula>AND((ISNUMBER(SEARCH("I-MUAP",$D$14))),E148&lt;2500)</formula>
    </cfRule>
  </conditionalFormatting>
  <conditionalFormatting sqref="E152:E154">
    <cfRule type="expression" priority="26" dxfId="381">
      <formula>$C152="SELECT WORKS"</formula>
    </cfRule>
  </conditionalFormatting>
  <conditionalFormatting sqref="E158:E159">
    <cfRule type="expression" priority="169" dxfId="382">
      <formula>D158="KSA"</formula>
    </cfRule>
    <cfRule type="expression" priority="167" dxfId="384">
      <formula>D158="WW PODS"</formula>
    </cfRule>
    <cfRule type="expression" priority="168" dxfId="383">
      <formula>D158="FILTER TYPE"</formula>
    </cfRule>
    <cfRule type="expression" priority="170" dxfId="381">
      <formula>(D150="CANOPY TYPE")</formula>
    </cfRule>
  </conditionalFormatting>
  <conditionalFormatting sqref="E160">
    <cfRule type="containsText" priority="198" operator="containsText" dxfId="380" text="LONG ">
      <formula>NOT(ISERROR(SEARCH("LONG ",E160)))</formula>
    </cfRule>
  </conditionalFormatting>
  <conditionalFormatting sqref="E165">
    <cfRule type="cellIs" priority="156" operator="greaterThan" dxfId="204">
      <formula>2000</formula>
    </cfRule>
    <cfRule type="expression" priority="155" dxfId="387">
      <formula>ISNUMBER(SEARCH("I-MUAP",$D$14))</formula>
    </cfRule>
    <cfRule type="expression" priority="154" dxfId="386">
      <formula>AND((ISNUMBER(SEARCH("I-MUAP",$D$14))),E165&lt;2500)</formula>
    </cfRule>
  </conditionalFormatting>
  <conditionalFormatting sqref="E169:E171">
    <cfRule type="expression" priority="12" dxfId="381">
      <formula>$C169="SELECT WORKS"</formula>
    </cfRule>
  </conditionalFormatting>
  <conditionalFormatting sqref="E175:E176">
    <cfRule type="expression" priority="116" dxfId="384">
      <formula>D175="WW PODS"</formula>
    </cfRule>
    <cfRule type="expression" priority="117" dxfId="383">
      <formula>D175="FILTER TYPE"</formula>
    </cfRule>
    <cfRule type="expression" priority="118" dxfId="382">
      <formula>D175="KSA"</formula>
    </cfRule>
    <cfRule type="expression" priority="119" dxfId="381">
      <formula>(D167="CANOPY TYPE")</formula>
    </cfRule>
  </conditionalFormatting>
  <conditionalFormatting sqref="E177">
    <cfRule type="containsText" priority="147" operator="containsText" dxfId="380" text="LONG ">
      <formula>NOT(ISERROR(SEARCH("LONG ",E177)))</formula>
    </cfRule>
  </conditionalFormatting>
  <conditionalFormatting sqref="E12:F12">
    <cfRule type="cellIs" priority="678" operator="lessThan" dxfId="204">
      <formula>1000</formula>
    </cfRule>
  </conditionalFormatting>
  <conditionalFormatting sqref="E14:F14">
    <cfRule type="cellIs" priority="675" operator="lessThan" dxfId="164">
      <formula>1000</formula>
    </cfRule>
  </conditionalFormatting>
  <conditionalFormatting sqref="E25:F27">
    <cfRule type="expression" priority="614" dxfId="358">
      <formula>($D$14="CANOPY TYPE")</formula>
    </cfRule>
  </conditionalFormatting>
  <conditionalFormatting sqref="E29:F29">
    <cfRule type="cellIs" priority="601" operator="lessThan" dxfId="204">
      <formula>1000</formula>
    </cfRule>
  </conditionalFormatting>
  <conditionalFormatting sqref="E31:F31">
    <cfRule type="cellIs" priority="598" operator="lessThan" dxfId="164">
      <formula>1000</formula>
    </cfRule>
  </conditionalFormatting>
  <conditionalFormatting sqref="E32:F32">
    <cfRule type="expression" priority="461" dxfId="315">
      <formula>(C32="LIGHT SELECTION")</formula>
    </cfRule>
  </conditionalFormatting>
  <conditionalFormatting sqref="E42:F44">
    <cfRule type="expression" priority="582" dxfId="358">
      <formula>($D$14="CANOPY TYPE")</formula>
    </cfRule>
  </conditionalFormatting>
  <conditionalFormatting sqref="E46:F46">
    <cfRule type="cellIs" priority="569" operator="lessThan" dxfId="204">
      <formula>1000</formula>
    </cfRule>
  </conditionalFormatting>
  <conditionalFormatting sqref="E48:F48">
    <cfRule type="cellIs" priority="566" operator="lessThan" dxfId="164">
      <formula>1000</formula>
    </cfRule>
  </conditionalFormatting>
  <conditionalFormatting sqref="E59:F61">
    <cfRule type="expression" priority="555" dxfId="358">
      <formula>($D$14="CANOPY TYPE")</formula>
    </cfRule>
  </conditionalFormatting>
  <conditionalFormatting sqref="E63:F63">
    <cfRule type="cellIs" priority="542" operator="lessThan" dxfId="204">
      <formula>1000</formula>
    </cfRule>
  </conditionalFormatting>
  <conditionalFormatting sqref="E65:F65">
    <cfRule type="cellIs" priority="539" operator="lessThan" dxfId="164">
      <formula>1000</formula>
    </cfRule>
  </conditionalFormatting>
  <conditionalFormatting sqref="E66:F66">
    <cfRule type="expression" priority="454" dxfId="315">
      <formula>(C66="LIGHT SELECTION")</formula>
    </cfRule>
  </conditionalFormatting>
  <conditionalFormatting sqref="E76:F78">
    <cfRule type="expression" priority="527" dxfId="358">
      <formula>($D$14="CANOPY TYPE")</formula>
    </cfRule>
  </conditionalFormatting>
  <conditionalFormatting sqref="E80:F80">
    <cfRule type="cellIs" priority="514" operator="lessThan" dxfId="204">
      <formula>1000</formula>
    </cfRule>
  </conditionalFormatting>
  <conditionalFormatting sqref="E82:F82">
    <cfRule type="cellIs" priority="511" operator="lessThan" dxfId="164">
      <formula>1000</formula>
    </cfRule>
  </conditionalFormatting>
  <conditionalFormatting sqref="E83:F83">
    <cfRule type="expression" priority="450" dxfId="315">
      <formula>(C83="LIGHT SELECTION")</formula>
    </cfRule>
  </conditionalFormatting>
  <conditionalFormatting sqref="E93:F95">
    <cfRule type="expression" priority="498" dxfId="358">
      <formula>($D$14="CANOPY TYPE")</formula>
    </cfRule>
  </conditionalFormatting>
  <conditionalFormatting sqref="E97:F97">
    <cfRule type="cellIs" priority="485" operator="lessThan" dxfId="204">
      <formula>1000</formula>
    </cfRule>
  </conditionalFormatting>
  <conditionalFormatting sqref="E99:F99">
    <cfRule type="cellIs" priority="482" operator="lessThan" dxfId="164">
      <formula>1000</formula>
    </cfRule>
  </conditionalFormatting>
  <conditionalFormatting sqref="E100:F100">
    <cfRule type="expression" priority="446" dxfId="315">
      <formula>(C100="LIGHT SELECTION")</formula>
    </cfRule>
  </conditionalFormatting>
  <conditionalFormatting sqref="E110:F112 E127:F129 E144:F146 E161:F163 E178:F180">
    <cfRule type="expression" priority="470" dxfId="358">
      <formula>($D$14="CANOPY TYPE")</formula>
    </cfRule>
  </conditionalFormatting>
  <conditionalFormatting sqref="E114:F114">
    <cfRule type="cellIs" priority="308" operator="lessThan" dxfId="204">
      <formula>1000</formula>
    </cfRule>
  </conditionalFormatting>
  <conditionalFormatting sqref="E116:F116">
    <cfRule type="cellIs" priority="305" operator="lessThan" dxfId="164">
      <formula>1000</formula>
    </cfRule>
  </conditionalFormatting>
  <conditionalFormatting sqref="E117:F117">
    <cfRule type="expression" priority="291" dxfId="315">
      <formula>(C117="LIGHT SELECTION")</formula>
    </cfRule>
  </conditionalFormatting>
  <conditionalFormatting sqref="E131:F131">
    <cfRule type="cellIs" priority="253" operator="lessThan" dxfId="204">
      <formula>1000</formula>
    </cfRule>
  </conditionalFormatting>
  <conditionalFormatting sqref="E133:F133">
    <cfRule type="cellIs" priority="250" operator="lessThan" dxfId="164">
      <formula>1000</formula>
    </cfRule>
  </conditionalFormatting>
  <conditionalFormatting sqref="E134:F134">
    <cfRule type="expression" priority="236" dxfId="315">
      <formula>(C134="LIGHT SELECTION")</formula>
    </cfRule>
  </conditionalFormatting>
  <conditionalFormatting sqref="E148:F148">
    <cfRule type="cellIs" priority="202" operator="lessThan" dxfId="204">
      <formula>1000</formula>
    </cfRule>
  </conditionalFormatting>
  <conditionalFormatting sqref="E150:F150">
    <cfRule type="cellIs" priority="199" operator="lessThan" dxfId="164">
      <formula>1000</formula>
    </cfRule>
  </conditionalFormatting>
  <conditionalFormatting sqref="E151:F151">
    <cfRule type="expression" priority="185" dxfId="315">
      <formula>(C151="LIGHT SELECTION")</formula>
    </cfRule>
  </conditionalFormatting>
  <conditionalFormatting sqref="E165:F165">
    <cfRule type="cellIs" priority="151" operator="lessThan" dxfId="204">
      <formula>1000</formula>
    </cfRule>
  </conditionalFormatting>
  <conditionalFormatting sqref="E167:F167">
    <cfRule type="cellIs" priority="148" operator="lessThan" dxfId="164">
      <formula>1000</formula>
    </cfRule>
  </conditionalFormatting>
  <conditionalFormatting sqref="E168:F168">
    <cfRule type="expression" priority="134" dxfId="315">
      <formula>(C168="LIGHT SELECTION")</formula>
    </cfRule>
  </conditionalFormatting>
  <conditionalFormatting sqref="F12">
    <cfRule type="cellIs" priority="679" operator="greaterThan" dxfId="204">
      <formula>3001</formula>
    </cfRule>
  </conditionalFormatting>
  <conditionalFormatting sqref="F15">
    <cfRule type="expression" priority="668" dxfId="215">
      <formula>(C15="LIGHT SELECTION")</formula>
    </cfRule>
    <cfRule type="expression" priority="670" dxfId="216">
      <formula>(C15="FLO")</formula>
    </cfRule>
    <cfRule type="expression" priority="463" dxfId="214">
      <formula>(C15="LED STRIP")</formula>
    </cfRule>
    <cfRule type="expression" priority="701" dxfId="315">
      <formula>(D49="LIGHT SELECTION")</formula>
    </cfRule>
  </conditionalFormatting>
  <conditionalFormatting sqref="F22:F23">
    <cfRule type="expression" priority="700" dxfId="205">
      <formula>D22="KSA"</formula>
    </cfRule>
    <cfRule type="expression" priority="692" dxfId="206">
      <formula>D22="NF"</formula>
    </cfRule>
    <cfRule type="expression" priority="693" dxfId="208">
      <formula>D22="WW PODS"</formula>
    </cfRule>
    <cfRule type="expression" priority="694" dxfId="206">
      <formula>D22="GRILLE"</formula>
    </cfRule>
    <cfRule type="expression" priority="695" dxfId="206">
      <formula>D22="CENTREX"</formula>
    </cfRule>
    <cfRule type="expression" priority="696" dxfId="206" stopIfTrue="1">
      <formula>D14="canopy type"</formula>
    </cfRule>
    <cfRule type="expression" priority="697" dxfId="207">
      <formula>(((I14*3600)/(C22*I11))^2+20)&gt;300</formula>
    </cfRule>
    <cfRule type="expression" priority="698" dxfId="205" stopIfTrue="1">
      <formula>(ISNUMBER(SEARCH("UV",D14)))</formula>
    </cfRule>
    <cfRule type="expression" priority="699" dxfId="207">
      <formula>(((I14*3600)/(C22*I11))^2+20)&gt;180</formula>
    </cfRule>
  </conditionalFormatting>
  <conditionalFormatting sqref="F24">
    <cfRule type="cellIs" priority="673" operator="lessThan" dxfId="204">
      <formula>2100</formula>
    </cfRule>
  </conditionalFormatting>
  <conditionalFormatting sqref="F29">
    <cfRule type="cellIs" priority="602" operator="greaterThan" dxfId="204">
      <formula>3001</formula>
    </cfRule>
  </conditionalFormatting>
  <conditionalFormatting sqref="F32">
    <cfRule type="expression" priority="462" dxfId="216">
      <formula>(C32="FLO")</formula>
    </cfRule>
    <cfRule type="expression" priority="460" dxfId="215">
      <formula>(C32="LIGHT SELECTION")</formula>
    </cfRule>
    <cfRule type="expression" priority="459" dxfId="214">
      <formula>(C32="LED STRIP")</formula>
    </cfRule>
  </conditionalFormatting>
  <conditionalFormatting sqref="F39:F40">
    <cfRule type="expression" priority="406" dxfId="207">
      <formula>(((I31*3600)/(C39*I28))^2+20)&gt;180</formula>
    </cfRule>
    <cfRule type="expression" priority="407" dxfId="205">
      <formula>D39="KSA"</formula>
    </cfRule>
    <cfRule type="expression" priority="399" dxfId="206">
      <formula>D39="NF"</formula>
    </cfRule>
    <cfRule type="expression" priority="400" dxfId="208">
      <formula>D39="WW PODS"</formula>
    </cfRule>
    <cfRule type="expression" priority="401" dxfId="206">
      <formula>D39="GRILLE"</formula>
    </cfRule>
    <cfRule type="expression" priority="402" dxfId="206">
      <formula>D39="CENTREX"</formula>
    </cfRule>
    <cfRule type="expression" priority="403" dxfId="206" stopIfTrue="1">
      <formula>D31="canopy type"</formula>
    </cfRule>
    <cfRule type="expression" priority="404" dxfId="207">
      <formula>(((I31*3600)/(C39*I28))^2+20)&gt;300</formula>
    </cfRule>
    <cfRule type="expression" priority="405" dxfId="205" stopIfTrue="1">
      <formula>(ISNUMBER(SEARCH("UV",D31)))</formula>
    </cfRule>
  </conditionalFormatting>
  <conditionalFormatting sqref="F41">
    <cfRule type="cellIs" priority="596" operator="lessThan" dxfId="204">
      <formula>2100</formula>
    </cfRule>
  </conditionalFormatting>
  <conditionalFormatting sqref="F46">
    <cfRule type="cellIs" priority="570" operator="greaterThan" dxfId="204">
      <formula>3001</formula>
    </cfRule>
  </conditionalFormatting>
  <conditionalFormatting sqref="F49">
    <cfRule type="expression" priority="702" dxfId="315">
      <formula>(#REF!="LIGHT SELECTION")</formula>
    </cfRule>
    <cfRule type="expression" priority="458" dxfId="216">
      <formula>(C49="FLO")</formula>
    </cfRule>
    <cfRule type="expression" priority="457" dxfId="215">
      <formula>(C49="LIGHT SELECTION")</formula>
    </cfRule>
    <cfRule type="expression" priority="456" dxfId="214">
      <formula>(C49="LED STRIP")</formula>
    </cfRule>
  </conditionalFormatting>
  <conditionalFormatting sqref="F56:F57">
    <cfRule type="expression" priority="379" dxfId="205" stopIfTrue="1">
      <formula>(ISNUMBER(SEARCH("UV",D48)))</formula>
    </cfRule>
    <cfRule type="expression" priority="380" dxfId="207">
      <formula>(((I48*3600)/(C56*I45))^2+20)&gt;180</formula>
    </cfRule>
    <cfRule type="expression" priority="378" dxfId="207">
      <formula>(((I48*3600)/(C56*I45))^2+20)&gt;300</formula>
    </cfRule>
    <cfRule type="expression" priority="377" dxfId="206" stopIfTrue="1">
      <formula>D48="canopy type"</formula>
    </cfRule>
    <cfRule type="expression" priority="376" dxfId="206">
      <formula>D56="CENTREX"</formula>
    </cfRule>
    <cfRule type="expression" priority="375" dxfId="206">
      <formula>D56="GRILLE"</formula>
    </cfRule>
    <cfRule type="expression" priority="374" dxfId="208">
      <formula>D56="WW PODS"</formula>
    </cfRule>
    <cfRule type="expression" priority="373" dxfId="206">
      <formula>D56="NF"</formula>
    </cfRule>
    <cfRule type="expression" priority="381" dxfId="205">
      <formula>D56="KSA"</formula>
    </cfRule>
  </conditionalFormatting>
  <conditionalFormatting sqref="F58">
    <cfRule type="cellIs" priority="564" operator="lessThan" dxfId="204">
      <formula>2100</formula>
    </cfRule>
  </conditionalFormatting>
  <conditionalFormatting sqref="F63">
    <cfRule type="cellIs" priority="543" operator="greaterThan" dxfId="204">
      <formula>3001</formula>
    </cfRule>
  </conditionalFormatting>
  <conditionalFormatting sqref="F66">
    <cfRule type="expression" priority="452" dxfId="214">
      <formula>(C66="LED STRIP")</formula>
    </cfRule>
    <cfRule type="expression" priority="453" dxfId="215">
      <formula>(C66="LIGHT SELECTION")</formula>
    </cfRule>
    <cfRule type="expression" priority="455" dxfId="216">
      <formula>(C66="FLO")</formula>
    </cfRule>
  </conditionalFormatting>
  <conditionalFormatting sqref="F73:F74">
    <cfRule type="expression" priority="358" dxfId="206">
      <formula>D73="NF"</formula>
    </cfRule>
    <cfRule type="expression" priority="359" dxfId="208">
      <formula>D73="WW PODS"</formula>
    </cfRule>
    <cfRule type="expression" priority="360" dxfId="206">
      <formula>D73="GRILLE"</formula>
    </cfRule>
    <cfRule type="expression" priority="361" dxfId="206">
      <formula>D73="CENTREX"</formula>
    </cfRule>
    <cfRule type="expression" priority="362" dxfId="206" stopIfTrue="1">
      <formula>D65="canopy type"</formula>
    </cfRule>
    <cfRule type="expression" priority="363" dxfId="207">
      <formula>(((I65*3600)/(C73*I62))^2+20)&gt;300</formula>
    </cfRule>
    <cfRule type="expression" priority="364" dxfId="205" stopIfTrue="1">
      <formula>(ISNUMBER(SEARCH("UV",D65)))</formula>
    </cfRule>
    <cfRule type="expression" priority="365" dxfId="207">
      <formula>(((I65*3600)/(C73*I62))^2+20)&gt;180</formula>
    </cfRule>
    <cfRule type="expression" priority="366" dxfId="205">
      <formula>D73="KSA"</formula>
    </cfRule>
  </conditionalFormatting>
  <conditionalFormatting sqref="F75">
    <cfRule type="cellIs" priority="537" operator="lessThan" dxfId="204">
      <formula>2100</formula>
    </cfRule>
  </conditionalFormatting>
  <conditionalFormatting sqref="F80">
    <cfRule type="cellIs" priority="515" operator="greaterThan" dxfId="204">
      <formula>3001</formula>
    </cfRule>
  </conditionalFormatting>
  <conditionalFormatting sqref="F83">
    <cfRule type="expression" priority="448" dxfId="214">
      <formula>(C83="LED STRIP")</formula>
    </cfRule>
    <cfRule type="expression" priority="451" dxfId="216">
      <formula>(C83="FLO")</formula>
    </cfRule>
    <cfRule type="expression" priority="449" dxfId="215">
      <formula>(C83="LIGHT SELECTION")</formula>
    </cfRule>
  </conditionalFormatting>
  <conditionalFormatting sqref="F90:F91">
    <cfRule type="expression" priority="343" dxfId="206">
      <formula>D90="NF"</formula>
    </cfRule>
    <cfRule type="expression" priority="344" dxfId="208">
      <formula>D90="WW PODS"</formula>
    </cfRule>
    <cfRule type="expression" priority="345" dxfId="206">
      <formula>D90="GRILLE"</formula>
    </cfRule>
    <cfRule type="expression" priority="346" dxfId="206">
      <formula>D90="CENTREX"</formula>
    </cfRule>
    <cfRule type="expression" priority="347" dxfId="206" stopIfTrue="1">
      <formula>D82="canopy type"</formula>
    </cfRule>
    <cfRule type="expression" priority="348" dxfId="207">
      <formula>(((I82*3600)/(C90*I79))^2+20)&gt;300</formula>
    </cfRule>
    <cfRule type="expression" priority="349" dxfId="205" stopIfTrue="1">
      <formula>(ISNUMBER(SEARCH("UV",D82)))</formula>
    </cfRule>
    <cfRule type="expression" priority="351" dxfId="205">
      <formula>D90="KSA"</formula>
    </cfRule>
    <cfRule type="expression" priority="350" dxfId="207">
      <formula>(((I82*3600)/(C90*I79))^2+20)&gt;180</formula>
    </cfRule>
  </conditionalFormatting>
  <conditionalFormatting sqref="F92">
    <cfRule type="cellIs" priority="509" operator="lessThan" dxfId="204">
      <formula>2100</formula>
    </cfRule>
  </conditionalFormatting>
  <conditionalFormatting sqref="F97">
    <cfRule type="cellIs" priority="486" operator="greaterThan" dxfId="204">
      <formula>3001</formula>
    </cfRule>
  </conditionalFormatting>
  <conditionalFormatting sqref="F100">
    <cfRule type="expression" priority="447" dxfId="216">
      <formula>(C100="FLO")</formula>
    </cfRule>
    <cfRule type="expression" priority="444" dxfId="214">
      <formula>(C100="LED STRIP")</formula>
    </cfRule>
    <cfRule type="expression" priority="445" dxfId="215">
      <formula>(C100="LIGHT SELECTION")</formula>
    </cfRule>
  </conditionalFormatting>
  <conditionalFormatting sqref="F107:F108">
    <cfRule type="expression" priority="329" dxfId="208">
      <formula>D107="WW PODS"</formula>
    </cfRule>
    <cfRule type="expression" priority="330" dxfId="206">
      <formula>D107="GRILLE"</formula>
    </cfRule>
    <cfRule type="expression" priority="334" dxfId="205" stopIfTrue="1">
      <formula>(ISNUMBER(SEARCH("UV",D99)))</formula>
    </cfRule>
    <cfRule type="expression" priority="333" dxfId="207">
      <formula>(((I99*3600)/(C107*I96))^2+20)&gt;300</formula>
    </cfRule>
    <cfRule type="expression" priority="335" dxfId="207">
      <formula>(((I99*3600)/(C107*I96))^2+20)&gt;180</formula>
    </cfRule>
    <cfRule type="expression" priority="332" dxfId="206" stopIfTrue="1">
      <formula>D99="canopy type"</formula>
    </cfRule>
    <cfRule type="expression" priority="331" dxfId="206">
      <formula>D107="CENTREX"</formula>
    </cfRule>
    <cfRule type="expression" priority="336" dxfId="205">
      <formula>D107="KSA"</formula>
    </cfRule>
    <cfRule type="expression" priority="328" dxfId="206">
      <formula>D107="NF"</formula>
    </cfRule>
  </conditionalFormatting>
  <conditionalFormatting sqref="F109">
    <cfRule type="cellIs" priority="480" operator="lessThan" dxfId="204">
      <formula>2100</formula>
    </cfRule>
  </conditionalFormatting>
  <conditionalFormatting sqref="F114">
    <cfRule type="cellIs" priority="309" operator="greaterThan" dxfId="204">
      <formula>3001</formula>
    </cfRule>
  </conditionalFormatting>
  <conditionalFormatting sqref="F117">
    <cfRule type="expression" priority="292" dxfId="216">
      <formula>(C117="FLO")</formula>
    </cfRule>
    <cfRule type="expression" priority="290" dxfId="215">
      <formula>(C117="LIGHT SELECTION")</formula>
    </cfRule>
    <cfRule type="expression" priority="289" dxfId="214">
      <formula>(C117="LED STRIP")</formula>
    </cfRule>
  </conditionalFormatting>
  <conditionalFormatting sqref="F124:F125">
    <cfRule type="expression" priority="279" dxfId="206">
      <formula>D124="GRILLE"</formula>
    </cfRule>
    <cfRule type="expression" priority="278" dxfId="208">
      <formula>D124="WW PODS"</formula>
    </cfRule>
    <cfRule type="expression" priority="277" dxfId="206">
      <formula>D124="NF"</formula>
    </cfRule>
    <cfRule type="expression" priority="281" dxfId="206" stopIfTrue="1">
      <formula>D116="canopy type"</formula>
    </cfRule>
    <cfRule type="expression" priority="282" dxfId="207">
      <formula>(((I116*3600)/(C124*I113))^2+20)&gt;300</formula>
    </cfRule>
    <cfRule type="expression" priority="283" dxfId="205" stopIfTrue="1">
      <formula>(ISNUMBER(SEARCH("UV",D116)))</formula>
    </cfRule>
    <cfRule type="expression" priority="284" dxfId="207">
      <formula>(((I116*3600)/(C124*I113))^2+20)&gt;180</formula>
    </cfRule>
    <cfRule type="expression" priority="285" dxfId="205">
      <formula>D124="KSA"</formula>
    </cfRule>
    <cfRule type="expression" priority="280" dxfId="206">
      <formula>D124="CENTREX"</formula>
    </cfRule>
  </conditionalFormatting>
  <conditionalFormatting sqref="F126">
    <cfRule type="cellIs" priority="303" operator="lessThan" dxfId="204">
      <formula>2100</formula>
    </cfRule>
  </conditionalFormatting>
  <conditionalFormatting sqref="F131">
    <cfRule type="cellIs" priority="254" operator="greaterThan" dxfId="204">
      <formula>3001</formula>
    </cfRule>
  </conditionalFormatting>
  <conditionalFormatting sqref="F134">
    <cfRule type="expression" priority="234" dxfId="214">
      <formula>(C134="LED STRIP")</formula>
    </cfRule>
    <cfRule type="expression" priority="237" dxfId="216">
      <formula>(C134="FLO")</formula>
    </cfRule>
    <cfRule type="expression" priority="235" dxfId="215">
      <formula>(C134="LIGHT SELECTION")</formula>
    </cfRule>
  </conditionalFormatting>
  <conditionalFormatting sqref="F141:F142">
    <cfRule type="expression" priority="223" dxfId="208">
      <formula>D141="WW PODS"</formula>
    </cfRule>
    <cfRule type="expression" priority="224" dxfId="206">
      <formula>D141="GRILLE"</formula>
    </cfRule>
    <cfRule type="expression" priority="225" dxfId="206">
      <formula>D141="CENTREX"</formula>
    </cfRule>
    <cfRule type="expression" priority="222" dxfId="206">
      <formula>D141="NF"</formula>
    </cfRule>
    <cfRule type="expression" priority="226" dxfId="206" stopIfTrue="1">
      <formula>D133="canopy type"</formula>
    </cfRule>
    <cfRule type="expression" priority="227" dxfId="207">
      <formula>(((I133*3600)/(C141*I130))^2+20)&gt;300</formula>
    </cfRule>
    <cfRule type="expression" priority="228" dxfId="205" stopIfTrue="1">
      <formula>(ISNUMBER(SEARCH("UV",D133)))</formula>
    </cfRule>
    <cfRule type="expression" priority="229" dxfId="207">
      <formula>(((I133*3600)/(C141*I130))^2+20)&gt;180</formula>
    </cfRule>
    <cfRule type="expression" priority="230" dxfId="205">
      <formula>D141="KSA"</formula>
    </cfRule>
  </conditionalFormatting>
  <conditionalFormatting sqref="F143">
    <cfRule type="cellIs" priority="248" operator="lessThan" dxfId="204">
      <formula>2100</formula>
    </cfRule>
  </conditionalFormatting>
  <conditionalFormatting sqref="F148">
    <cfRule type="cellIs" priority="203" operator="greaterThan" dxfId="204">
      <formula>3001</formula>
    </cfRule>
  </conditionalFormatting>
  <conditionalFormatting sqref="F151">
    <cfRule type="expression" priority="183" dxfId="214">
      <formula>(C151="LED STRIP")</formula>
    </cfRule>
    <cfRule type="expression" priority="184" dxfId="215">
      <formula>(C151="LIGHT SELECTION")</formula>
    </cfRule>
    <cfRule type="expression" priority="186" dxfId="216">
      <formula>(C151="FLO")</formula>
    </cfRule>
  </conditionalFormatting>
  <conditionalFormatting sqref="F158:F159">
    <cfRule type="expression" priority="178" dxfId="207">
      <formula>(((I150*3600)/(C158*I147))^2+20)&gt;180</formula>
    </cfRule>
    <cfRule type="expression" priority="171" dxfId="206">
      <formula>D158="NF"</formula>
    </cfRule>
    <cfRule type="expression" priority="172" dxfId="208">
      <formula>D158="WW PODS"</formula>
    </cfRule>
    <cfRule type="expression" priority="173" dxfId="206">
      <formula>D158="GRILLE"</formula>
    </cfRule>
    <cfRule type="expression" priority="174" dxfId="206">
      <formula>D158="CENTREX"</formula>
    </cfRule>
    <cfRule type="expression" priority="175" dxfId="206" stopIfTrue="1">
      <formula>D150="canopy type"</formula>
    </cfRule>
    <cfRule type="expression" priority="176" dxfId="207">
      <formula>(((I150*3600)/(C158*I147))^2+20)&gt;300</formula>
    </cfRule>
    <cfRule type="expression" priority="179" dxfId="205">
      <formula>D158="KSA"</formula>
    </cfRule>
    <cfRule type="expression" priority="177" dxfId="205" stopIfTrue="1">
      <formula>(ISNUMBER(SEARCH("UV",D150)))</formula>
    </cfRule>
  </conditionalFormatting>
  <conditionalFormatting sqref="F160">
    <cfRule type="cellIs" priority="197" operator="lessThan" dxfId="204">
      <formula>2100</formula>
    </cfRule>
  </conditionalFormatting>
  <conditionalFormatting sqref="F165">
    <cfRule type="cellIs" priority="152" operator="greaterThan" dxfId="204">
      <formula>3001</formula>
    </cfRule>
  </conditionalFormatting>
  <conditionalFormatting sqref="F168">
    <cfRule type="expression" priority="135" dxfId="216">
      <formula>(C168="FLO")</formula>
    </cfRule>
    <cfRule type="expression" priority="133" dxfId="215">
      <formula>(C168="LIGHT SELECTION")</formula>
    </cfRule>
    <cfRule type="expression" priority="132" dxfId="214">
      <formula>(C168="LED STRIP")</formula>
    </cfRule>
  </conditionalFormatting>
  <conditionalFormatting sqref="F175:F176">
    <cfRule type="expression" priority="126" dxfId="205" stopIfTrue="1">
      <formula>(ISNUMBER(SEARCH("UV",D167)))</formula>
    </cfRule>
    <cfRule type="expression" priority="125" dxfId="207">
      <formula>(((I167*3600)/(C175*I164))^2+20)&gt;300</formula>
    </cfRule>
    <cfRule type="expression" priority="124" dxfId="206" stopIfTrue="1">
      <formula>D167="canopy type"</formula>
    </cfRule>
    <cfRule type="expression" priority="123" dxfId="206">
      <formula>D175="CENTREX"</formula>
    </cfRule>
    <cfRule type="expression" priority="122" dxfId="206">
      <formula>D175="GRILLE"</formula>
    </cfRule>
    <cfRule type="expression" priority="121" dxfId="208">
      <formula>D175="WW PODS"</formula>
    </cfRule>
    <cfRule type="expression" priority="127" dxfId="207">
      <formula>(((I167*3600)/(C175*I164))^2+20)&gt;180</formula>
    </cfRule>
    <cfRule type="expression" priority="120" dxfId="206">
      <formula>D175="NF"</formula>
    </cfRule>
    <cfRule type="expression" priority="128" dxfId="205">
      <formula>D175="KSA"</formula>
    </cfRule>
  </conditionalFormatting>
  <conditionalFormatting sqref="F177">
    <cfRule type="cellIs" priority="146" operator="lessThan" dxfId="204">
      <formula>2100</formula>
    </cfRule>
  </conditionalFormatting>
  <conditionalFormatting sqref="G11">
    <cfRule type="expression" priority="681" dxfId="176">
      <formula>((F14-50)/H14)&lt;950</formula>
    </cfRule>
  </conditionalFormatting>
  <conditionalFormatting sqref="G12">
    <cfRule type="expression" priority="680" dxfId="175">
      <formula>((F14-50)/H14)&lt;950</formula>
    </cfRule>
  </conditionalFormatting>
  <conditionalFormatting sqref="G14">
    <cfRule type="cellIs" priority="676" operator="lessThan" dxfId="164">
      <formula>400</formula>
    </cfRule>
  </conditionalFormatting>
  <conditionalFormatting sqref="G28">
    <cfRule type="expression" priority="625" dxfId="176">
      <formula>((F31-50)/H31)&lt;950</formula>
    </cfRule>
  </conditionalFormatting>
  <conditionalFormatting sqref="G29">
    <cfRule type="expression" priority="603" dxfId="175">
      <formula>((F31-50)/H31)&lt;950</formula>
    </cfRule>
  </conditionalFormatting>
  <conditionalFormatting sqref="G31">
    <cfRule type="cellIs" priority="599" operator="lessThan" dxfId="164">
      <formula>400</formula>
    </cfRule>
  </conditionalFormatting>
  <conditionalFormatting sqref="G45">
    <cfRule type="expression" priority="641" dxfId="176">
      <formula>((F48-50)/H48)&lt;950</formula>
    </cfRule>
  </conditionalFormatting>
  <conditionalFormatting sqref="G46">
    <cfRule type="expression" priority="571" dxfId="175">
      <formula>((F48-50)/H48)&lt;950</formula>
    </cfRule>
  </conditionalFormatting>
  <conditionalFormatting sqref="G48">
    <cfRule type="cellIs" priority="567" operator="lessThan" dxfId="164">
      <formula>400</formula>
    </cfRule>
  </conditionalFormatting>
  <conditionalFormatting sqref="G62">
    <cfRule type="expression" priority="642" dxfId="176">
      <formula>((F65-50)/H65)&lt;950</formula>
    </cfRule>
  </conditionalFormatting>
  <conditionalFormatting sqref="G63">
    <cfRule type="expression" priority="544" dxfId="175">
      <formula>((F65-50)/H65)&lt;950</formula>
    </cfRule>
  </conditionalFormatting>
  <conditionalFormatting sqref="G65">
    <cfRule type="cellIs" priority="540" operator="lessThan" dxfId="164">
      <formula>400</formula>
    </cfRule>
  </conditionalFormatting>
  <conditionalFormatting sqref="G79">
    <cfRule type="expression" priority="643" dxfId="176">
      <formula>((F82-50)/H82)&lt;950</formula>
    </cfRule>
  </conditionalFormatting>
  <conditionalFormatting sqref="G80">
    <cfRule type="expression" priority="516" dxfId="175">
      <formula>((F82-50)/H82)&lt;950</formula>
    </cfRule>
  </conditionalFormatting>
  <conditionalFormatting sqref="G82">
    <cfRule type="cellIs" priority="512" operator="lessThan" dxfId="164">
      <formula>400</formula>
    </cfRule>
  </conditionalFormatting>
  <conditionalFormatting sqref="G96">
    <cfRule type="expression" priority="653" dxfId="176">
      <formula>((F99-50)/H99)&lt;950</formula>
    </cfRule>
  </conditionalFormatting>
  <conditionalFormatting sqref="G97">
    <cfRule type="expression" priority="487" dxfId="175">
      <formula>((F99-50)/H99)&lt;950</formula>
    </cfRule>
  </conditionalFormatting>
  <conditionalFormatting sqref="G99">
    <cfRule type="cellIs" priority="483" operator="lessThan" dxfId="164">
      <formula>400</formula>
    </cfRule>
  </conditionalFormatting>
  <conditionalFormatting sqref="G113">
    <cfRule type="expression" priority="321" dxfId="176">
      <formula>((F116-50)/H116)&lt;950</formula>
    </cfRule>
  </conditionalFormatting>
  <conditionalFormatting sqref="G114">
    <cfRule type="expression" priority="310" dxfId="175">
      <formula>((F116-50)/H116)&lt;950</formula>
    </cfRule>
  </conditionalFormatting>
  <conditionalFormatting sqref="G116">
    <cfRule type="cellIs" priority="306" operator="lessThan" dxfId="164">
      <formula>400</formula>
    </cfRule>
  </conditionalFormatting>
  <conditionalFormatting sqref="G130">
    <cfRule type="expression" priority="266" dxfId="176">
      <formula>((F133-50)/H133)&lt;950</formula>
    </cfRule>
  </conditionalFormatting>
  <conditionalFormatting sqref="G131">
    <cfRule type="expression" priority="255" dxfId="175">
      <formula>((F133-50)/H133)&lt;950</formula>
    </cfRule>
  </conditionalFormatting>
  <conditionalFormatting sqref="G133">
    <cfRule type="cellIs" priority="251" operator="lessThan" dxfId="164">
      <formula>400</formula>
    </cfRule>
  </conditionalFormatting>
  <conditionalFormatting sqref="G147">
    <cfRule type="expression" priority="215" dxfId="176">
      <formula>((F150-50)/H150)&lt;950</formula>
    </cfRule>
  </conditionalFormatting>
  <conditionalFormatting sqref="G148">
    <cfRule type="expression" priority="204" dxfId="175">
      <formula>((F150-50)/H150)&lt;950</formula>
    </cfRule>
  </conditionalFormatting>
  <conditionalFormatting sqref="G150">
    <cfRule type="cellIs" priority="200" operator="lessThan" dxfId="164">
      <formula>400</formula>
    </cfRule>
  </conditionalFormatting>
  <conditionalFormatting sqref="G164">
    <cfRule type="expression" priority="164" dxfId="176">
      <formula>((F167-50)/H167)&lt;950</formula>
    </cfRule>
  </conditionalFormatting>
  <conditionalFormatting sqref="G165">
    <cfRule type="expression" priority="153" dxfId="175">
      <formula>((F167-50)/H167)&lt;950</formula>
    </cfRule>
  </conditionalFormatting>
  <conditionalFormatting sqref="G167">
    <cfRule type="cellIs" priority="149" operator="lessThan" dxfId="164">
      <formula>400</formula>
    </cfRule>
  </conditionalFormatting>
  <conditionalFormatting sqref="I14">
    <cfRule type="cellIs" priority="677" operator="lessThan" dxfId="164">
      <formula>0.1</formula>
    </cfRule>
  </conditionalFormatting>
  <conditionalFormatting sqref="I31">
    <cfRule type="cellIs" priority="600" operator="lessThan" dxfId="164">
      <formula>0.1</formula>
    </cfRule>
  </conditionalFormatting>
  <conditionalFormatting sqref="I48">
    <cfRule type="cellIs" priority="568" operator="lessThan" dxfId="164">
      <formula>0.1</formula>
    </cfRule>
  </conditionalFormatting>
  <conditionalFormatting sqref="I65">
    <cfRule type="cellIs" priority="541" operator="lessThan" dxfId="164">
      <formula>0.1</formula>
    </cfRule>
  </conditionalFormatting>
  <conditionalFormatting sqref="I82">
    <cfRule type="cellIs" priority="513" operator="lessThan" dxfId="164">
      <formula>0.1</formula>
    </cfRule>
  </conditionalFormatting>
  <conditionalFormatting sqref="I99">
    <cfRule type="cellIs" priority="484" operator="lessThan" dxfId="164">
      <formula>0.1</formula>
    </cfRule>
  </conditionalFormatting>
  <conditionalFormatting sqref="I116">
    <cfRule type="cellIs" priority="307" operator="lessThan" dxfId="164">
      <formula>0.1</formula>
    </cfRule>
  </conditionalFormatting>
  <conditionalFormatting sqref="I133">
    <cfRule type="cellIs" priority="252" operator="lessThan" dxfId="164">
      <formula>0.1</formula>
    </cfRule>
  </conditionalFormatting>
  <conditionalFormatting sqref="I150">
    <cfRule type="cellIs" priority="201" operator="lessThan" dxfId="164">
      <formula>0.1</formula>
    </cfRule>
  </conditionalFormatting>
  <conditionalFormatting sqref="I167">
    <cfRule type="cellIs" priority="150" operator="lessThan" dxfId="164">
      <formula>0.1</formula>
    </cfRule>
  </conditionalFormatting>
  <conditionalFormatting sqref="J14:J27">
    <cfRule type="cellIs" priority="410" operator="greaterThan" dxfId="153">
      <formula>0</formula>
    </cfRule>
  </conditionalFormatting>
  <conditionalFormatting sqref="J31:J44">
    <cfRule type="cellIs" priority="383" operator="greaterThan" dxfId="153">
      <formula>0</formula>
    </cfRule>
  </conditionalFormatting>
  <conditionalFormatting sqref="J48:J61">
    <cfRule type="cellIs" priority="99" operator="greaterThan" dxfId="153">
      <formula>0</formula>
    </cfRule>
  </conditionalFormatting>
  <conditionalFormatting sqref="J65:J78">
    <cfRule type="cellIs" priority="85" operator="greaterThan" dxfId="153">
      <formula>0</formula>
    </cfRule>
  </conditionalFormatting>
  <conditionalFormatting sqref="J82:J95">
    <cfRule type="cellIs" priority="71" operator="greaterThan" dxfId="153">
      <formula>0</formula>
    </cfRule>
  </conditionalFormatting>
  <conditionalFormatting sqref="J99:J112">
    <cfRule type="cellIs" priority="57" operator="greaterThan" dxfId="153">
      <formula>0</formula>
    </cfRule>
  </conditionalFormatting>
  <conditionalFormatting sqref="J116:J129">
    <cfRule type="cellIs" priority="43" operator="greaterThan" dxfId="153">
      <formula>0</formula>
    </cfRule>
  </conditionalFormatting>
  <conditionalFormatting sqref="J133:J146">
    <cfRule type="cellIs" priority="29" operator="greaterThan" dxfId="153">
      <formula>0</formula>
    </cfRule>
  </conditionalFormatting>
  <conditionalFormatting sqref="J150:J163">
    <cfRule type="cellIs" priority="15" operator="greaterThan" dxfId="153">
      <formula>0</formula>
    </cfRule>
  </conditionalFormatting>
  <conditionalFormatting sqref="J167:J180">
    <cfRule type="cellIs" priority="1" operator="greaterThan" dxfId="153">
      <formula>0</formula>
    </cfRule>
  </conditionalFormatting>
  <conditionalFormatting sqref="J183:J197">
    <cfRule type="expression" priority="267" dxfId="153">
      <formula>C183&gt;0</formula>
    </cfRule>
  </conditionalFormatting>
  <conditionalFormatting sqref="J199">
    <cfRule type="expression" priority="658" dxfId="2">
      <formula>#REF!="EURO"</formula>
    </cfRule>
  </conditionalFormatting>
  <conditionalFormatting sqref="K14:K27">
    <cfRule type="cellIs" priority="424" operator="greaterThan" dxfId="141">
      <formula>0</formula>
    </cfRule>
  </conditionalFormatting>
  <conditionalFormatting sqref="K31:K44">
    <cfRule type="cellIs" priority="386" operator="greaterThan" dxfId="141">
      <formula>0</formula>
    </cfRule>
  </conditionalFormatting>
  <conditionalFormatting sqref="K48:K61">
    <cfRule type="cellIs" priority="102" operator="greaterThan" dxfId="141">
      <formula>0</formula>
    </cfRule>
  </conditionalFormatting>
  <conditionalFormatting sqref="K65:K78">
    <cfRule type="cellIs" priority="88" operator="greaterThan" dxfId="141">
      <formula>0</formula>
    </cfRule>
  </conditionalFormatting>
  <conditionalFormatting sqref="K82:K95">
    <cfRule type="cellIs" priority="74" operator="greaterThan" dxfId="141">
      <formula>0</formula>
    </cfRule>
  </conditionalFormatting>
  <conditionalFormatting sqref="K99:K112">
    <cfRule type="cellIs" priority="60" operator="greaterThan" dxfId="141">
      <formula>0</formula>
    </cfRule>
  </conditionalFormatting>
  <conditionalFormatting sqref="K116:K129">
    <cfRule type="cellIs" priority="46" operator="greaterThan" dxfId="141">
      <formula>0</formula>
    </cfRule>
  </conditionalFormatting>
  <conditionalFormatting sqref="K133:K146">
    <cfRule type="cellIs" priority="32" operator="greaterThan" dxfId="141">
      <formula>0</formula>
    </cfRule>
  </conditionalFormatting>
  <conditionalFormatting sqref="K150:K163">
    <cfRule type="cellIs" priority="18" operator="greaterThan" dxfId="141">
      <formula>0</formula>
    </cfRule>
  </conditionalFormatting>
  <conditionalFormatting sqref="K167:K180">
    <cfRule type="cellIs" priority="4" operator="greaterThan" dxfId="141">
      <formula>0</formula>
    </cfRule>
  </conditionalFormatting>
  <conditionalFormatting sqref="K183:K197">
    <cfRule type="cellIs" priority="268" operator="greaterThan" dxfId="141">
      <formula>0</formula>
    </cfRule>
  </conditionalFormatting>
  <conditionalFormatting sqref="K199">
    <cfRule type="expression" priority="657" dxfId="2">
      <formula>$B$9="EURO"</formula>
    </cfRule>
    <cfRule type="expression" priority="656" dxfId="3">
      <formula>$B$9="USD"</formula>
    </cfRule>
    <cfRule type="expression" priority="655" dxfId="0">
      <formula>$B$9="CZK"</formula>
    </cfRule>
    <cfRule type="expression" priority="654" dxfId="4">
      <formula>$B$9="PLN"</formula>
    </cfRule>
  </conditionalFormatting>
  <conditionalFormatting sqref="L14:L27">
    <cfRule type="expression" priority="421" dxfId="116">
      <formula>$C$9&lt;0</formula>
    </cfRule>
    <cfRule type="expression" priority="422" dxfId="115">
      <formula>$C$9&gt;0</formula>
    </cfRule>
  </conditionalFormatting>
  <conditionalFormatting sqref="L31:L44">
    <cfRule type="expression" priority="385" dxfId="115">
      <formula>$C$9&gt;0</formula>
    </cfRule>
    <cfRule type="expression" priority="384" dxfId="116">
      <formula>$C$9&lt;0</formula>
    </cfRule>
  </conditionalFormatting>
  <conditionalFormatting sqref="L48:L61">
    <cfRule type="expression" priority="100" dxfId="116">
      <formula>$C$9&lt;0</formula>
    </cfRule>
    <cfRule type="expression" priority="101" dxfId="115">
      <formula>$C$9&gt;0</formula>
    </cfRule>
  </conditionalFormatting>
  <conditionalFormatting sqref="L65:L78">
    <cfRule type="expression" priority="86" dxfId="116">
      <formula>$C$9&lt;0</formula>
    </cfRule>
    <cfRule type="expression" priority="87" dxfId="115">
      <formula>$C$9&gt;0</formula>
    </cfRule>
  </conditionalFormatting>
  <conditionalFormatting sqref="L82:L95">
    <cfRule type="expression" priority="72" dxfId="116">
      <formula>$C$9&lt;0</formula>
    </cfRule>
    <cfRule type="expression" priority="73" dxfId="115">
      <formula>$C$9&gt;0</formula>
    </cfRule>
  </conditionalFormatting>
  <conditionalFormatting sqref="L99:L112">
    <cfRule type="expression" priority="58" dxfId="116">
      <formula>$C$9&lt;0</formula>
    </cfRule>
    <cfRule type="expression" priority="59" dxfId="115">
      <formula>$C$9&gt;0</formula>
    </cfRule>
  </conditionalFormatting>
  <conditionalFormatting sqref="L116:L129">
    <cfRule type="expression" priority="44" dxfId="116">
      <formula>$C$9&lt;0</formula>
    </cfRule>
    <cfRule type="expression" priority="45" dxfId="115">
      <formula>$C$9&gt;0</formula>
    </cfRule>
  </conditionalFormatting>
  <conditionalFormatting sqref="L133:L146">
    <cfRule type="expression" priority="31" dxfId="115">
      <formula>$C$9&gt;0</formula>
    </cfRule>
    <cfRule type="expression" priority="30" dxfId="116">
      <formula>$C$9&lt;0</formula>
    </cfRule>
  </conditionalFormatting>
  <conditionalFormatting sqref="L150:L163">
    <cfRule type="expression" priority="17" dxfId="115">
      <formula>$C$9&gt;0</formula>
    </cfRule>
    <cfRule type="expression" priority="16" dxfId="116">
      <formula>$C$9&lt;0</formula>
    </cfRule>
  </conditionalFormatting>
  <conditionalFormatting sqref="L167:L180">
    <cfRule type="expression" priority="3" dxfId="115">
      <formula>$C$9&gt;0</formula>
    </cfRule>
    <cfRule type="expression" priority="2" dxfId="116">
      <formula>$C$9&lt;0</formula>
    </cfRule>
  </conditionalFormatting>
  <conditionalFormatting sqref="L183:L197">
    <cfRule type="expression" priority="644" dxfId="116">
      <formula>$C$9&lt;0</formula>
    </cfRule>
    <cfRule type="expression" priority="645" dxfId="115">
      <formula>$C$9&gt;0</formula>
    </cfRule>
  </conditionalFormatting>
  <conditionalFormatting sqref="N9 N12">
    <cfRule type="expression" priority="688" dxfId="4">
      <formula>$B$9="PLN"</formula>
    </cfRule>
    <cfRule type="expression" priority="689" dxfId="0">
      <formula>$B$9="CZK"</formula>
    </cfRule>
    <cfRule type="expression" priority="690" dxfId="3">
      <formula>$B$9="USD"</formula>
    </cfRule>
    <cfRule type="expression" priority="691" dxfId="2">
      <formula>$B$9="EURO"</formula>
    </cfRule>
  </conditionalFormatting>
  <conditionalFormatting sqref="N14:N27">
    <cfRule type="expression" priority="630" dxfId="3">
      <formula>$B$9="USD"</formula>
    </cfRule>
    <cfRule type="expression" priority="629" dxfId="2">
      <formula>$B$9="EURO"</formula>
    </cfRule>
    <cfRule type="cellIs" priority="628" operator="greaterThan" dxfId="1">
      <formula>0</formula>
    </cfRule>
    <cfRule type="expression" priority="632" dxfId="0">
      <formula>$B$9="CZK"</formula>
    </cfRule>
    <cfRule type="expression" priority="631" dxfId="4">
      <formula>$B$9="PLN"</formula>
    </cfRule>
  </conditionalFormatting>
  <conditionalFormatting sqref="N29">
    <cfRule type="expression" priority="609" dxfId="4">
      <formula>$B$9="PLN"</formula>
    </cfRule>
    <cfRule type="expression" priority="612" dxfId="2">
      <formula>$B$9="EURO"</formula>
    </cfRule>
    <cfRule type="expression" priority="611" dxfId="3">
      <formula>$B$9="USD"</formula>
    </cfRule>
    <cfRule type="expression" priority="610" dxfId="0">
      <formula>$B$9="CZK"</formula>
    </cfRule>
  </conditionalFormatting>
  <conditionalFormatting sqref="N31:N44">
    <cfRule type="cellIs" priority="389" operator="greaterThan" dxfId="1">
      <formula>0</formula>
    </cfRule>
    <cfRule type="expression" priority="390" dxfId="2">
      <formula>$B$9="EURO"</formula>
    </cfRule>
    <cfRule type="expression" priority="391" dxfId="3">
      <formula>$B$9="USD"</formula>
    </cfRule>
    <cfRule type="expression" priority="392" dxfId="4">
      <formula>$B$9="PLN"</formula>
    </cfRule>
    <cfRule type="expression" priority="393" dxfId="0">
      <formula>$B$9="CZK"</formula>
    </cfRule>
  </conditionalFormatting>
  <conditionalFormatting sqref="N46">
    <cfRule type="expression" priority="577" dxfId="4">
      <formula>$B$9="PLN"</formula>
    </cfRule>
    <cfRule type="expression" priority="579" dxfId="3">
      <formula>$B$9="USD"</formula>
    </cfRule>
    <cfRule type="expression" priority="580" dxfId="2">
      <formula>$B$9="EURO"</formula>
    </cfRule>
    <cfRule type="expression" priority="578" dxfId="0">
      <formula>$B$9="CZK"</formula>
    </cfRule>
  </conditionalFormatting>
  <conditionalFormatting sqref="N48:N61">
    <cfRule type="expression" priority="105" dxfId="2">
      <formula>$B$9="EURO"</formula>
    </cfRule>
    <cfRule type="cellIs" priority="104" operator="greaterThan" dxfId="1">
      <formula>0</formula>
    </cfRule>
    <cfRule type="expression" priority="108" dxfId="0">
      <formula>$B$9="CZK"</formula>
    </cfRule>
    <cfRule type="expression" priority="107" dxfId="4">
      <formula>$B$9="PLN"</formula>
    </cfRule>
    <cfRule type="expression" priority="106" dxfId="3">
      <formula>$B$9="USD"</formula>
    </cfRule>
  </conditionalFormatting>
  <conditionalFormatting sqref="N63">
    <cfRule type="expression" priority="550" dxfId="4">
      <formula>$B$9="PLN"</formula>
    </cfRule>
    <cfRule type="expression" priority="551" dxfId="0">
      <formula>$B$9="CZK"</formula>
    </cfRule>
    <cfRule type="expression" priority="552" dxfId="3">
      <formula>$B$9="USD"</formula>
    </cfRule>
    <cfRule type="expression" priority="553" dxfId="2">
      <formula>$B$9="EURO"</formula>
    </cfRule>
  </conditionalFormatting>
  <conditionalFormatting sqref="N65:N78">
    <cfRule type="expression" priority="93" dxfId="4">
      <formula>$B$9="PLN"</formula>
    </cfRule>
    <cfRule type="expression" priority="94" dxfId="0">
      <formula>$B$9="CZK"</formula>
    </cfRule>
    <cfRule type="expression" priority="92" dxfId="3">
      <formula>$B$9="USD"</formula>
    </cfRule>
    <cfRule type="expression" priority="91" dxfId="2">
      <formula>$B$9="EURO"</formula>
    </cfRule>
    <cfRule type="cellIs" priority="90" operator="greaterThan" dxfId="1">
      <formula>0</formula>
    </cfRule>
  </conditionalFormatting>
  <conditionalFormatting sqref="N80">
    <cfRule type="expression" priority="523" dxfId="0">
      <formula>$B$9="CZK"</formula>
    </cfRule>
    <cfRule type="expression" priority="524" dxfId="3">
      <formula>$B$9="USD"</formula>
    </cfRule>
    <cfRule type="expression" priority="522" dxfId="4">
      <formula>$B$9="PLN"</formula>
    </cfRule>
    <cfRule type="expression" priority="525" dxfId="2">
      <formula>$B$9="EURO"</formula>
    </cfRule>
  </conditionalFormatting>
  <conditionalFormatting sqref="N82:N95">
    <cfRule type="expression" priority="79" dxfId="4">
      <formula>$B$9="PLN"</formula>
    </cfRule>
    <cfRule type="expression" priority="78" dxfId="3">
      <formula>$B$9="USD"</formula>
    </cfRule>
    <cfRule type="expression" priority="80" dxfId="0">
      <formula>$B$9="CZK"</formula>
    </cfRule>
    <cfRule type="cellIs" priority="76" operator="greaterThan" dxfId="1">
      <formula>0</formula>
    </cfRule>
    <cfRule type="expression" priority="77" dxfId="2">
      <formula>$B$9="EURO"</formula>
    </cfRule>
  </conditionalFormatting>
  <conditionalFormatting sqref="N97">
    <cfRule type="expression" priority="494" dxfId="0">
      <formula>$B$9="CZK"</formula>
    </cfRule>
    <cfRule type="expression" priority="493" dxfId="4">
      <formula>$B$9="PLN"</formula>
    </cfRule>
    <cfRule type="expression" priority="496" dxfId="2">
      <formula>$B$9="EURO"</formula>
    </cfRule>
    <cfRule type="expression" priority="495" dxfId="3">
      <formula>$B$9="USD"</formula>
    </cfRule>
  </conditionalFormatting>
  <conditionalFormatting sqref="N99:N112">
    <cfRule type="cellIs" priority="62" operator="greaterThan" dxfId="1">
      <formula>0</formula>
    </cfRule>
    <cfRule type="expression" priority="63" dxfId="2">
      <formula>$B$9="EURO"</formula>
    </cfRule>
    <cfRule type="expression" priority="64" dxfId="3">
      <formula>$B$9="USD"</formula>
    </cfRule>
    <cfRule type="expression" priority="65" dxfId="4">
      <formula>$B$9="PLN"</formula>
    </cfRule>
    <cfRule type="expression" priority="66" dxfId="0">
      <formula>$B$9="CZK"</formula>
    </cfRule>
  </conditionalFormatting>
  <conditionalFormatting sqref="N114">
    <cfRule type="expression" priority="317" dxfId="0">
      <formula>$B$9="CZK"</formula>
    </cfRule>
    <cfRule type="expression" priority="318" dxfId="3">
      <formula>$B$9="USD"</formula>
    </cfRule>
    <cfRule type="expression" priority="319" dxfId="2">
      <formula>$B$9="EURO"</formula>
    </cfRule>
    <cfRule type="expression" priority="316" dxfId="4">
      <formula>$B$9="PLN"</formula>
    </cfRule>
  </conditionalFormatting>
  <conditionalFormatting sqref="N116:N129">
    <cfRule type="cellIs" priority="48" operator="greaterThan" dxfId="1">
      <formula>0</formula>
    </cfRule>
    <cfRule type="expression" priority="52" dxfId="0">
      <formula>$B$9="CZK"</formula>
    </cfRule>
    <cfRule type="expression" priority="51" dxfId="4">
      <formula>$B$9="PLN"</formula>
    </cfRule>
    <cfRule type="expression" priority="50" dxfId="3">
      <formula>$B$9="USD"</formula>
    </cfRule>
    <cfRule type="expression" priority="49" dxfId="2">
      <formula>$B$9="EURO"</formula>
    </cfRule>
  </conditionalFormatting>
  <conditionalFormatting sqref="N131">
    <cfRule type="expression" priority="261" dxfId="4">
      <formula>$B$9="PLN"</formula>
    </cfRule>
    <cfRule type="expression" priority="262" dxfId="0">
      <formula>$B$9="CZK"</formula>
    </cfRule>
    <cfRule type="expression" priority="263" dxfId="3">
      <formula>$B$9="USD"</formula>
    </cfRule>
    <cfRule type="expression" priority="264" dxfId="2">
      <formula>$B$9="EURO"</formula>
    </cfRule>
  </conditionalFormatting>
  <conditionalFormatting sqref="N133:N146">
    <cfRule type="expression" priority="37" dxfId="4">
      <formula>$B$9="PLN"</formula>
    </cfRule>
    <cfRule type="expression" priority="36" dxfId="3">
      <formula>$B$9="USD"</formula>
    </cfRule>
    <cfRule type="expression" priority="38" dxfId="0">
      <formula>$B$9="CZK"</formula>
    </cfRule>
    <cfRule type="expression" priority="35" dxfId="2">
      <formula>$B$9="EURO"</formula>
    </cfRule>
    <cfRule type="cellIs" priority="34" operator="greaterThan" dxfId="1">
      <formula>0</formula>
    </cfRule>
  </conditionalFormatting>
  <conditionalFormatting sqref="N148">
    <cfRule type="expression" priority="213" dxfId="2">
      <formula>$B$9="EURO"</formula>
    </cfRule>
    <cfRule type="expression" priority="211" dxfId="0">
      <formula>$B$9="CZK"</formula>
    </cfRule>
    <cfRule type="expression" priority="210" dxfId="4">
      <formula>$B$9="PLN"</formula>
    </cfRule>
    <cfRule type="expression" priority="212" dxfId="3">
      <formula>$B$9="USD"</formula>
    </cfRule>
  </conditionalFormatting>
  <conditionalFormatting sqref="N150:N163">
    <cfRule type="expression" priority="22" dxfId="3">
      <formula>$B$9="USD"</formula>
    </cfRule>
    <cfRule type="cellIs" priority="20" operator="greaterThan" dxfId="1">
      <formula>0</formula>
    </cfRule>
    <cfRule type="expression" priority="21" dxfId="2">
      <formula>$B$9="EURO"</formula>
    </cfRule>
    <cfRule type="expression" priority="24" dxfId="0">
      <formula>$B$9="CZK"</formula>
    </cfRule>
    <cfRule type="expression" priority="23" dxfId="4">
      <formula>$B$9="PLN"</formula>
    </cfRule>
  </conditionalFormatting>
  <conditionalFormatting sqref="N165">
    <cfRule type="expression" priority="161" dxfId="3">
      <formula>$B$9="USD"</formula>
    </cfRule>
    <cfRule type="expression" priority="160" dxfId="0">
      <formula>$B$9="CZK"</formula>
    </cfRule>
    <cfRule type="expression" priority="162" dxfId="2">
      <formula>$B$9="EURO"</formula>
    </cfRule>
    <cfRule type="expression" priority="159" dxfId="4">
      <formula>$B$9="PLN"</formula>
    </cfRule>
  </conditionalFormatting>
  <conditionalFormatting sqref="N167:N180">
    <cfRule type="expression" priority="10" dxfId="0">
      <formula>$B$9="CZK"</formula>
    </cfRule>
    <cfRule type="expression" priority="7" dxfId="2">
      <formula>$B$9="EURO"</formula>
    </cfRule>
    <cfRule type="cellIs" priority="6" operator="greaterThan" dxfId="1">
      <formula>0</formula>
    </cfRule>
    <cfRule type="expression" priority="8" dxfId="3">
      <formula>$B$9="USD"</formula>
    </cfRule>
    <cfRule type="expression" priority="9" dxfId="4">
      <formula>$B$9="PLN"</formula>
    </cfRule>
  </conditionalFormatting>
  <conditionalFormatting sqref="N183:N197">
    <cfRule type="expression" priority="640" dxfId="0">
      <formula>$B$9="CZK"</formula>
    </cfRule>
    <cfRule type="expression" priority="639" dxfId="4">
      <formula>$B$9="PLN"</formula>
    </cfRule>
    <cfRule type="expression" priority="638" dxfId="3">
      <formula>$B$9="USD"</formula>
    </cfRule>
    <cfRule type="expression" priority="637" dxfId="2">
      <formula>$B$9="EURO"</formula>
    </cfRule>
    <cfRule type="cellIs" priority="636" operator="greaterThan" dxfId="1">
      <formula>0</formula>
    </cfRule>
  </conditionalFormatting>
  <conditionalFormatting sqref="N182:O182">
    <cfRule type="expression" priority="647" dxfId="0">
      <formula>$B$9="CZK"</formula>
    </cfRule>
    <cfRule type="expression" priority="646" dxfId="4">
      <formula>$B$9="PLN"</formula>
    </cfRule>
    <cfRule type="expression" priority="649" dxfId="2">
      <formula>$B$9="EURO"</formula>
    </cfRule>
    <cfRule type="expression" priority="648" dxfId="3">
      <formula>$B$9="USD"</formula>
    </cfRule>
  </conditionalFormatting>
  <conditionalFormatting sqref="O14:O27">
    <cfRule type="cellIs" priority="633" operator="greaterThan" dxfId="5">
      <formula>0</formula>
    </cfRule>
  </conditionalFormatting>
  <conditionalFormatting sqref="O31:O44">
    <cfRule type="cellIs" priority="394" operator="greaterThan" dxfId="5">
      <formula>0</formula>
    </cfRule>
  </conditionalFormatting>
  <conditionalFormatting sqref="O48:O61">
    <cfRule type="cellIs" priority="109" operator="greaterThan" dxfId="5">
      <formula>0</formula>
    </cfRule>
  </conditionalFormatting>
  <conditionalFormatting sqref="O65:O78">
    <cfRule type="cellIs" priority="95" operator="greaterThan" dxfId="5">
      <formula>0</formula>
    </cfRule>
  </conditionalFormatting>
  <conditionalFormatting sqref="O82:O95">
    <cfRule type="cellIs" priority="81" operator="greaterThan" dxfId="5">
      <formula>0</formula>
    </cfRule>
  </conditionalFormatting>
  <conditionalFormatting sqref="O99:O112">
    <cfRule type="cellIs" priority="67" operator="greaterThan" dxfId="5">
      <formula>0</formula>
    </cfRule>
  </conditionalFormatting>
  <conditionalFormatting sqref="O116:O129">
    <cfRule type="cellIs" priority="53" operator="greaterThan" dxfId="5">
      <formula>0</formula>
    </cfRule>
  </conditionalFormatting>
  <conditionalFormatting sqref="O133:O146">
    <cfRule type="cellIs" priority="39" operator="greaterThan" dxfId="5">
      <formula>0</formula>
    </cfRule>
  </conditionalFormatting>
  <conditionalFormatting sqref="O150:O163">
    <cfRule type="cellIs" priority="25" operator="greaterThan" dxfId="5">
      <formula>0</formula>
    </cfRule>
  </conditionalFormatting>
  <conditionalFormatting sqref="O167:O180">
    <cfRule type="cellIs" priority="11" operator="greaterThan" dxfId="5">
      <formula>0</formula>
    </cfRule>
  </conditionalFormatting>
  <conditionalFormatting sqref="O183:O197">
    <cfRule type="cellIs" priority="659" operator="greaterThan" dxfId="5">
      <formula>0</formula>
    </cfRule>
  </conditionalFormatting>
  <conditionalFormatting sqref="Q16">
    <cfRule type="expression" priority="414" dxfId="4">
      <formula>$B$9="PLN"</formula>
    </cfRule>
    <cfRule type="expression" priority="413" dxfId="3">
      <formula>$B$9="USD"</formula>
    </cfRule>
    <cfRule type="expression" priority="412" dxfId="2">
      <formula>$B$9="EURO"</formula>
    </cfRule>
    <cfRule type="cellIs" priority="411" operator="greaterThan" dxfId="1">
      <formula>0</formula>
    </cfRule>
    <cfRule type="expression" priority="415" dxfId="0">
      <formula>$B$9="CZK"</formula>
    </cfRule>
  </conditionalFormatting>
  <dataValidations count="16">
    <dataValidation sqref="C27 C44 C61 C78 C95 C112 C129 C146 C163 C180" showDropDown="0" showInputMessage="1" showErrorMessage="1" allowBlank="1" type="list">
      <formula1>"0,0.5,1,1.5,2,2.5,3,3.5,4,4.5,5"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0:C21 C37:C38 C54:C55 C71:C72 C88:C89 C105:C106 C122:C123 C139:C140 C156:C157 C173:C174" showDropDown="0" showInputMessage="1" showErrorMessage="1" allowBlank="1" type="list">
      <formula1>"0,1,2,3,4,5,6,7,8,9,10,11,12,13,14,15,16,17,18,19,20"</formula1>
    </dataValidation>
    <dataValidation sqref="E14 E31 E48 E65 E82 E99 E116 E133 E150 E167" showDropDown="0" showInputMessage="1" showErrorMessage="1" allowBlank="1" operator="greaterThan"/>
    <dataValidation sqref="C14 C31 C48 C65 C82 C99 C116 C133 C150 C167" showDropDown="0" showInputMessage="1" showErrorMessage="1" allowBlank="1" type="list">
      <formula1>"WALL, ISLAND"</formula1>
    </dataValidation>
    <dataValidation sqref="G181" showDropDown="0" showInputMessage="1" showErrorMessage="1" allowBlank="1" type="list">
      <formula1>#REF!</formula1>
    </dataValidation>
    <dataValidation sqref="D26 D43 D60 D77 D94 D111 D128 D145 D162 D179" showDropDown="0" showInputMessage="1" showErrorMessage="1" allowBlank="1" type="list">
      <formula1>"0,1,2,3,4,5,6,7,8,9,10"</formula1>
    </dataValidation>
    <dataValidation sqref="C15 C32 C49 C66 C83 C100 C117 C134 C151 C168 C185 C202 C219 C236 C253 C270 C287 C304" showDropDown="0" showInputMessage="0" showErrorMessage="0" allowBlank="1" type="list">
      <formula1>Lists!$A$1:$A$5</formula1>
    </dataValidation>
    <dataValidation sqref="C16 C33 C50 C67 C84 C101 C118 C135 C152 C169 C186 C203 C220 C237 C254 C271 C288 C305" showDropDown="0" showInputMessage="0" showErrorMessage="0" allowBlank="1" type="list">
      <formula1>Lists!$B$1:$B$17</formula1>
    </dataValidation>
    <dataValidation sqref="C17 C34 C51 C68 C85 C102 C119 C136 C153 C170 C187 C204 C221 C238 C255 C272 C289 C306" showDropDown="0" showInputMessage="0" showErrorMessage="0" allowBlank="1" type="list">
      <formula1>Lists!$B$1:$B$18</formula1>
    </dataValidation>
    <dataValidation sqref="C19 C36 C53 C70 C87 C104 C121 C138 C155 C172 C189 C206 C223 C240 C257 C274 C291 C308" showDropDown="0" showInputMessage="0" showErrorMessage="0" allowBlank="1" type="list">
      <formula1>Lists!$C$1:$C$2</formula1>
    </dataValidation>
    <dataValidation sqref="C25 C42 C59 C76 C93 C110 C127 C144 C161 C178 C195 C212 C229 C246 C263 C280 C297" showDropDown="0" showInputMessage="0" showErrorMessage="0" allowBlank="1" type="list">
      <formula1>Lists!$D$1:$D$4</formula1>
    </dataValidation>
    <dataValidation sqref="C26 C43 C60 C77 C94 C111 C128 C145 C162 C179 C196 C213 C230 C247 C264 C281 C298" showDropDown="0" showInputMessage="0" showErrorMessage="0" allowBlank="1" type="list">
      <formula1>Lists!$E$1:$E$10</formula1>
    </dataValidation>
    <dataValidation sqref="D183" showDropDown="0" showInputMessage="0" showErrorMessage="0" allowBlank="1" type="list">
      <formula1>Lists!$F$1:$F$193</formula1>
    </dataValidation>
    <dataValidation sqref="D184" showDropDown="0" showInputMessage="0" showErrorMessage="0" allowBlank="1" type="list">
      <formula1>Lists!$G$1:$G$12</formula1>
    </dataValidation>
    <dataValidation sqref="D185" showDropDown="0" showInputMessage="0" showErrorMessage="0" allowBlank="1" type="list">
      <formula1>Lists!$G$1:$G$12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1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2:F43"/>
  <sheetViews>
    <sheetView topLeftCell="A16" workbookViewId="0">
      <selection activeCell="D4" sqref="D4"/>
    </sheetView>
  </sheetViews>
  <sheetFormatPr baseColWidth="10" defaultColWidth="8.83203125" defaultRowHeight="13"/>
  <cols>
    <col width="8.83203125" customWidth="1" style="611" min="2" max="2"/>
    <col width="61.33203125" bestFit="1" customWidth="1" style="611" min="3" max="3"/>
    <col width="12.33203125" bestFit="1" customWidth="1" style="611" min="4" max="4"/>
  </cols>
  <sheetData>
    <row r="2" customFormat="1" s="605">
      <c r="A2" s="1076" t="inlineStr">
        <is>
          <t>1.0 Canopies</t>
        </is>
      </c>
      <c r="B2" s="604" t="inlineStr">
        <is>
          <t>Item</t>
        </is>
      </c>
      <c r="C2" s="604" t="inlineStr">
        <is>
          <t>Description</t>
        </is>
      </c>
      <c r="D2" s="604" t="inlineStr">
        <is>
          <t>Price</t>
        </is>
      </c>
      <c r="F2" s="605" t="n">
        <v>20</v>
      </c>
    </row>
    <row r="3" ht="13.25" customHeight="1" s="1085">
      <c r="A3" s="1077" t="n"/>
      <c r="B3" s="606" t="n">
        <v>1.01</v>
      </c>
      <c r="C3" s="606" t="inlineStr">
        <is>
          <t>Halton canopy, ex-works</t>
        </is>
      </c>
      <c r="D3" s="607">
        <f>CANOPY!N12</f>
        <v/>
      </c>
    </row>
    <row r="4">
      <c r="A4" s="1077" t="n"/>
      <c r="B4" s="606" t="n">
        <v>1.02</v>
      </c>
      <c r="C4" s="606" t="inlineStr">
        <is>
          <t>Halton canopy, ex-works</t>
        </is>
      </c>
      <c r="D4" s="607" t="n"/>
    </row>
    <row r="5">
      <c r="A5" s="1077" t="n"/>
      <c r="B5" s="606" t="n">
        <v>1.03</v>
      </c>
      <c r="C5" s="606" t="inlineStr">
        <is>
          <t>Halton canopy, ex-works</t>
        </is>
      </c>
      <c r="D5" s="607" t="n"/>
    </row>
    <row r="6">
      <c r="A6" s="1077" t="n"/>
      <c r="B6" s="606" t="n">
        <v>1.04</v>
      </c>
      <c r="C6" s="606" t="inlineStr">
        <is>
          <t>Delivery &amp; Installation</t>
        </is>
      </c>
      <c r="D6" s="607" t="n"/>
    </row>
    <row r="7">
      <c r="A7" s="1077" t="n"/>
      <c r="B7" s="606" t="n">
        <v>1.05</v>
      </c>
      <c r="C7" s="606" t="inlineStr">
        <is>
          <t>Rip-out of existing canopies</t>
        </is>
      </c>
      <c r="D7" s="607" t="n"/>
    </row>
    <row r="8">
      <c r="A8" s="1077" t="n"/>
      <c r="B8" s="606" t="n">
        <v>1.06</v>
      </c>
      <c r="C8" s="606" t="inlineStr">
        <is>
          <t>Testing &amp; Commissioning</t>
        </is>
      </c>
      <c r="D8" s="607" t="n"/>
    </row>
    <row r="9">
      <c r="A9" s="1078" t="n"/>
      <c r="B9" s="608" t="n"/>
      <c r="C9" s="609" t="inlineStr">
        <is>
          <t>Sub Total</t>
        </is>
      </c>
      <c r="D9" s="607">
        <f>SUM(D3:D8)</f>
        <v/>
      </c>
    </row>
    <row r="10">
      <c r="A10" s="610" t="n"/>
      <c r="C10" s="612" t="n"/>
      <c r="D10" s="613" t="n"/>
    </row>
    <row r="11" customFormat="1" s="605">
      <c r="A11" s="1076" t="inlineStr">
        <is>
          <t>2.0 Cladding</t>
        </is>
      </c>
      <c r="B11" s="604" t="inlineStr">
        <is>
          <t>Item</t>
        </is>
      </c>
      <c r="C11" s="604" t="inlineStr">
        <is>
          <t>Description</t>
        </is>
      </c>
      <c r="D11" s="604" t="inlineStr">
        <is>
          <t>Price</t>
        </is>
      </c>
      <c r="F11" s="605" t="n">
        <v>5</v>
      </c>
    </row>
    <row r="12" ht="13.25" customHeight="1" s="1085">
      <c r="A12" s="1077" t="n"/>
      <c r="B12" s="606" t="n">
        <v>2.01</v>
      </c>
      <c r="C12" s="606" t="inlineStr">
        <is>
          <t>Cladding below item xxxx, supplied &amp; installed</t>
        </is>
      </c>
      <c r="D12" s="607" t="n"/>
    </row>
    <row r="13">
      <c r="A13" s="1077" t="n"/>
      <c r="B13" s="606" t="n">
        <v>2.02</v>
      </c>
      <c r="C13" s="606" t="n"/>
      <c r="D13" s="607" t="n"/>
    </row>
    <row r="14">
      <c r="A14" s="1077" t="n"/>
      <c r="B14" s="606" t="n">
        <v>2.03</v>
      </c>
      <c r="C14" s="606" t="n"/>
      <c r="D14" s="607" t="n"/>
    </row>
    <row r="15">
      <c r="A15" s="1078" t="n"/>
      <c r="B15" s="608" t="n"/>
      <c r="C15" s="609" t="inlineStr">
        <is>
          <t>Sub Total</t>
        </is>
      </c>
      <c r="D15" s="607">
        <f>SUM(D12:D14)</f>
        <v/>
      </c>
    </row>
    <row r="16">
      <c r="A16" s="610" t="n"/>
      <c r="C16" s="612" t="n"/>
      <c r="D16" s="613" t="n"/>
    </row>
    <row r="17" customFormat="1" s="605">
      <c r="A17" s="1076" t="inlineStr">
        <is>
          <t>3.0 Ansul</t>
        </is>
      </c>
      <c r="B17" s="604" t="inlineStr">
        <is>
          <t>Item</t>
        </is>
      </c>
      <c r="C17" s="604" t="inlineStr">
        <is>
          <t>Description</t>
        </is>
      </c>
      <c r="D17" s="604" t="inlineStr">
        <is>
          <t>Price</t>
        </is>
      </c>
      <c r="F17" s="605" t="n">
        <v>5</v>
      </c>
    </row>
    <row r="18" ht="13.25" customHeight="1" s="1085">
      <c r="A18" s="1077" t="n"/>
      <c r="B18" s="606" t="n">
        <v>3.01</v>
      </c>
      <c r="C18" s="606" t="inlineStr">
        <is>
          <t>Ansul R102 system.  Supplied installed &amp; commissioned</t>
        </is>
      </c>
      <c r="D18" s="607" t="n"/>
    </row>
    <row r="19">
      <c r="A19" s="1077" t="n"/>
      <c r="B19" s="606" t="n">
        <v>3.02</v>
      </c>
      <c r="C19" s="606" t="inlineStr">
        <is>
          <t>Ansul R102 system.  Supplied installed &amp; commissioned</t>
        </is>
      </c>
      <c r="D19" s="607" t="n"/>
    </row>
    <row r="20">
      <c r="A20" s="1077" t="n"/>
      <c r="B20" s="606" t="n">
        <v>3.03</v>
      </c>
      <c r="C20" s="606" t="inlineStr">
        <is>
          <t>Ansul R102 system.  Supplied installed &amp; commissioned</t>
        </is>
      </c>
      <c r="D20" s="607" t="n"/>
    </row>
    <row r="21">
      <c r="A21" s="1077" t="n"/>
      <c r="B21" s="606" t="n">
        <v>3.04</v>
      </c>
      <c r="C21" s="606" t="inlineStr">
        <is>
          <t>Extra over cost for fire alarm coordination test (1 visit)</t>
        </is>
      </c>
      <c r="D21" s="607" t="n"/>
    </row>
    <row r="22">
      <c r="A22" s="1078" t="n"/>
      <c r="B22" s="608" t="n"/>
      <c r="C22" s="609" t="inlineStr">
        <is>
          <t>Sub Total</t>
        </is>
      </c>
      <c r="D22" s="607">
        <f>SUM(D18:D21)</f>
        <v/>
      </c>
    </row>
    <row r="23">
      <c r="A23" s="610" t="n"/>
      <c r="C23" s="612" t="n"/>
      <c r="D23" s="613" t="n"/>
    </row>
    <row r="24" customFormat="1" s="605">
      <c r="A24" s="1076" t="inlineStr">
        <is>
          <t>4.0 SDU</t>
        </is>
      </c>
      <c r="B24" s="604" t="inlineStr">
        <is>
          <t>Item</t>
        </is>
      </c>
      <c r="C24" s="604" t="inlineStr">
        <is>
          <t>Description</t>
        </is>
      </c>
      <c r="D24" s="604" t="inlineStr">
        <is>
          <t>Price</t>
        </is>
      </c>
      <c r="F24" s="605" t="n">
        <v>5</v>
      </c>
    </row>
    <row r="25" ht="13.25" customHeight="1" s="1085">
      <c r="A25" s="1077" t="n"/>
      <c r="B25" s="606" t="n">
        <v>4.01</v>
      </c>
      <c r="C25" s="606" t="inlineStr">
        <is>
          <t>Service Distribution Unit xxxxmm long. Supplied &amp; installed (carcass only)</t>
        </is>
      </c>
      <c r="D25" s="607" t="n"/>
    </row>
    <row r="26">
      <c r="A26" s="1077" t="n"/>
      <c r="B26" s="606" t="n">
        <v>4.02</v>
      </c>
      <c r="C26" s="606" t="inlineStr">
        <is>
          <t>Service Distribution Unit xxxxmm long. Supplied &amp; installed (carcass only)</t>
        </is>
      </c>
      <c r="D26" s="607" t="n"/>
    </row>
    <row r="27">
      <c r="A27" s="1077" t="n"/>
      <c r="B27" s="606" t="n">
        <v>4.03</v>
      </c>
      <c r="C27" s="606" t="inlineStr">
        <is>
          <t>Electrical &amp; mechanical services, supply &amp; install</t>
        </is>
      </c>
      <c r="D27" s="607" t="n"/>
    </row>
    <row r="28">
      <c r="A28" s="1077" t="n"/>
      <c r="B28" s="606" t="n">
        <v>4.04</v>
      </c>
      <c r="C28" s="606" t="inlineStr">
        <is>
          <t>Extra over cost for separate `live site test'</t>
        </is>
      </c>
      <c r="D28" s="607" t="n"/>
    </row>
    <row r="29">
      <c r="A29" s="1078" t="n"/>
      <c r="B29" s="608" t="n"/>
      <c r="C29" s="609" t="inlineStr">
        <is>
          <t>Sub Total</t>
        </is>
      </c>
      <c r="D29" s="607">
        <f>SUM(D25:D28)</f>
        <v/>
      </c>
    </row>
    <row r="30">
      <c r="A30" s="610" t="n"/>
      <c r="C30" s="612" t="n"/>
      <c r="D30" s="613" t="n"/>
    </row>
    <row r="31" customFormat="1" s="605">
      <c r="A31" s="1076" t="inlineStr">
        <is>
          <t>5.0 Extract</t>
        </is>
      </c>
      <c r="B31" s="604" t="inlineStr">
        <is>
          <t>Item</t>
        </is>
      </c>
      <c r="C31" s="604" t="inlineStr">
        <is>
          <t>Description</t>
        </is>
      </c>
      <c r="D31" s="604" t="inlineStr">
        <is>
          <t>Price</t>
        </is>
      </c>
    </row>
    <row r="32" ht="13.25" customHeight="1" s="1085">
      <c r="A32" s="1077" t="n"/>
      <c r="B32" s="606" t="n">
        <v>5.01</v>
      </c>
      <c r="C32" s="606" t="inlineStr">
        <is>
          <t>Supply &amp; installation of extract fan, controls &amp; ductwork</t>
        </is>
      </c>
      <c r="D32" s="607" t="n"/>
    </row>
    <row r="33">
      <c r="A33" s="1077" t="n"/>
      <c r="B33" s="606" t="n">
        <v>5.02</v>
      </c>
      <c r="C33" s="606" t="inlineStr">
        <is>
          <t>Delivery &amp; installation</t>
        </is>
      </c>
      <c r="D33" s="607" t="n"/>
    </row>
    <row r="34">
      <c r="A34" s="1077" t="n"/>
      <c r="B34" s="606" t="n">
        <v>5.03</v>
      </c>
      <c r="C34" s="606" t="inlineStr">
        <is>
          <t>Testing &amp; commissioning</t>
        </is>
      </c>
      <c r="D34" s="607" t="n"/>
    </row>
    <row r="35">
      <c r="A35" s="1078" t="n"/>
      <c r="B35" s="608" t="n"/>
      <c r="C35" s="609" t="inlineStr">
        <is>
          <t>Sub Total</t>
        </is>
      </c>
      <c r="D35" s="607">
        <f>SUM(D32:D34)</f>
        <v/>
      </c>
    </row>
    <row r="36">
      <c r="A36" s="610" t="n"/>
      <c r="C36" s="612" t="n"/>
      <c r="D36" s="613" t="n"/>
    </row>
    <row r="37" customFormat="1" s="605">
      <c r="A37" s="1076" t="inlineStr">
        <is>
          <t>6.0 Supply</t>
        </is>
      </c>
      <c r="B37" s="604" t="inlineStr">
        <is>
          <t>Item</t>
        </is>
      </c>
      <c r="C37" s="604" t="inlineStr">
        <is>
          <t>Description</t>
        </is>
      </c>
      <c r="D37" s="604" t="inlineStr">
        <is>
          <t>Price</t>
        </is>
      </c>
    </row>
    <row r="38" ht="13.25" customHeight="1" s="1085">
      <c r="A38" s="1077" t="n"/>
      <c r="B38" s="606" t="n">
        <v>6.01</v>
      </c>
      <c r="C38" s="606" t="inlineStr">
        <is>
          <t>Supply &amp; installation of supply-air fan, controls &amp; ductwork</t>
        </is>
      </c>
      <c r="D38" s="607" t="n"/>
    </row>
    <row r="39">
      <c r="A39" s="1077" t="n"/>
      <c r="B39" s="606" t="n">
        <v>6.02</v>
      </c>
      <c r="C39" s="606" t="inlineStr">
        <is>
          <t>Delivery &amp; installation</t>
        </is>
      </c>
      <c r="D39" s="607" t="n"/>
    </row>
    <row r="40">
      <c r="A40" s="1077" t="n"/>
      <c r="B40" s="606" t="n">
        <v>6.03</v>
      </c>
      <c r="C40" s="606" t="inlineStr">
        <is>
          <t>Testing &amp; Commissioning</t>
        </is>
      </c>
      <c r="D40" s="607" t="n"/>
    </row>
    <row r="41">
      <c r="A41" s="1078" t="n"/>
      <c r="B41" s="608" t="n"/>
      <c r="C41" s="609" t="inlineStr">
        <is>
          <t>Sub Total</t>
        </is>
      </c>
      <c r="D41" s="607">
        <f>SUM(D38:D40)</f>
        <v/>
      </c>
    </row>
    <row r="42">
      <c r="D42" s="613" t="n"/>
    </row>
    <row r="43" ht="14" customHeight="1" s="1085">
      <c r="A43" s="614" t="n"/>
      <c r="B43" s="1079" t="inlineStr">
        <is>
          <t>TOTAL (excluding VAT)</t>
        </is>
      </c>
      <c r="C43" s="1080" t="n"/>
      <c r="D43" s="615">
        <f>SUM(D41+D35+D29+D22+D15+D9)</f>
        <v/>
      </c>
    </row>
  </sheetData>
  <mergeCells count="7">
    <mergeCell ref="A17:A22"/>
    <mergeCell ref="A2:A9"/>
    <mergeCell ref="A24:A29"/>
    <mergeCell ref="A11:A15"/>
    <mergeCell ref="A37:A41"/>
    <mergeCell ref="A31:A35"/>
    <mergeCell ref="B43:C4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 codeName="Sheet18">
    <tabColor theme="8" tint="0.7999816888943144"/>
    <outlinePr summaryBelow="1" summaryRight="1"/>
    <pageSetUpPr fitToPage="1"/>
  </sheetPr>
  <dimension ref="A1:Z310"/>
  <sheetViews>
    <sheetView showGridLines="0" topLeftCell="F45" zoomScale="106" zoomScaleNormal="80" zoomScaleSheetLayoutView="50" workbookViewId="0">
      <selection activeCell="P182" sqref="P182"/>
    </sheetView>
  </sheetViews>
  <sheetFormatPr baseColWidth="10" defaultColWidth="8.83203125" defaultRowHeight="15" customHeight="1" outlineLevelRow="1"/>
  <cols>
    <col width="2" customWidth="1" style="666" min="1" max="1"/>
    <col width="29.6640625" customWidth="1" style="1095" min="2" max="2"/>
    <col width="24.6640625" customWidth="1" style="1095" min="3" max="3"/>
    <col width="27.1640625" customWidth="1" style="1095" min="4" max="4"/>
    <col width="26.6640625" customWidth="1" style="1095" min="5" max="5"/>
    <col width="18.83203125" customWidth="1" style="1095" min="6" max="6"/>
    <col width="22.6640625" customWidth="1" style="1095" min="7" max="7"/>
    <col width="10" bestFit="1" customWidth="1" style="1096" min="8" max="8"/>
    <col width="11.6640625" bestFit="1" customWidth="1" style="1096" min="9" max="9"/>
    <col width="12.33203125" customWidth="1" style="1097" min="10" max="10"/>
    <col width="15" customWidth="1" style="1098" min="11" max="11"/>
    <col width="7.6640625" bestFit="1" customWidth="1" style="1098" min="12" max="12"/>
    <col hidden="1" width="12.33203125" customWidth="1" style="1099" min="13" max="13"/>
    <col width="12.8320312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8"/>
    <col width="8.83203125" customWidth="1" style="1095" min="99" max="16384"/>
  </cols>
  <sheetData>
    <row r="1" ht="15" customHeight="1" s="1085">
      <c r="B1" s="1116" t="inlineStr">
        <is>
          <t>F24 - 19  CANOPY COST SHEET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 t="n"/>
      <c r="F3" s="690" t="inlineStr">
        <is>
          <t>Project Name</t>
        </is>
      </c>
      <c r="G3" s="1071" t="n"/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 t="n"/>
      <c r="F5" s="690" t="inlineStr">
        <is>
          <t>Location</t>
        </is>
      </c>
      <c r="G5" s="1071" t="n"/>
      <c r="M5" s="684" t="n"/>
      <c r="N5" s="685" t="n"/>
      <c r="P5" s="1118" t="inlineStr">
        <is>
          <t>RECO CANOPIES MUST HAVE COALESCERS</t>
        </is>
      </c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 t="n"/>
      <c r="F7" s="690" t="inlineStr">
        <is>
          <t>Date</t>
        </is>
      </c>
      <c r="G7" s="1075" t="n"/>
      <c r="N7" s="699" t="inlineStr">
        <is>
          <t>Revision No</t>
        </is>
      </c>
      <c r="O7" s="809" t="inlineStr">
        <is>
          <t>B</t>
        </is>
      </c>
      <c r="P7" s="1091" t="inlineStr">
        <is>
          <t>GP SHOULD BE MINIMUM 44%</t>
        </is>
      </c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47" t="n"/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8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 xml:space="preserve">ITEM 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68">
        <f>N12-N19</f>
        <v/>
      </c>
      <c r="Q12" s="1095" t="n"/>
      <c r="R12" s="1095" t="n"/>
      <c r="S12" s="713" t="n"/>
      <c r="T12" s="1095" t="n"/>
      <c r="X12" s="1095" t="n"/>
      <c r="Y12" s="1095" t="n"/>
      <c r="Z12" s="1095" t="n"/>
    </row>
    <row r="13" hidden="1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hidden="1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CANOPY TYPE</t>
        </is>
      </c>
      <c r="E14" s="734" t="n"/>
      <c r="F14" s="734" t="n"/>
      <c r="G14" s="734" t="n"/>
      <c r="H14" s="735" t="n"/>
      <c r="I14" s="734" t="n"/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hidden="1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LIGHT SELECTION</t>
        </is>
      </c>
      <c r="D15" s="741" t="n"/>
      <c r="E15" s="848" t="n"/>
      <c r="F15" s="743" t="n"/>
      <c r="G15" s="744" t="n"/>
      <c r="H15" s="668" t="n"/>
      <c r="I15" s="668" t="n"/>
      <c r="J15" s="736">
        <f>IF(ISNA(C12),0,IF(D15=0,0,IF(C15="FLO",VLOOKUP(E15,'Base Costs'!$M$4:$N$14,2,FALSE),IF(C15="LED STRIP",VLOOKUP(E15,'Base Costs'!$M$4:$N$14,2,FALSE),(VLOOKUP(C15,'Base Costs'!$M$4:$N$14,2,FALSE))))))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hidden="1" outlineLevel="1" ht="15" customHeight="1" s="1085">
      <c r="A16" s="666" t="n">
        <v>234</v>
      </c>
      <c r="B16" s="269" t="inlineStr">
        <is>
          <t>SPECIAL WORKS</t>
        </is>
      </c>
      <c r="C16" s="33" t="inlineStr">
        <is>
          <t>SELECT WORKS</t>
        </is>
      </c>
      <c r="D16" s="735" t="n"/>
      <c r="E16" s="753">
        <f>IF(C16="","",VLOOKUP(C16,CCBASE!$A$53:$D$73,4,FALSE))</f>
        <v/>
      </c>
      <c r="F16" s="754" t="n"/>
      <c r="G16" s="749" t="n"/>
      <c r="H16" s="750" t="n"/>
      <c r="I16" s="755" t="n"/>
      <c r="J16" s="736">
        <f>IF(C16="",0,VLOOKUP(C16,CCBASE!$A$53:$C$73,2,FALSE))</f>
        <v/>
      </c>
      <c r="K16" s="737">
        <f>J16*D16</f>
        <v/>
      </c>
      <c r="L16" s="738" t="n">
        <v>0.44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hidden="1" outlineLevel="1" ht="15" customHeight="1" s="1085">
      <c r="B17" s="269" t="inlineStr">
        <is>
          <t>SPECIAL WORKS</t>
        </is>
      </c>
      <c r="C17" s="752" t="inlineStr">
        <is>
          <t>SELECT WORKS</t>
        </is>
      </c>
      <c r="D17" s="735" t="n"/>
      <c r="E17" s="753">
        <f>IF(C17="","",VLOOKUP(C17,CCBASE!$A$53:$D$73,4,FALSE))</f>
        <v/>
      </c>
      <c r="F17" s="754" t="n"/>
      <c r="G17" s="749" t="n"/>
      <c r="H17" s="750" t="n"/>
      <c r="I17" s="755" t="n"/>
      <c r="J17" s="736">
        <f>IF(C17="",0,VLOOKUP(C17,CCBASE!$A$53:$C$73,2,FALSE))</f>
        <v/>
      </c>
      <c r="K17" s="737">
        <f>J17*D17</f>
        <v/>
      </c>
      <c r="L17" s="738" t="n">
        <v>0.44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hidden="1" outlineLevel="1" ht="15" customHeight="1" s="1085">
      <c r="B18" s="978" t="inlineStr">
        <is>
          <t>SPECIAL WORKS</t>
        </is>
      </c>
      <c r="C18" s="979" t="inlineStr">
        <is>
          <t>BIM/ REVIT per CANOPY</t>
        </is>
      </c>
      <c r="D18" s="980" t="n">
        <v>1</v>
      </c>
      <c r="E18" s="981">
        <f>IF(C18="","",VLOOKUP(C18,CCBASE!$A$53:$D$73,4,FALSE))</f>
        <v/>
      </c>
      <c r="F18" s="982" t="n"/>
      <c r="G18" s="977" t="n"/>
      <c r="H18" s="983" t="n"/>
      <c r="I18" s="984" t="n"/>
      <c r="J18" s="985">
        <f>IF(C18="",0,VLOOKUP(C18,CCBASE!$A$53:$C$73,2,FALSE))</f>
        <v/>
      </c>
      <c r="K18" s="986">
        <f>J18*D18</f>
        <v/>
      </c>
      <c r="L18" s="987" t="n">
        <v>0.44</v>
      </c>
      <c r="M18" s="988">
        <f>K18/(1-L18)*(1+$C$9)</f>
        <v/>
      </c>
      <c r="N18" s="986">
        <f>M18*VLOOKUP($B$9,'Base Costs'!$A$32:$B$37,2,FALSE)</f>
        <v/>
      </c>
      <c r="O18" s="989">
        <f>M18-K18</f>
        <v/>
      </c>
      <c r="P18" s="990" t="inlineStr">
        <is>
          <t>always include</t>
        </is>
      </c>
      <c r="S18" s="694" t="n"/>
      <c r="Y18" s="1095" t="n"/>
    </row>
    <row r="19" hidden="1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SELECT CLADDING</t>
        </is>
      </c>
      <c r="D19" s="756">
        <f>IF(NOT(ISBLANK(C19)), ROUNDUP($F14/1000,0), 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S19" s="694" t="n"/>
      <c r="Y19" s="1095" t="n"/>
    </row>
    <row r="20" hidden="1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hidden="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hidden="1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S22" s="694" t="n"/>
      <c r="Y22" s="1095" t="n"/>
    </row>
    <row r="23" hidden="1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>
        <f>IF(ISNA(D23),0,(VLOOKUP(D23,'Base Costs'!$Q$4:$R$14,2,FALSE)))</f>
        <v/>
      </c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hidden="1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hidden="1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hidden="1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hidden="1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collapsed="1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 xml:space="preserve">ITEM 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68">
        <f>N29-N36</f>
        <v/>
      </c>
      <c r="Q29" s="1095" t="n"/>
      <c r="R29" s="1095" t="n"/>
      <c r="S29" s="713" t="n"/>
      <c r="T29" s="1095" t="n"/>
      <c r="X29" s="1095" t="n"/>
      <c r="Y29" s="1095" t="n"/>
      <c r="Z29" s="1095" t="n"/>
    </row>
    <row r="30" hidden="1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hidden="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hidden="1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hidden="1" outlineLevel="1" ht="15" customHeight="1" s="1085">
      <c r="A33" s="666" t="n">
        <v>234</v>
      </c>
      <c r="B33" s="731" t="inlineStr">
        <is>
          <t>SPECIAL WORKS</t>
        </is>
      </c>
      <c r="C33" s="752" t="inlineStr">
        <is>
          <t>SELECT WORKS</t>
        </is>
      </c>
      <c r="D33" s="735" t="n"/>
      <c r="E33" s="753">
        <f>IF(C33="","",VLOOKUP(C33,CCBASE!$A$53:$D$73,4,FALSE))</f>
        <v/>
      </c>
      <c r="F33" s="754" t="n"/>
      <c r="G33" s="749" t="n"/>
      <c r="H33" s="750" t="n"/>
      <c r="I33" s="755" t="n"/>
      <c r="J33" s="736">
        <f>IF(C33="",0,VLOOKUP(C33,CCBASE!$A$53:$C$73,2,FALSE))</f>
        <v/>
      </c>
      <c r="K33" s="737">
        <f>J33*D33</f>
        <v/>
      </c>
      <c r="L33" s="738" t="n">
        <v>0.44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hidden="1" outlineLevel="1" ht="15" customHeight="1" s="1085">
      <c r="B34" s="731" t="inlineStr">
        <is>
          <t>SPECIAL WORKS</t>
        </is>
      </c>
      <c r="C34" s="752" t="inlineStr">
        <is>
          <t>SELECT WORKS</t>
        </is>
      </c>
      <c r="D34" s="735" t="n"/>
      <c r="E34" s="753">
        <f>IF(C34="","",VLOOKUP(C34,CCBASE!$A$53:$D$73,4,FALSE))</f>
        <v/>
      </c>
      <c r="F34" s="754" t="n"/>
      <c r="G34" s="749" t="n"/>
      <c r="H34" s="750" t="n"/>
      <c r="I34" s="755" t="n"/>
      <c r="J34" s="736">
        <f>IF(C34="",0,VLOOKUP(C34,CCBASE!$A$53:$C$73,2,FALSE))</f>
        <v/>
      </c>
      <c r="K34" s="737">
        <f>J34*D34</f>
        <v/>
      </c>
      <c r="L34" s="738" t="n">
        <v>0.44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hidden="1" outlineLevel="1" ht="15" customHeight="1" s="1085">
      <c r="B35" s="978" t="inlineStr">
        <is>
          <t>SPECIAL WORKS</t>
        </is>
      </c>
      <c r="C35" s="979" t="inlineStr">
        <is>
          <t>BIM/ REVIT per CANOPY</t>
        </is>
      </c>
      <c r="D35" s="980" t="n"/>
      <c r="E35" s="1111" t="n"/>
      <c r="G35" s="977" t="n"/>
      <c r="H35" s="983" t="n"/>
      <c r="I35" s="984" t="n"/>
      <c r="J35" s="985">
        <f>IF(C35="",0,VLOOKUP(C35,CCBASE!$A$53:$C$73,2,FALSE))</f>
        <v/>
      </c>
      <c r="K35" s="986">
        <f>J35*D35</f>
        <v/>
      </c>
      <c r="L35" s="987" t="n">
        <v>0.44</v>
      </c>
      <c r="M35" s="988">
        <f>K35/(1-L35)*(1+$C$9)</f>
        <v/>
      </c>
      <c r="N35" s="986">
        <f>M35*VLOOKUP($B$9,'Base Costs'!$A$32:$B$37,2,FALSE)</f>
        <v/>
      </c>
      <c r="O35" s="989">
        <f>M35-K35</f>
        <v/>
      </c>
      <c r="P35" s="990" t="inlineStr">
        <is>
          <t>always include</t>
        </is>
      </c>
      <c r="S35" s="694" t="n"/>
      <c r="Y35" s="1095" t="n"/>
    </row>
    <row r="36" hidden="1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SELECT CLADDING</t>
        </is>
      </c>
      <c r="D36" s="756">
        <f>IF(NOT(ISBLANK(C36)), ROUNDUP($F31/1000,0), 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Y36" s="1095" t="n"/>
    </row>
    <row r="37" hidden="1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hidden="1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hidden="1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S39" s="694" t="n"/>
      <c r="Y39" s="1095" t="n"/>
    </row>
    <row r="40" hidden="1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>
        <f>IF(ISNA(D40),0,(VLOOKUP(D40,'Base Costs'!$Q$4:$R$13,2,FALSE)))</f>
        <v/>
      </c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hidden="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hidden="1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hidden="1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hidden="1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collapsed="1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68">
        <f>N46-N53</f>
        <v/>
      </c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731" t="inlineStr">
        <is>
          <t>SPECIAL WORKS</t>
        </is>
      </c>
      <c r="C50" s="752" t="inlineStr">
        <is>
          <t>SELECT WORKS</t>
        </is>
      </c>
      <c r="D50" s="735" t="n"/>
      <c r="E50" s="753">
        <f>IF(C50="","",VLOOKUP(C50,CCBASE!$A$53:$D$73,4,FALSE))</f>
        <v/>
      </c>
      <c r="F50" s="754" t="n"/>
      <c r="G50" s="749" t="n"/>
      <c r="H50" s="750" t="n"/>
      <c r="I50" s="755" t="n"/>
      <c r="J50" s="736">
        <f>IF(C50="",0,VLOOKUP(C50,CCBASE!$A$53:$C$73,2,FALSE))</f>
        <v/>
      </c>
      <c r="K50" s="737">
        <f>J50*D50</f>
        <v/>
      </c>
      <c r="L50" s="738" t="n">
        <v>0.44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731" t="inlineStr">
        <is>
          <t>SPECIAL WORKS</t>
        </is>
      </c>
      <c r="C51" s="752" t="inlineStr">
        <is>
          <t>SELECT WORKS</t>
        </is>
      </c>
      <c r="D51" s="735" t="n"/>
      <c r="E51" s="753">
        <f>IF(C51="","",VLOOKUP(C51,CCBASE!$A$53:$D$73,4,FALSE))</f>
        <v/>
      </c>
      <c r="F51" s="754" t="n"/>
      <c r="G51" s="749" t="n"/>
      <c r="H51" s="750" t="n"/>
      <c r="I51" s="755" t="n"/>
      <c r="J51" s="736">
        <f>IF(C51="",0,VLOOKUP(C51,CCBASE!$A$53:$C$73,2,FALSE))</f>
        <v/>
      </c>
      <c r="K51" s="737">
        <f>J51*D51</f>
        <v/>
      </c>
      <c r="L51" s="738" t="n">
        <v>0.44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978" t="inlineStr">
        <is>
          <t>SPECIAL WORKS</t>
        </is>
      </c>
      <c r="C52" s="979" t="inlineStr">
        <is>
          <t>BIM/ REVIT per CANOPY</t>
        </is>
      </c>
      <c r="D52" s="980" t="n"/>
      <c r="E52" s="981">
        <f>IF(C52="","",VLOOKUP(C52,CCBASE!$A$53:$D$73,4,FALSE))</f>
        <v/>
      </c>
      <c r="F52" s="982" t="n"/>
      <c r="G52" s="977" t="n"/>
      <c r="H52" s="983" t="n"/>
      <c r="I52" s="984" t="n"/>
      <c r="J52" s="985">
        <f>IF(C52="",0,VLOOKUP(C52,CCBASE!$A$53:$C$73,2,FALSE))</f>
        <v/>
      </c>
      <c r="K52" s="986">
        <f>J52*D52</f>
        <v/>
      </c>
      <c r="L52" s="987" t="n">
        <v>0.44</v>
      </c>
      <c r="M52" s="988">
        <f>K52/(1-L52)*(1+$C$9)</f>
        <v/>
      </c>
      <c r="N52" s="986">
        <f>M52*VLOOKUP($B$9,'Base Costs'!$A$32:$B$37,2,FALSE)</f>
        <v/>
      </c>
      <c r="O52" s="989">
        <f>M52-K52</f>
        <v/>
      </c>
      <c r="P52" s="990" t="inlineStr">
        <is>
          <t>always include</t>
        </is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SELECT CLADDING</t>
        </is>
      </c>
      <c r="D53" s="756">
        <f>IF(NOT(ISBLANK(C53)), ROUNDUP($F48/1000,0), 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>
        <f>IF(ISNA(D57),0,(VLOOKUP(D57,'Base Costs'!$Q$4:$R$13,2,FALSE)))</f>
        <v/>
      </c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68">
        <f>N63-N70</f>
        <v/>
      </c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731" t="inlineStr">
        <is>
          <t>SPECIAL WORKS</t>
        </is>
      </c>
      <c r="C67" s="752" t="inlineStr">
        <is>
          <t>SELECT WORKS</t>
        </is>
      </c>
      <c r="D67" s="735" t="n"/>
      <c r="E67" s="753">
        <f>IF(C67="","",VLOOKUP(C67,CCBASE!$A$53:$D$73,4,FALSE))</f>
        <v/>
      </c>
      <c r="F67" s="754" t="n"/>
      <c r="G67" s="749" t="n"/>
      <c r="H67" s="750" t="n"/>
      <c r="I67" s="755" t="n"/>
      <c r="J67" s="736">
        <f>IF(C67="",0,VLOOKUP(C67,CCBASE!$A$53:$C$73,2,FALSE))</f>
        <v/>
      </c>
      <c r="K67" s="737">
        <f>J67*D67</f>
        <v/>
      </c>
      <c r="L67" s="738" t="n">
        <v>0.44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731" t="inlineStr">
        <is>
          <t>SPECIAL WORKS</t>
        </is>
      </c>
      <c r="C68" s="752" t="inlineStr">
        <is>
          <t>SELECT WORKS</t>
        </is>
      </c>
      <c r="D68" s="735" t="n"/>
      <c r="E68" s="753">
        <f>IF(C68="","",VLOOKUP(C68,CCBASE!$A$53:$D$73,4,FALSE))</f>
        <v/>
      </c>
      <c r="F68" s="754" t="n"/>
      <c r="G68" s="749" t="n"/>
      <c r="H68" s="750" t="n"/>
      <c r="I68" s="755" t="n"/>
      <c r="J68" s="736">
        <f>IF(C68="",0,VLOOKUP(C68,CCBASE!$A$53:$C$73,2,FALSE))</f>
        <v/>
      </c>
      <c r="K68" s="737">
        <f>J68*D68</f>
        <v/>
      </c>
      <c r="L68" s="738" t="n">
        <v>0.44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978" t="inlineStr">
        <is>
          <t>SPECIAL WORKS</t>
        </is>
      </c>
      <c r="C69" s="979" t="inlineStr">
        <is>
          <t>BIM/ REVIT per CANOPY</t>
        </is>
      </c>
      <c r="D69" s="980" t="n"/>
      <c r="E69" s="981">
        <f>IF(C69="","",VLOOKUP(C69,CCBASE!$A$53:$D$73,4,FALSE))</f>
        <v/>
      </c>
      <c r="F69" s="982" t="n"/>
      <c r="G69" s="977" t="n"/>
      <c r="H69" s="983" t="n"/>
      <c r="I69" s="984" t="n"/>
      <c r="J69" s="985">
        <f>IF(C69="",0,VLOOKUP(C69,CCBASE!$A$53:$C$73,2,FALSE))</f>
        <v/>
      </c>
      <c r="K69" s="986">
        <f>J69*D69</f>
        <v/>
      </c>
      <c r="L69" s="987" t="n">
        <v>0.44</v>
      </c>
      <c r="M69" s="988">
        <f>K69/(1-L69)*(1+$C$9)</f>
        <v/>
      </c>
      <c r="N69" s="986">
        <f>M69*VLOOKUP($B$9,'Base Costs'!$A$32:$B$37,2,FALSE)</f>
        <v/>
      </c>
      <c r="O69" s="989">
        <f>M69-K69</f>
        <v/>
      </c>
      <c r="P69" s="990" t="inlineStr">
        <is>
          <t>always include</t>
        </is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IF(NOT(ISBLANK(C70)), ROUNDUP(F65/1000,0), 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>
        <f>IF(ISNA(D74),0,(VLOOKUP(D74,'Base Costs'!$Q$4:$R$13,2,FALSE)))</f>
        <v/>
      </c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68">
        <f>N80-N87</f>
        <v/>
      </c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731" t="inlineStr">
        <is>
          <t>SPECIAL WORKS</t>
        </is>
      </c>
      <c r="C84" s="752" t="inlineStr">
        <is>
          <t>SELECT WORKS</t>
        </is>
      </c>
      <c r="D84" s="735" t="n"/>
      <c r="E84" s="753">
        <f>IF(C84="","",VLOOKUP(C84,CCBASE!$A$53:$D$73,4,FALSE))</f>
        <v/>
      </c>
      <c r="F84" s="754" t="n"/>
      <c r="G84" s="749" t="n"/>
      <c r="H84" s="750" t="n"/>
      <c r="I84" s="755" t="n"/>
      <c r="J84" s="736">
        <f>IF(C84="",0,VLOOKUP(C84,CCBASE!$A$53:$C$73,2,FALSE))</f>
        <v/>
      </c>
      <c r="K84" s="737">
        <f>J84*D84</f>
        <v/>
      </c>
      <c r="L84" s="738" t="n">
        <v>0.44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SPECIAL WORKS</t>
        </is>
      </c>
      <c r="C85" s="752" t="inlineStr">
        <is>
          <t>SELECT WORKS</t>
        </is>
      </c>
      <c r="D85" s="735" t="n"/>
      <c r="E85" s="753">
        <f>IF(C85="","",VLOOKUP(C85,CCBASE!$A$53:$D$73,4,FALSE))</f>
        <v/>
      </c>
      <c r="F85" s="754" t="n"/>
      <c r="G85" s="749" t="n"/>
      <c r="H85" s="750" t="n"/>
      <c r="I85" s="755" t="n"/>
      <c r="J85" s="736">
        <f>IF(C85="",0,VLOOKUP(C85,CCBASE!$A$53:$C$73,2,FALSE))</f>
        <v/>
      </c>
      <c r="K85" s="737">
        <f>J85*D85</f>
        <v/>
      </c>
      <c r="L85" s="738" t="n">
        <v>0.44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978" t="inlineStr">
        <is>
          <t>SPECIAL WORKS</t>
        </is>
      </c>
      <c r="C86" s="979" t="inlineStr">
        <is>
          <t>BIM/ REVIT per CANOPY</t>
        </is>
      </c>
      <c r="D86" s="980" t="n"/>
      <c r="E86" s="981">
        <f>IF(C86="","",VLOOKUP(C86,CCBASE!$A$53:$D$73,4,FALSE))</f>
        <v/>
      </c>
      <c r="F86" s="982" t="n"/>
      <c r="G86" s="977" t="n"/>
      <c r="H86" s="983" t="n"/>
      <c r="I86" s="984" t="n"/>
      <c r="J86" s="985">
        <f>IF(C86="",0,VLOOKUP(C86,CCBASE!$A$53:$C$73,2,FALSE))</f>
        <v/>
      </c>
      <c r="K86" s="986">
        <f>J86*D86</f>
        <v/>
      </c>
      <c r="L86" s="987" t="n">
        <v>0.44</v>
      </c>
      <c r="M86" s="988">
        <f>K86/(1-L86)*(1+$C$9)</f>
        <v/>
      </c>
      <c r="N86" s="986">
        <f>M86*VLOOKUP($B$9,'Base Costs'!$A$32:$B$37,2,FALSE)</f>
        <v/>
      </c>
      <c r="O86" s="989">
        <f>M86-K86</f>
        <v/>
      </c>
      <c r="P86" s="990" t="inlineStr">
        <is>
          <t>always include</t>
        </is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IF(NOT(ISBLANK(C87)), ROUNDUP(F82/1000,0), 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>
        <f>IF(ISNA(D91),0,(VLOOKUP(D91,'Base Costs'!$Q$4:$R$13,2,FALSE)))</f>
        <v/>
      </c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IF(ISNUMBER(SEARCH("UV",D99)),49.7,71.75)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68">
        <f>N97-N104</f>
        <v/>
      </c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731" t="inlineStr">
        <is>
          <t>SPECIAL WORKS</t>
        </is>
      </c>
      <c r="C101" s="752" t="inlineStr">
        <is>
          <t>SELECT WORKS</t>
        </is>
      </c>
      <c r="D101" s="735" t="n"/>
      <c r="E101" s="753">
        <f>IF(C101="","",VLOOKUP(C101,CCBASE!$A$53:$D$73,4,FALSE))</f>
        <v/>
      </c>
      <c r="F101" s="754" t="n"/>
      <c r="G101" s="749" t="n"/>
      <c r="H101" s="750" t="n"/>
      <c r="I101" s="755" t="n"/>
      <c r="J101" s="736">
        <f>IF(C101="",0,VLOOKUP(C101,CCBASE!$A$53:$C$73,2,FALSE))</f>
        <v/>
      </c>
      <c r="K101" s="737">
        <f>J101*D101</f>
        <v/>
      </c>
      <c r="L101" s="738" t="n">
        <v>0.44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584" t="inlineStr">
        <is>
          <t>SPECIAL WORKS</t>
        </is>
      </c>
      <c r="C102" s="33" t="inlineStr">
        <is>
          <t>SELECT WORKS</t>
        </is>
      </c>
      <c r="D102" s="735" t="n"/>
      <c r="E102" s="753">
        <f>IF(C102="","",VLOOKUP(C102,CCBASE!$A$53:$D$73,4,FALSE))</f>
        <v/>
      </c>
      <c r="F102" s="754" t="n"/>
      <c r="G102" s="749" t="n"/>
      <c r="H102" s="750" t="n"/>
      <c r="I102" s="755" t="n"/>
      <c r="J102" s="736">
        <f>IF(C102="",0,VLOOKUP(C102,CCBASE!$A$53:$C$73,2,FALSE))</f>
        <v/>
      </c>
      <c r="K102" s="737">
        <f>J102*D102</f>
        <v/>
      </c>
      <c r="L102" s="738" t="n">
        <v>0.44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991" t="inlineStr">
        <is>
          <t>SPECIAL WORKS</t>
        </is>
      </c>
      <c r="C103" s="992" t="inlineStr">
        <is>
          <t>BIM/ REVIT per CANOPY</t>
        </is>
      </c>
      <c r="D103" s="980" t="n"/>
      <c r="E103" s="981">
        <f>IF(C103="","",VLOOKUP(C103,CCBASE!$A$53:$D$73,4,FALSE))</f>
        <v/>
      </c>
      <c r="F103" s="982" t="n"/>
      <c r="G103" s="977" t="n"/>
      <c r="H103" s="983" t="n"/>
      <c r="I103" s="984" t="n"/>
      <c r="J103" s="985">
        <f>IF(C103="",0,VLOOKUP(C103,CCBASE!$A$53:$C$73,2,FALSE))</f>
        <v/>
      </c>
      <c r="K103" s="986">
        <f>J103*D103</f>
        <v/>
      </c>
      <c r="L103" s="987" t="n">
        <v>0.44</v>
      </c>
      <c r="M103" s="988">
        <f>K103/(1-L103)*(1+$C$9)</f>
        <v/>
      </c>
      <c r="N103" s="986">
        <f>M103*VLOOKUP($B$9,'Base Costs'!$A$32:$B$37,2,FALSE)</f>
        <v/>
      </c>
      <c r="O103" s="989">
        <f>M103-K103</f>
        <v/>
      </c>
      <c r="P103" s="990" t="inlineStr">
        <is>
          <t>always include</t>
        </is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IF(NOT(ISBLANK(C104)), ROUNDUP(F99/1000,0), 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>
        <f>IF(ISNA(D108),0,(VLOOKUP(D108,'Base Costs'!$Q$4:$R$13,2,FALSE)))</f>
        <v/>
      </c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IF(ISNUMBER(SEARCH("UV",D116)),49.7,71.75)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68">
        <f>N114-N121</f>
        <v/>
      </c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731" t="inlineStr">
        <is>
          <t>SPECIAL WORKS</t>
        </is>
      </c>
      <c r="C118" s="752" t="inlineStr">
        <is>
          <t>SELECT WORKS</t>
        </is>
      </c>
      <c r="D118" s="735" t="n"/>
      <c r="E118" s="753">
        <f>IF(C118="","",VLOOKUP(C118,CCBASE!$A$53:$D$73,4,FALSE))</f>
        <v/>
      </c>
      <c r="F118" s="754" t="n"/>
      <c r="G118" s="749" t="n"/>
      <c r="H118" s="750" t="n"/>
      <c r="I118" s="755" t="n"/>
      <c r="J118" s="736">
        <f>IF(C118="",0,VLOOKUP(C118,CCBASE!$A$53:$C$73,2,FALSE))</f>
        <v/>
      </c>
      <c r="K118" s="737">
        <f>J118*D118</f>
        <v/>
      </c>
      <c r="L118" s="738" t="n">
        <v>0.44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584" t="inlineStr">
        <is>
          <t>SPECIAL WORKS</t>
        </is>
      </c>
      <c r="C119" s="33" t="inlineStr">
        <is>
          <t>SELECT WORKS</t>
        </is>
      </c>
      <c r="D119" s="735" t="n"/>
      <c r="E119" s="753">
        <f>IF(C119="","",VLOOKUP(C119,CCBASE!$A$53:$D$73,4,FALSE))</f>
        <v/>
      </c>
      <c r="F119" s="754" t="n"/>
      <c r="G119" s="749" t="n"/>
      <c r="H119" s="750" t="n"/>
      <c r="I119" s="755" t="n"/>
      <c r="J119" s="736">
        <f>IF(C119="",0,VLOOKUP(C119,CCBASE!$A$53:$C$73,2,FALSE))</f>
        <v/>
      </c>
      <c r="K119" s="737">
        <f>J119*D119</f>
        <v/>
      </c>
      <c r="L119" s="738" t="n">
        <v>0.44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991" t="inlineStr">
        <is>
          <t>SPECIAL WORKS</t>
        </is>
      </c>
      <c r="C120" s="992" t="inlineStr">
        <is>
          <t>BIM/ REVIT per CANOPY</t>
        </is>
      </c>
      <c r="D120" s="980" t="n"/>
      <c r="E120" s="981">
        <f>IF(C120="","",VLOOKUP(C120,CCBASE!$A$53:$D$73,4,FALSE))</f>
        <v/>
      </c>
      <c r="F120" s="982" t="n"/>
      <c r="G120" s="977" t="n"/>
      <c r="H120" s="983" t="n"/>
      <c r="I120" s="984" t="n"/>
      <c r="J120" s="985">
        <f>IF(C120="",0,VLOOKUP(C120,CCBASE!$A$53:$C$73,2,FALSE))</f>
        <v/>
      </c>
      <c r="K120" s="986">
        <f>J120*D120</f>
        <v/>
      </c>
      <c r="L120" s="987" t="n">
        <v>0.44</v>
      </c>
      <c r="M120" s="988">
        <f>K120/(1-L120)*(1+$C$9)</f>
        <v/>
      </c>
      <c r="N120" s="986">
        <f>M120*VLOOKUP($B$9,'Base Costs'!$A$32:$B$37,2,FALSE)</f>
        <v/>
      </c>
      <c r="O120" s="989">
        <f>M120-K120</f>
        <v/>
      </c>
      <c r="P120" s="990" t="inlineStr">
        <is>
          <t>always include</t>
        </is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IF(NOT(ISBLANK(C121)), ROUNDUP(F116/1000,0), 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>
        <f>IF(ISNA(D125),0,(VLOOKUP(D125,'Base Costs'!$Q$4:$R$13,2,FALSE)))</f>
        <v/>
      </c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68">
        <f>N131-N138</f>
        <v/>
      </c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733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731" t="inlineStr">
        <is>
          <t>SPECIAL WORKS</t>
        </is>
      </c>
      <c r="C135" s="752" t="inlineStr">
        <is>
          <t>SELECT WORKS</t>
        </is>
      </c>
      <c r="D135" s="735" t="n"/>
      <c r="E135" s="753">
        <f>IF(C135="","",VLOOKUP(C135,CCBASE!$A$53:$D$73,4,FALSE))</f>
        <v/>
      </c>
      <c r="F135" s="754" t="n"/>
      <c r="G135" s="749" t="n"/>
      <c r="H135" s="750" t="n"/>
      <c r="I135" s="755" t="n"/>
      <c r="J135" s="736">
        <f>IF(C135="",0,VLOOKUP(C135,CCBASE!$A$53:$C$73,2,FALSE))</f>
        <v/>
      </c>
      <c r="K135" s="737">
        <f>J135*D135</f>
        <v/>
      </c>
      <c r="L135" s="738" t="n">
        <v>0.44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584" t="inlineStr">
        <is>
          <t>SPECIAL WORKS</t>
        </is>
      </c>
      <c r="C136" s="33" t="inlineStr">
        <is>
          <t>SELECT WORKS</t>
        </is>
      </c>
      <c r="D136" s="735" t="n"/>
      <c r="E136" s="753">
        <f>IF(C136="","",VLOOKUP(C136,CCBASE!$A$53:$D$73,4,FALSE))</f>
        <v/>
      </c>
      <c r="F136" s="754" t="n"/>
      <c r="G136" s="749" t="n"/>
      <c r="H136" s="750" t="n"/>
      <c r="I136" s="755" t="n"/>
      <c r="J136" s="736">
        <f>IF(C136="",0,VLOOKUP(C136,CCBASE!$A$53:$C$73,2,FALSE))</f>
        <v/>
      </c>
      <c r="K136" s="737">
        <f>J136*D136</f>
        <v/>
      </c>
      <c r="L136" s="738" t="n">
        <v>0.44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991" t="inlineStr">
        <is>
          <t>SPECIAL WORKS</t>
        </is>
      </c>
      <c r="C137" s="992" t="inlineStr">
        <is>
          <t>BIM/ REVIT per CANOPY</t>
        </is>
      </c>
      <c r="D137" s="980" t="n"/>
      <c r="E137" s="981">
        <f>IF(C137="","",VLOOKUP(C137,CCBASE!$A$53:$D$73,4,FALSE))</f>
        <v/>
      </c>
      <c r="F137" s="982" t="n"/>
      <c r="G137" s="977" t="n"/>
      <c r="H137" s="983" t="n"/>
      <c r="I137" s="984" t="n"/>
      <c r="J137" s="985">
        <f>IF(C137="",0,VLOOKUP(C137,CCBASE!$A$53:$C$73,2,FALSE))</f>
        <v/>
      </c>
      <c r="K137" s="986">
        <f>J137*D137</f>
        <v/>
      </c>
      <c r="L137" s="987" t="n">
        <v>0.44</v>
      </c>
      <c r="M137" s="988">
        <f>K137/(1-L137)*(1+$C$9)</f>
        <v/>
      </c>
      <c r="N137" s="986">
        <f>M137*VLOOKUP($B$9,'Base Costs'!$A$32:$B$37,2,FALSE)</f>
        <v/>
      </c>
      <c r="O137" s="989">
        <f>M137-K137</f>
        <v/>
      </c>
      <c r="P137" s="990" t="inlineStr">
        <is>
          <t>always include</t>
        </is>
      </c>
      <c r="S137" s="694" t="n"/>
      <c r="Y137" s="1095" t="n"/>
    </row>
    <row r="138" hidden="1" outlineLevel="1" ht="15" customHeight="1" s="1085">
      <c r="A138" s="666" t="n">
        <v>289</v>
      </c>
      <c r="B138" s="584" t="inlineStr">
        <is>
          <t>WALL CLADDING</t>
        </is>
      </c>
      <c r="C138" s="33" t="inlineStr">
        <is>
          <t>SELECT CLADDING</t>
        </is>
      </c>
      <c r="D138" s="756">
        <f>IF(NOT(ISBLANK(C138)), ROUNDUP(F133/1000,0), 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584" t="inlineStr">
        <is>
          <t>INFILL PANEL</t>
        </is>
      </c>
      <c r="C139" s="752" t="n"/>
      <c r="D139" s="742" t="inlineStr">
        <is>
          <t>m²</t>
        </is>
      </c>
      <c r="E139" s="749" t="n"/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>
        <f>IF(ISNA(D142),0,(VLOOKUP(D142,'Base Costs'!$Q$4:$R$13,2,FALSE)))</f>
        <v/>
      </c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IF(ISNUMBER(SEARCH("UV",D150)),49.7,71.75)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68">
        <f>N148-N155</f>
        <v/>
      </c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731" t="inlineStr">
        <is>
          <t>SPECIAL WORKS</t>
        </is>
      </c>
      <c r="C152" s="752" t="inlineStr">
        <is>
          <t>SELECT WORKS</t>
        </is>
      </c>
      <c r="D152" s="735" t="n"/>
      <c r="E152" s="753">
        <f>IF(C152="","",VLOOKUP(C152,CCBASE!$A$53:$D$73,4,FALSE))</f>
        <v/>
      </c>
      <c r="F152" s="754" t="n"/>
      <c r="G152" s="749" t="n"/>
      <c r="H152" s="750" t="n"/>
      <c r="I152" s="755" t="n"/>
      <c r="J152" s="736">
        <f>IF(C152="",0,VLOOKUP(C152,CCBASE!$A$53:$C$73,2,FALSE))</f>
        <v/>
      </c>
      <c r="K152" s="737">
        <f>J152*D152</f>
        <v/>
      </c>
      <c r="L152" s="738" t="n">
        <v>0.44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584" t="inlineStr">
        <is>
          <t>SPECIAL WORKS</t>
        </is>
      </c>
      <c r="C153" s="33" t="inlineStr">
        <is>
          <t>SELECT WORKS</t>
        </is>
      </c>
      <c r="D153" s="735" t="n"/>
      <c r="E153" s="753">
        <f>IF(C153="","",VLOOKUP(C153,CCBASE!$A$53:$D$73,4,FALSE))</f>
        <v/>
      </c>
      <c r="F153" s="754" t="n"/>
      <c r="G153" s="749" t="n"/>
      <c r="H153" s="750" t="n"/>
      <c r="I153" s="755" t="n"/>
      <c r="J153" s="736">
        <f>IF(C153="",0,VLOOKUP(C153,CCBASE!$A$53:$C$73,2,FALSE))</f>
        <v/>
      </c>
      <c r="K153" s="737">
        <f>J153*D153</f>
        <v/>
      </c>
      <c r="L153" s="738" t="n">
        <v>0.44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991" t="inlineStr">
        <is>
          <t>SPECIAL WORKS</t>
        </is>
      </c>
      <c r="C154" s="992" t="inlineStr">
        <is>
          <t>BIM/ REVIT per CANOPY</t>
        </is>
      </c>
      <c r="D154" s="980" t="n"/>
      <c r="E154" s="981">
        <f>IF(C154="","",VLOOKUP(C154,CCBASE!$A$53:$D$73,4,FALSE))</f>
        <v/>
      </c>
      <c r="F154" s="982" t="n"/>
      <c r="G154" s="977" t="n"/>
      <c r="H154" s="983" t="n"/>
      <c r="I154" s="984" t="n"/>
      <c r="J154" s="985">
        <f>IF(C154="",0,VLOOKUP(C154,CCBASE!$A$53:$C$73,2,FALSE))</f>
        <v/>
      </c>
      <c r="K154" s="986">
        <f>J154*D154</f>
        <v/>
      </c>
      <c r="L154" s="987" t="n">
        <v>0.44</v>
      </c>
      <c r="M154" s="988">
        <f>K154/(1-L154)*(1+$C$9)</f>
        <v/>
      </c>
      <c r="N154" s="986">
        <f>M154*VLOOKUP($B$9,'Base Costs'!$A$32:$B$37,2,FALSE)</f>
        <v/>
      </c>
      <c r="O154" s="989">
        <f>M154-K154</f>
        <v/>
      </c>
      <c r="P154" s="990" t="inlineStr">
        <is>
          <t>always include</t>
        </is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IF(NOT(ISBLANK(C155)), ROUNDUP(F150/1000,0), 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>
        <f>IF(ISNA(D159),0,(VLOOKUP(D159,'Base Costs'!$Q$4:$R$13,2,FALSE)))</f>
        <v/>
      </c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IF(ISNUMBER(SEARCH("UV",D167)),49.7,71.75)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68">
        <f>N165-N172</f>
        <v/>
      </c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731" t="inlineStr">
        <is>
          <t>SPECIAL WORKS</t>
        </is>
      </c>
      <c r="C169" s="752" t="inlineStr">
        <is>
          <t>SELECT WORKS</t>
        </is>
      </c>
      <c r="D169" s="735" t="n"/>
      <c r="E169" s="753">
        <f>IF(C169="","",VLOOKUP(C169,CCBASE!$A$53:$D$73,4,FALSE))</f>
        <v/>
      </c>
      <c r="F169" s="754" t="n"/>
      <c r="G169" s="749" t="n"/>
      <c r="H169" s="750" t="n"/>
      <c r="I169" s="755" t="n"/>
      <c r="J169" s="736">
        <f>IF(C169="",0,VLOOKUP(C169,CCBASE!$A$53:$C$73,2,FALSE))</f>
        <v/>
      </c>
      <c r="K169" s="737">
        <f>J169*D169</f>
        <v/>
      </c>
      <c r="L169" s="738" t="n">
        <v>0.44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584" t="inlineStr">
        <is>
          <t>SPECIAL WORKS</t>
        </is>
      </c>
      <c r="C170" s="33" t="inlineStr">
        <is>
          <t>SELECT WORKS</t>
        </is>
      </c>
      <c r="D170" s="735" t="n"/>
      <c r="E170" s="753">
        <f>IF(C170="","",VLOOKUP(C170,CCBASE!$A$53:$D$73,4,FALSE))</f>
        <v/>
      </c>
      <c r="F170" s="754" t="n"/>
      <c r="G170" s="749" t="n"/>
      <c r="H170" s="750" t="n"/>
      <c r="I170" s="755" t="n"/>
      <c r="J170" s="736">
        <f>IF(C170="",0,VLOOKUP(C170,CCBASE!$A$53:$C$73,2,FALSE))</f>
        <v/>
      </c>
      <c r="K170" s="737">
        <f>J170*D170</f>
        <v/>
      </c>
      <c r="L170" s="738" t="n">
        <v>0.44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991" t="inlineStr">
        <is>
          <t>SPECIAL WORKS</t>
        </is>
      </c>
      <c r="C171" s="992" t="inlineStr">
        <is>
          <t>BIM/ REVIT per CANOPY</t>
        </is>
      </c>
      <c r="D171" s="980" t="n"/>
      <c r="E171" s="981">
        <f>IF(C171="","",VLOOKUP(C171,CCBASE!$A$53:$D$73,4,FALSE))</f>
        <v/>
      </c>
      <c r="F171" s="982" t="n"/>
      <c r="G171" s="977" t="n"/>
      <c r="H171" s="983" t="n"/>
      <c r="I171" s="984" t="n"/>
      <c r="J171" s="985">
        <f>IF(C171="",0,VLOOKUP(C171,CCBASE!$A$53:$C$73,2,FALSE))</f>
        <v/>
      </c>
      <c r="K171" s="986">
        <f>J171*D171</f>
        <v/>
      </c>
      <c r="L171" s="987" t="n">
        <v>0.44</v>
      </c>
      <c r="M171" s="988">
        <f>K171/(1-L171)*(1+$C$9)</f>
        <v/>
      </c>
      <c r="N171" s="986">
        <f>M171*VLOOKUP($B$9,'Base Costs'!$A$32:$B$37,2,FALSE)</f>
        <v/>
      </c>
      <c r="O171" s="989">
        <f>M171-K171</f>
        <v/>
      </c>
      <c r="P171" s="990" t="inlineStr">
        <is>
          <t>always include</t>
        </is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IF(NOT(ISBLANK(C172)), ROUNDUP(F167/1000,0), 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>
        <f>IF(ISNA(D176),0,(VLOOKUP(D176,'Base Costs'!$Q$4:$R$13,2,FALSE)))</f>
        <v/>
      </c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10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P182" s="1068">
        <f>N182-N193</f>
        <v/>
      </c>
      <c r="S182" s="694" t="n"/>
    </row>
    <row r="183" ht="15" customHeight="1" s="1085">
      <c r="A183" s="666" t="n">
        <v>222</v>
      </c>
      <c r="B183" s="589" t="inlineStr">
        <is>
          <t>DELIVERY 1 x 7.5T TAIL LIFT 3200KGS</t>
        </is>
      </c>
      <c r="C183" s="774" t="n"/>
      <c r="D183" s="775" t="inlineStr">
        <is>
          <t>SELECT LOCATION…</t>
        </is>
      </c>
      <c r="E183" s="1111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Q183" s="745" t="n"/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/>
      <c r="D184" s="775" t="inlineStr">
        <is>
          <t>PLANT SELECTION (weekly)</t>
        </is>
      </c>
      <c r="E184" s="1108" t="inlineStr">
        <is>
          <t>Install of 6no Pieces of Canopy Max</t>
        </is>
      </c>
      <c r="G184" s="748" t="n"/>
      <c r="H184" s="748" t="n"/>
      <c r="I184" s="748" t="n"/>
      <c r="J184" s="776">
        <f>VLOOKUP(D184,'Base Costs'!$A$3:$B$15,2,FALSE)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269" t="inlineStr">
        <is>
          <t xml:space="preserve">PLANT HIRE </t>
        </is>
      </c>
      <c r="C185" s="777" t="n"/>
      <c r="D185" s="775" t="inlineStr">
        <is>
          <t>PLANT SELECTION (weekly)</t>
        </is>
      </c>
      <c r="E185" s="1108" t="inlineStr">
        <is>
          <t>Install of 6no Pieces of Canopy Max</t>
        </is>
      </c>
      <c r="G185" s="748" t="n"/>
      <c r="H185" s="748" t="n"/>
      <c r="I185" s="748" t="n"/>
      <c r="J185" s="776">
        <f>VLOOKUP(D185,'Base Costs'!$A$3:$B$15,2,FALSE)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S185" s="694" t="n"/>
    </row>
    <row r="186" ht="15" customHeight="1" s="1085">
      <c r="A186" s="666" t="n">
        <v>222</v>
      </c>
      <c r="B186" s="270" t="n"/>
      <c r="C186" s="946" t="n"/>
      <c r="D186" s="775" t="inlineStr">
        <is>
          <t>SELECT LOCATION…</t>
        </is>
      </c>
      <c r="E186" s="1109" t="n"/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610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>
        <f>ROUNDUP((IF(C14="WALL",(F14/1000),(F14/1000)*2)+IF(C31="WALL",(F31/1000),(F31/1000)*2)+IF(C48="WALL",(F48/1000),(F48/1000)*2)+IF(C65="WALL",(F65/1000),(F65/1000)*2)+IF(C82="WALL",(F82/1000),(F82/1000)*2)+IF(C99="WALL",(F99/1000),(F99/1000)*2)+IF(C116="WALL",(F116/1000),(F116/1000)*2)+IF(C133="WALL",(F133/1000),(F133/1000)*2)+IF(C150="WALL",(F150/1000),(F150/1000)*2)+IF(C167="WALL",(F167/1000),(F167/1000)*2)),0)</f>
        <v/>
      </c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731" t="inlineStr">
        <is>
          <t>INSTALLATION NORMAL HOURS</t>
        </is>
      </c>
      <c r="C189" s="777" t="n"/>
      <c r="D189" s="1102" t="inlineStr">
        <is>
          <t>2 Pieces = 1 Day, 4 Pieces = 1.5 Days, 6 Pieces = 2 Days, 8 Pieces = 2.5 Days (1 Section up to 3m long equals 2 Pieces) + logistics</t>
        </is>
      </c>
      <c r="J189" s="776" t="n">
        <v>610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S189" s="694" t="n"/>
    </row>
    <row r="190" ht="15" customHeight="1" s="1085">
      <c r="A190" s="666" t="n">
        <v>400</v>
      </c>
      <c r="B190" s="731" t="inlineStr">
        <is>
          <t>INSTALLATION AFTER HOURS</t>
        </is>
      </c>
      <c r="C190" s="777" t="n"/>
      <c r="D190" s="1102" t="inlineStr">
        <is>
          <t>2 Pieces = 1 Day, 4 Pieces = 1.5 Days, 6 Pieces = 2 Days, 8 Pieces = 2.5 Days (1 Section up to 3m long equals 2 Pieces) + logistics</t>
        </is>
      </c>
      <c r="J190" s="776" t="n">
        <v>1220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610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220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15" t="inlineStr">
        <is>
          <t>ONE Engineer,  1 day per 4no UV or W/W Sections of Canopy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9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09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20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2">
    <mergeCell ref="B203:O203"/>
    <mergeCell ref="H91:I91"/>
    <mergeCell ref="D189:I189"/>
    <mergeCell ref="E121:F121"/>
    <mergeCell ref="H38:I38"/>
    <mergeCell ref="H125:I125"/>
    <mergeCell ref="B200:O200"/>
    <mergeCell ref="G186:I186"/>
    <mergeCell ref="D194:F194"/>
    <mergeCell ref="C5:D5"/>
    <mergeCell ref="H141:I141"/>
    <mergeCell ref="E185:F185"/>
    <mergeCell ref="D197:F197"/>
    <mergeCell ref="B182:G182"/>
    <mergeCell ref="B202:O202"/>
    <mergeCell ref="H55:I55"/>
    <mergeCell ref="H40:I40"/>
    <mergeCell ref="H74:I74"/>
    <mergeCell ref="H176:I176"/>
    <mergeCell ref="H56:I56"/>
    <mergeCell ref="P7:R7"/>
    <mergeCell ref="E35:F35"/>
    <mergeCell ref="H39:I39"/>
    <mergeCell ref="E87:F87"/>
    <mergeCell ref="G9:J9"/>
    <mergeCell ref="H21:I21"/>
    <mergeCell ref="H73:I73"/>
    <mergeCell ref="H157:I157"/>
    <mergeCell ref="D195:E195"/>
    <mergeCell ref="D193:F193"/>
    <mergeCell ref="E138:F138"/>
    <mergeCell ref="E19:F19"/>
    <mergeCell ref="H142:I142"/>
    <mergeCell ref="E155:F155"/>
    <mergeCell ref="H89:I89"/>
    <mergeCell ref="H123:I123"/>
    <mergeCell ref="G5:J5"/>
    <mergeCell ref="B1:C1"/>
    <mergeCell ref="E9:F9"/>
    <mergeCell ref="H108:I108"/>
    <mergeCell ref="H106:I106"/>
    <mergeCell ref="E186:F186"/>
    <mergeCell ref="G183:I183"/>
    <mergeCell ref="E104:F104"/>
    <mergeCell ref="H72:I72"/>
    <mergeCell ref="H174:I174"/>
    <mergeCell ref="H90:I90"/>
    <mergeCell ref="B205:O205"/>
    <mergeCell ref="H57:I57"/>
    <mergeCell ref="G7:J7"/>
    <mergeCell ref="H159:I159"/>
    <mergeCell ref="E36:F36"/>
    <mergeCell ref="H22:I22"/>
    <mergeCell ref="E70:F70"/>
    <mergeCell ref="H140:I140"/>
    <mergeCell ref="H158:I158"/>
    <mergeCell ref="D196:E196"/>
    <mergeCell ref="E172:F172"/>
    <mergeCell ref="C7:D7"/>
    <mergeCell ref="D190:I190"/>
    <mergeCell ref="G3:J3"/>
    <mergeCell ref="E183:F183"/>
    <mergeCell ref="H124:I124"/>
    <mergeCell ref="B201:O201"/>
    <mergeCell ref="E184:F184"/>
    <mergeCell ref="H107:I107"/>
    <mergeCell ref="E53:F53"/>
    <mergeCell ref="B204:O204"/>
    <mergeCell ref="H23:I23"/>
    <mergeCell ref="C3:D3"/>
    <mergeCell ref="P5:T5"/>
    <mergeCell ref="H175:I175"/>
  </mergeCells>
  <conditionalFormatting sqref="B9">
    <cfRule type="containsText" priority="663" operator="containsText" dxfId="680" text="SELECT">
      <formula>NOT(ISERROR(SEARCH("SELECT",B9)))</formula>
    </cfRule>
    <cfRule type="expression" priority="664" dxfId="680">
      <formula>B9="CURRENCY"</formula>
    </cfRule>
  </conditionalFormatting>
  <conditionalFormatting sqref="B11">
    <cfRule type="expression" priority="626" dxfId="637">
      <formula>$B11&lt;&gt;""</formula>
    </cfRule>
  </conditionalFormatting>
  <conditionalFormatting sqref="B14:B23">
    <cfRule type="expression" priority="618" dxfId="633">
      <formula>$J14&gt;0</formula>
    </cfRule>
  </conditionalFormatting>
  <conditionalFormatting sqref="B24">
    <cfRule type="expression" priority="615" dxfId="633">
      <formula>ISNUMBER(SEARCH("UV",$D14))</formula>
    </cfRule>
    <cfRule type="expression" priority="616" dxfId="358">
      <formula>($D14="CANOPY TYPE")</formula>
    </cfRule>
  </conditionalFormatting>
  <conditionalFormatting sqref="B25:B27">
    <cfRule type="expression" priority="443" dxfId="633">
      <formula>$J25&gt;0</formula>
    </cfRule>
  </conditionalFormatting>
  <conditionalFormatting sqref="B28">
    <cfRule type="expression" priority="624" dxfId="637">
      <formula>$B28&lt;&gt;""</formula>
    </cfRule>
  </conditionalFormatting>
  <conditionalFormatting sqref="B31:B40">
    <cfRule type="expression" priority="388" dxfId="633">
      <formula>$J31&gt;0</formula>
    </cfRule>
  </conditionalFormatting>
  <conditionalFormatting sqref="B41">
    <cfRule type="expression" priority="583" dxfId="633">
      <formula>ISNUMBER(SEARCH("UV",$D31))</formula>
    </cfRule>
    <cfRule type="expression" priority="584" dxfId="358">
      <formula>($D31="CANOPY TYPE")</formula>
    </cfRule>
  </conditionalFormatting>
  <conditionalFormatting sqref="B42:B44">
    <cfRule type="expression" priority="585" dxfId="633">
      <formula>$J42&gt;0</formula>
    </cfRule>
  </conditionalFormatting>
  <conditionalFormatting sqref="B45">
    <cfRule type="expression" priority="623" dxfId="637">
      <formula>$B45&lt;&gt;""</formula>
    </cfRule>
  </conditionalFormatting>
  <conditionalFormatting sqref="B48:B57">
    <cfRule type="expression" priority="103" dxfId="633">
      <formula>$J48&gt;0</formula>
    </cfRule>
  </conditionalFormatting>
  <conditionalFormatting sqref="B58">
    <cfRule type="expression" priority="557" dxfId="358">
      <formula>($D48="CANOPY TYPE")</formula>
    </cfRule>
    <cfRule type="expression" priority="556" dxfId="633">
      <formula>ISNUMBER(SEARCH("UV",$D48))</formula>
    </cfRule>
  </conditionalFormatting>
  <conditionalFormatting sqref="B59:B61">
    <cfRule type="expression" priority="442" dxfId="633">
      <formula>$J59&gt;0</formula>
    </cfRule>
  </conditionalFormatting>
  <conditionalFormatting sqref="B62">
    <cfRule type="expression" priority="622" dxfId="637">
      <formula>$B62&lt;&gt;""</formula>
    </cfRule>
  </conditionalFormatting>
  <conditionalFormatting sqref="B65:B74">
    <cfRule type="expression" priority="89" dxfId="633">
      <formula>$J65&gt;0</formula>
    </cfRule>
  </conditionalFormatting>
  <conditionalFormatting sqref="B75">
    <cfRule type="expression" priority="528" dxfId="633">
      <formula>ISNUMBER(SEARCH("UV",$D65))</formula>
    </cfRule>
    <cfRule type="expression" priority="529" dxfId="358">
      <formula>($D65="CANOPY TYPE")</formula>
    </cfRule>
  </conditionalFormatting>
  <conditionalFormatting sqref="B76:B78">
    <cfRule type="expression" priority="441" dxfId="633">
      <formula>$J76&gt;0</formula>
    </cfRule>
  </conditionalFormatting>
  <conditionalFormatting sqref="B79">
    <cfRule type="expression" priority="621" dxfId="637">
      <formula>$B79&lt;&gt;""</formula>
    </cfRule>
  </conditionalFormatting>
  <conditionalFormatting sqref="B82:B91">
    <cfRule type="expression" priority="75" dxfId="633">
      <formula>$J82&gt;0</formula>
    </cfRule>
  </conditionalFormatting>
  <conditionalFormatting sqref="B92">
    <cfRule type="expression" priority="499" dxfId="633">
      <formula>ISNUMBER(SEARCH("UV",$D82))</formula>
    </cfRule>
    <cfRule type="expression" priority="500" dxfId="358">
      <formula>($D82="CANOPY TYPE")</formula>
    </cfRule>
  </conditionalFormatting>
  <conditionalFormatting sqref="B93:B95">
    <cfRule type="expression" priority="440" dxfId="633">
      <formula>$J93&gt;0</formula>
    </cfRule>
  </conditionalFormatting>
  <conditionalFormatting sqref="B96">
    <cfRule type="expression" priority="620" dxfId="637">
      <formula>$B96&lt;&gt;""</formula>
    </cfRule>
  </conditionalFormatting>
  <conditionalFormatting sqref="B99:B108">
    <cfRule type="expression" priority="61" dxfId="633">
      <formula>$J99&gt;0</formula>
    </cfRule>
  </conditionalFormatting>
  <conditionalFormatting sqref="B109">
    <cfRule type="expression" priority="472" dxfId="358">
      <formula>($D99="CANOPY TYPE")</formula>
    </cfRule>
    <cfRule type="expression" priority="471" dxfId="633">
      <formula>ISNUMBER(SEARCH("UV",$D99))</formula>
    </cfRule>
  </conditionalFormatting>
  <conditionalFormatting sqref="B110:B112 B127:B129 B144:B146 B161:B163 B178:B180">
    <cfRule type="expression" priority="439" dxfId="633">
      <formula>$J110&gt;0</formula>
    </cfRule>
  </conditionalFormatting>
  <conditionalFormatting sqref="B113">
    <cfRule type="expression" priority="320" dxfId="637">
      <formula>$B113&lt;&gt;""</formula>
    </cfRule>
  </conditionalFormatting>
  <conditionalFormatting sqref="B116:B125">
    <cfRule type="expression" priority="47" dxfId="633">
      <formula>$J116&gt;0</formula>
    </cfRule>
  </conditionalFormatting>
  <conditionalFormatting sqref="B126">
    <cfRule type="expression" priority="295" dxfId="633">
      <formula>ISNUMBER(SEARCH("UV",$D116))</formula>
    </cfRule>
    <cfRule type="expression" priority="296" dxfId="358">
      <formula>($D116="CANOPY TYPE")</formula>
    </cfRule>
  </conditionalFormatting>
  <conditionalFormatting sqref="B130">
    <cfRule type="expression" priority="265" dxfId="637">
      <formula>$B130&lt;&gt;""</formula>
    </cfRule>
  </conditionalFormatting>
  <conditionalFormatting sqref="B133:B142">
    <cfRule type="expression" priority="33" dxfId="633">
      <formula>$J133&gt;0</formula>
    </cfRule>
  </conditionalFormatting>
  <conditionalFormatting sqref="B143">
    <cfRule type="expression" priority="241" dxfId="358">
      <formula>($D133="CANOPY TYPE")</formula>
    </cfRule>
    <cfRule type="expression" priority="240" dxfId="633">
      <formula>ISNUMBER(SEARCH("UV",$D133))</formula>
    </cfRule>
  </conditionalFormatting>
  <conditionalFormatting sqref="B147">
    <cfRule type="expression" priority="214" dxfId="637">
      <formula>$B147&lt;&gt;""</formula>
    </cfRule>
  </conditionalFormatting>
  <conditionalFormatting sqref="B150:B159">
    <cfRule type="expression" priority="19" dxfId="633">
      <formula>$J150&gt;0</formula>
    </cfRule>
  </conditionalFormatting>
  <conditionalFormatting sqref="B160">
    <cfRule type="expression" priority="190" dxfId="358">
      <formula>($D150="CANOPY TYPE")</formula>
    </cfRule>
    <cfRule type="expression" priority="189" dxfId="633">
      <formula>ISNUMBER(SEARCH("UV",$D150))</formula>
    </cfRule>
  </conditionalFormatting>
  <conditionalFormatting sqref="B164">
    <cfRule type="expression" priority="163" dxfId="637">
      <formula>$B164&lt;&gt;""</formula>
    </cfRule>
  </conditionalFormatting>
  <conditionalFormatting sqref="B167:B176">
    <cfRule type="expression" priority="5" dxfId="633">
      <formula>$J167&gt;0</formula>
    </cfRule>
  </conditionalFormatting>
  <conditionalFormatting sqref="B177">
    <cfRule type="expression" priority="138" dxfId="633">
      <formula>ISNUMBER(SEARCH("UV",$D167))</formula>
    </cfRule>
    <cfRule type="expression" priority="139" dxfId="358">
      <formula>($D167="CANOPY TYPE")</formula>
    </cfRule>
  </conditionalFormatting>
  <conditionalFormatting sqref="B183:B197">
    <cfRule type="expression" priority="617" dxfId="633">
      <formula>$C183&gt;0</formula>
    </cfRule>
  </conditionalFormatting>
  <conditionalFormatting sqref="C14">
    <cfRule type="containsText" priority="429" operator="containsText" dxfId="204" text="CONFIG">
      <formula>NOT(ISERROR(SEARCH("CONFIG",C14)))</formula>
    </cfRule>
  </conditionalFormatting>
  <conditionalFormatting sqref="C15">
    <cfRule type="containsText" priority="434" operator="containsText" dxfId="561" text="LIGHT SELECTION">
      <formula>NOT(ISERROR(SEARCH("LIGHT SELECTION",C15)))</formula>
    </cfRule>
  </conditionalFormatting>
  <conditionalFormatting sqref="C20:C21">
    <cfRule type="cellIs" priority="669" operator="lessThan" dxfId="561">
      <formula>1</formula>
    </cfRule>
  </conditionalFormatting>
  <conditionalFormatting sqref="C22:C23">
    <cfRule type="expression" priority="409" dxfId="383">
      <formula>D22="WW PODS"</formula>
    </cfRule>
  </conditionalFormatting>
  <conditionalFormatting sqref="C24">
    <cfRule type="expression" priority="686" dxfId="559">
      <formula>ISNUMBER(SEARCH("UV",D14))</formula>
    </cfRule>
  </conditionalFormatting>
  <conditionalFormatting sqref="C25">
    <cfRule type="expression" priority="651" dxfId="472">
      <formula>(ISNUMBER(SEARCH("CMW",D14)))=TRUE</formula>
    </cfRule>
  </conditionalFormatting>
  <conditionalFormatting sqref="C26">
    <cfRule type="expression" priority="650" dxfId="472">
      <formula>(ISNUMBER(SEARCH("CMW",D14)))=TRUE</formula>
    </cfRule>
  </conditionalFormatting>
  <conditionalFormatting sqref="C27">
    <cfRule type="expression" priority="619" dxfId="472">
      <formula>(ISNUMBER(SEARCH("CMW",$D14)))=TRUE</formula>
    </cfRule>
  </conditionalFormatting>
  <conditionalFormatting sqref="C31">
    <cfRule type="containsText" priority="594" operator="containsText" dxfId="204" text="CONFIG">
      <formula>NOT(ISERROR(SEARCH("CONFIG",C31)))</formula>
    </cfRule>
  </conditionalFormatting>
  <conditionalFormatting sqref="C32">
    <cfRule type="containsText" priority="436" operator="containsText" dxfId="561" text="LIGHT SELECTION">
      <formula>NOT(ISERROR(SEARCH("LIGHT SELECTION",C32)))</formula>
    </cfRule>
  </conditionalFormatting>
  <conditionalFormatting sqref="C37:C38">
    <cfRule type="cellIs" priority="593" operator="lessThan" dxfId="561">
      <formula>1</formula>
    </cfRule>
  </conditionalFormatting>
  <conditionalFormatting sqref="C39:C40">
    <cfRule type="expression" priority="387" dxfId="383">
      <formula>D39="WW PODS"</formula>
    </cfRule>
  </conditionalFormatting>
  <conditionalFormatting sqref="C41">
    <cfRule type="expression" priority="608" dxfId="559">
      <formula>ISNUMBER(SEARCH("UV",D31))</formula>
    </cfRule>
  </conditionalFormatting>
  <conditionalFormatting sqref="C42">
    <cfRule type="expression" priority="591" dxfId="472">
      <formula>(ISNUMBER(SEARCH("CMW",D31)))=TRUE</formula>
    </cfRule>
  </conditionalFormatting>
  <conditionalFormatting sqref="C43">
    <cfRule type="expression" priority="468" dxfId="472">
      <formula>(ISNUMBER(SEARCH("CMW",D31)))=TRUE</formula>
    </cfRule>
  </conditionalFormatting>
  <conditionalFormatting sqref="C44">
    <cfRule type="expression" priority="586" dxfId="472">
      <formula>(ISNUMBER(SEARCH("CMW",$D31)))=TRUE</formula>
    </cfRule>
  </conditionalFormatting>
  <conditionalFormatting sqref="C48">
    <cfRule type="containsText" priority="563" operator="containsText" dxfId="204" text="CONFIG">
      <formula>NOT(ISERROR(SEARCH("CONFIG",C48)))</formula>
    </cfRule>
  </conditionalFormatting>
  <conditionalFormatting sqref="C49">
    <cfRule type="containsText" priority="433" operator="containsText" dxfId="561" text="LIGHT SELECTION">
      <formula>NOT(ISERROR(SEARCH("LIGHT SELECTION",C49)))</formula>
    </cfRule>
  </conditionalFormatting>
  <conditionalFormatting sqref="C54:C55">
    <cfRule type="cellIs" priority="562" operator="lessThan" dxfId="561">
      <formula>1</formula>
    </cfRule>
  </conditionalFormatting>
  <conditionalFormatting sqref="C56:C57">
    <cfRule type="expression" priority="368" dxfId="383">
      <formula>D56="WW PODS"</formula>
    </cfRule>
  </conditionalFormatting>
  <conditionalFormatting sqref="C58">
    <cfRule type="expression" priority="576" dxfId="559">
      <formula>ISNUMBER(SEARCH("UV",D48))</formula>
    </cfRule>
  </conditionalFormatting>
  <conditionalFormatting sqref="C59">
    <cfRule type="expression" priority="560" dxfId="472">
      <formula>(ISNUMBER(SEARCH("CMW",D48)))=TRUE</formula>
    </cfRule>
  </conditionalFormatting>
  <conditionalFormatting sqref="C60">
    <cfRule type="expression" priority="467" dxfId="472">
      <formula>(ISNUMBER(SEARCH("CMW",D48)))=TRUE</formula>
    </cfRule>
  </conditionalFormatting>
  <conditionalFormatting sqref="C61">
    <cfRule type="expression" priority="558" dxfId="472">
      <formula>(ISNUMBER(SEARCH("CMW",$D48)))=TRUE</formula>
    </cfRule>
  </conditionalFormatting>
  <conditionalFormatting sqref="C65">
    <cfRule type="containsText" priority="536" operator="containsText" dxfId="204" text="CONFIG">
      <formula>NOT(ISERROR(SEARCH("CONFIG",C65)))</formula>
    </cfRule>
  </conditionalFormatting>
  <conditionalFormatting sqref="C66">
    <cfRule type="containsText" priority="432" operator="containsText" dxfId="561" text="LIGHT SELECTION">
      <formula>NOT(ISERROR(SEARCH("LIGHT SELECTION",C66)))</formula>
    </cfRule>
  </conditionalFormatting>
  <conditionalFormatting sqref="C71:C72">
    <cfRule type="cellIs" priority="535" operator="lessThan" dxfId="561">
      <formula>1</formula>
    </cfRule>
  </conditionalFormatting>
  <conditionalFormatting sqref="C73:C74">
    <cfRule type="expression" priority="353" dxfId="383">
      <formula>D73="WW PODS"</formula>
    </cfRule>
  </conditionalFormatting>
  <conditionalFormatting sqref="C75">
    <cfRule type="expression" priority="549" dxfId="559">
      <formula>ISNUMBER(SEARCH("UV",D65))</formula>
    </cfRule>
  </conditionalFormatting>
  <conditionalFormatting sqref="C76">
    <cfRule type="expression" priority="532" dxfId="472">
      <formula>(ISNUMBER(SEARCH("CMW",D65)))=TRUE</formula>
    </cfRule>
  </conditionalFormatting>
  <conditionalFormatting sqref="C77">
    <cfRule type="expression" priority="466" dxfId="472">
      <formula>(ISNUMBER(SEARCH("CMW",D65)))=TRUE</formula>
    </cfRule>
  </conditionalFormatting>
  <conditionalFormatting sqref="C78">
    <cfRule type="expression" priority="530" dxfId="472">
      <formula>(ISNUMBER(SEARCH("CMW",$D65)))=TRUE</formula>
    </cfRule>
  </conditionalFormatting>
  <conditionalFormatting sqref="C82">
    <cfRule type="containsText" priority="507" operator="containsText" dxfId="204" text="CONFIG">
      <formula>NOT(ISERROR(SEARCH("CONFIG",C82)))</formula>
    </cfRule>
  </conditionalFormatting>
  <conditionalFormatting sqref="C83">
    <cfRule type="containsText" priority="431" operator="containsText" dxfId="561" text="LIGHT SELECTION">
      <formula>NOT(ISERROR(SEARCH("LIGHT SELECTION",C83)))</formula>
    </cfRule>
  </conditionalFormatting>
  <conditionalFormatting sqref="C88:C89">
    <cfRule type="cellIs" priority="506" operator="lessThan" dxfId="561">
      <formula>1</formula>
    </cfRule>
  </conditionalFormatting>
  <conditionalFormatting sqref="C90:C91">
    <cfRule type="expression" priority="338" dxfId="383">
      <formula>D90="WW PODS"</formula>
    </cfRule>
  </conditionalFormatting>
  <conditionalFormatting sqref="C92">
    <cfRule type="expression" priority="521" dxfId="559">
      <formula>ISNUMBER(SEARCH("UV",D82))</formula>
    </cfRule>
  </conditionalFormatting>
  <conditionalFormatting sqref="C93">
    <cfRule type="expression" priority="503" dxfId="472">
      <formula>(ISNUMBER(SEARCH("CMW",D82)))=TRUE</formula>
    </cfRule>
  </conditionalFormatting>
  <conditionalFormatting sqref="C94">
    <cfRule type="expression" priority="465" dxfId="472">
      <formula>(ISNUMBER(SEARCH("CMW",D82)))=TRUE</formula>
    </cfRule>
  </conditionalFormatting>
  <conditionalFormatting sqref="C95">
    <cfRule type="expression" priority="501" dxfId="472">
      <formula>(ISNUMBER(SEARCH("CMW",$D82)))=TRUE</formula>
    </cfRule>
  </conditionalFormatting>
  <conditionalFormatting sqref="C99">
    <cfRule type="containsText" priority="478" operator="containsText" dxfId="204" text="CONFIG">
      <formula>NOT(ISERROR(SEARCH("CONFIG",C99)))</formula>
    </cfRule>
  </conditionalFormatting>
  <conditionalFormatting sqref="C100">
    <cfRule type="containsText" priority="430" operator="containsText" dxfId="561" text="LIGHT SELECTION">
      <formula>NOT(ISERROR(SEARCH("LIGHT SELECTION",C100)))</formula>
    </cfRule>
  </conditionalFormatting>
  <conditionalFormatting sqref="C105:C106">
    <cfRule type="cellIs" priority="477" operator="lessThan" dxfId="561">
      <formula>1</formula>
    </cfRule>
  </conditionalFormatting>
  <conditionalFormatting sqref="C107:C108">
    <cfRule type="expression" priority="323" dxfId="383">
      <formula>D107="WW PODS"</formula>
    </cfRule>
  </conditionalFormatting>
  <conditionalFormatting sqref="C109">
    <cfRule type="expression" priority="492" dxfId="559">
      <formula>ISNUMBER(SEARCH("UV",D99))</formula>
    </cfRule>
  </conditionalFormatting>
  <conditionalFormatting sqref="C110">
    <cfRule type="expression" priority="475" dxfId="472">
      <formula>(ISNUMBER(SEARCH("CMW",D99)))=TRUE</formula>
    </cfRule>
  </conditionalFormatting>
  <conditionalFormatting sqref="C111">
    <cfRule type="expression" priority="464" dxfId="472">
      <formula>(ISNUMBER(SEARCH("CMW",D99)))=TRUE</formula>
    </cfRule>
  </conditionalFormatting>
  <conditionalFormatting sqref="C112 C129 C146 C163 C180">
    <cfRule type="expression" priority="473" dxfId="472">
      <formula>(ISNUMBER(SEARCH("CMW",$D99)))=TRUE</formula>
    </cfRule>
  </conditionalFormatting>
  <conditionalFormatting sqref="C116">
    <cfRule type="containsText" priority="301" operator="containsText" dxfId="204" text="CONFIG">
      <formula>NOT(ISERROR(SEARCH("CONFIG",C116)))</formula>
    </cfRule>
  </conditionalFormatting>
  <conditionalFormatting sqref="C117">
    <cfRule type="containsText" priority="288" operator="containsText" dxfId="561" text="LIGHT SELECTION">
      <formula>NOT(ISERROR(SEARCH("LIGHT SELECTION",C117)))</formula>
    </cfRule>
  </conditionalFormatting>
  <conditionalFormatting sqref="C122:C123">
    <cfRule type="cellIs" priority="300" operator="lessThan" dxfId="561">
      <formula>1</formula>
    </cfRule>
  </conditionalFormatting>
  <conditionalFormatting sqref="C124:C125">
    <cfRule type="expression" priority="272" dxfId="383">
      <formula>D124="WW PODS"</formula>
    </cfRule>
  </conditionalFormatting>
  <conditionalFormatting sqref="C126">
    <cfRule type="expression" priority="315" dxfId="559">
      <formula>ISNUMBER(SEARCH("UV",D116))</formula>
    </cfRule>
  </conditionalFormatting>
  <conditionalFormatting sqref="C127">
    <cfRule type="expression" priority="298" dxfId="472">
      <formula>(ISNUMBER(SEARCH("CMW",D116)))=TRUE</formula>
    </cfRule>
  </conditionalFormatting>
  <conditionalFormatting sqref="C128">
    <cfRule type="expression" priority="293" dxfId="472">
      <formula>(ISNUMBER(SEARCH("CMW",D116)))=TRUE</formula>
    </cfRule>
  </conditionalFormatting>
  <conditionalFormatting sqref="C133">
    <cfRule type="containsText" priority="246" operator="containsText" dxfId="204" text="CONFIG">
      <formula>NOT(ISERROR(SEARCH("CONFIG",C133)))</formula>
    </cfRule>
  </conditionalFormatting>
  <conditionalFormatting sqref="C134">
    <cfRule type="containsText" priority="233" operator="containsText" dxfId="561" text="LIGHT SELECTION">
      <formula>NOT(ISERROR(SEARCH("LIGHT SELECTION",C134)))</formula>
    </cfRule>
  </conditionalFormatting>
  <conditionalFormatting sqref="C139:C140">
    <cfRule type="cellIs" priority="245" operator="lessThan" dxfId="561">
      <formula>1</formula>
    </cfRule>
  </conditionalFormatting>
  <conditionalFormatting sqref="C141:C142">
    <cfRule type="expression" priority="217" dxfId="383">
      <formula>D141="WW PODS"</formula>
    </cfRule>
  </conditionalFormatting>
  <conditionalFormatting sqref="C143">
    <cfRule type="expression" priority="260" dxfId="559">
      <formula>ISNUMBER(SEARCH("UV",D133))</formula>
    </cfRule>
  </conditionalFormatting>
  <conditionalFormatting sqref="C144">
    <cfRule type="expression" priority="243" dxfId="472">
      <formula>(ISNUMBER(SEARCH("CMW",D133)))=TRUE</formula>
    </cfRule>
  </conditionalFormatting>
  <conditionalFormatting sqref="C145">
    <cfRule type="expression" priority="238" dxfId="472">
      <formula>(ISNUMBER(SEARCH("CMW",D133)))=TRUE</formula>
    </cfRule>
  </conditionalFormatting>
  <conditionalFormatting sqref="C150">
    <cfRule type="containsText" priority="195" operator="containsText" dxfId="204" text="CONFIG">
      <formula>NOT(ISERROR(SEARCH("CONFIG",C150)))</formula>
    </cfRule>
  </conditionalFormatting>
  <conditionalFormatting sqref="C151">
    <cfRule type="containsText" priority="182" operator="containsText" dxfId="561" text="LIGHT SELECTION">
      <formula>NOT(ISERROR(SEARCH("LIGHT SELECTION",C151)))</formula>
    </cfRule>
  </conditionalFormatting>
  <conditionalFormatting sqref="C156:C157">
    <cfRule type="cellIs" priority="194" operator="lessThan" dxfId="561">
      <formula>1</formula>
    </cfRule>
  </conditionalFormatting>
  <conditionalFormatting sqref="C158:C159">
    <cfRule type="expression" priority="166" dxfId="383">
      <formula>D158="WW PODS"</formula>
    </cfRule>
  </conditionalFormatting>
  <conditionalFormatting sqref="C160">
    <cfRule type="expression" priority="209" dxfId="559">
      <formula>ISNUMBER(SEARCH("UV",D150))</formula>
    </cfRule>
  </conditionalFormatting>
  <conditionalFormatting sqref="C161">
    <cfRule type="expression" priority="192" dxfId="472">
      <formula>(ISNUMBER(SEARCH("CMW",D150)))=TRUE</formula>
    </cfRule>
  </conditionalFormatting>
  <conditionalFormatting sqref="C162">
    <cfRule type="expression" priority="187" dxfId="472">
      <formula>(ISNUMBER(SEARCH("CMW",D150)))=TRUE</formula>
    </cfRule>
  </conditionalFormatting>
  <conditionalFormatting sqref="C167">
    <cfRule type="containsText" priority="144" operator="containsText" dxfId="204" text="CONFIG">
      <formula>NOT(ISERROR(SEARCH("CONFIG",C167)))</formula>
    </cfRule>
  </conditionalFormatting>
  <conditionalFormatting sqref="C168">
    <cfRule type="containsText" priority="131" operator="containsText" dxfId="561" text="LIGHT SELECTION">
      <formula>NOT(ISERROR(SEARCH("LIGHT SELECTION",C168)))</formula>
    </cfRule>
  </conditionalFormatting>
  <conditionalFormatting sqref="C173:C174">
    <cfRule type="cellIs" priority="143" operator="lessThan" dxfId="561">
      <formula>1</formula>
    </cfRule>
  </conditionalFormatting>
  <conditionalFormatting sqref="C175:C176">
    <cfRule type="expression" priority="115" dxfId="383">
      <formula>D175="WW PODS"</formula>
    </cfRule>
  </conditionalFormatting>
  <conditionalFormatting sqref="C177">
    <cfRule type="expression" priority="158" dxfId="559">
      <formula>ISNUMBER(SEARCH("UV",D167))</formula>
    </cfRule>
  </conditionalFormatting>
  <conditionalFormatting sqref="C178">
    <cfRule type="expression" priority="141" dxfId="472">
      <formula>(ISNUMBER(SEARCH("CMW",D167)))=TRUE</formula>
    </cfRule>
  </conditionalFormatting>
  <conditionalFormatting sqref="C179">
    <cfRule type="expression" priority="136" dxfId="472">
      <formula>(ISNUMBER(SEARCH("CMW",D167)))=TRUE</formula>
    </cfRule>
  </conditionalFormatting>
  <conditionalFormatting sqref="C183:C184">
    <cfRule type="cellIs" priority="671" operator="lessThan" dxfId="554">
      <formula>1</formula>
    </cfRule>
  </conditionalFormatting>
  <conditionalFormatting sqref="C185">
    <cfRule type="cellIs" priority="660" operator="lessThan" dxfId="164">
      <formula>1</formula>
    </cfRule>
  </conditionalFormatting>
  <conditionalFormatting sqref="C186:C197">
    <cfRule type="cellIs" priority="270" operator="lessThan" dxfId="554">
      <formula>1</formula>
    </cfRule>
  </conditionalFormatting>
  <conditionalFormatting sqref="C9:D9">
    <cfRule type="cellIs" priority="661" operator="lessThan" dxfId="207">
      <formula>0</formula>
    </cfRule>
    <cfRule type="cellIs" priority="662" operator="greaterThan" dxfId="552">
      <formula>0</formula>
    </cfRule>
  </conditionalFormatting>
  <conditionalFormatting sqref="D14">
    <cfRule type="containsText" priority="672" operator="containsText" dxfId="164" text="CANOPY TYPE">
      <formula>NOT(ISERROR(SEARCH("CANOPY TYPE",D14)))</formula>
    </cfRule>
  </conditionalFormatting>
  <conditionalFormatting sqref="D15">
    <cfRule type="expression" priority="425" dxfId="206">
      <formula>(C15="LIGHT SELECTION")</formula>
    </cfRule>
  </conditionalFormatting>
  <conditionalFormatting sqref="D16:D18">
    <cfRule type="expression" priority="627" dxfId="206">
      <formula>($C16="SELECT WORKS")</formula>
    </cfRule>
  </conditionalFormatting>
  <conditionalFormatting sqref="D19">
    <cfRule type="expression" priority="269" dxfId="206">
      <formula>$C19="SELECT CLADDING"</formula>
    </cfRule>
  </conditionalFormatting>
  <conditionalFormatting sqref="D22:D23">
    <cfRule type="expression" priority="408" dxfId="358">
      <formula>($D$14="CANOPY TYPE")</formula>
    </cfRule>
  </conditionalFormatting>
  <conditionalFormatting sqref="D24">
    <cfRule type="expression" priority="685" dxfId="474">
      <formula>ISNUMBER(SEARCH("UV",D14))</formula>
    </cfRule>
  </conditionalFormatting>
  <conditionalFormatting sqref="D25">
    <cfRule type="expression" priority="613" dxfId="358">
      <formula>($D$14="CANOPY TYPE")</formula>
    </cfRule>
  </conditionalFormatting>
  <conditionalFormatting sqref="D26">
    <cfRule type="expression" priority="635" dxfId="472">
      <formula>(ISNUMBER(SEARCH("CMW",D14)))=TRUE</formula>
    </cfRule>
  </conditionalFormatting>
  <conditionalFormatting sqref="D31">
    <cfRule type="containsText" priority="595" operator="containsText" dxfId="164" text="CANOPY TYPE">
      <formula>NOT(ISERROR(SEARCH("CANOPY TYPE",D31)))</formula>
    </cfRule>
  </conditionalFormatting>
  <conditionalFormatting sqref="D32">
    <cfRule type="expression" priority="438" dxfId="206">
      <formula>(C32="LIGHT SELECTION")</formula>
    </cfRule>
  </conditionalFormatting>
  <conditionalFormatting sqref="D33:D35">
    <cfRule type="expression" priority="588" dxfId="206">
      <formula>($C33="SELECT WORKS")</formula>
    </cfRule>
  </conditionalFormatting>
  <conditionalFormatting sqref="D36">
    <cfRule type="expression" priority="417" dxfId="206">
      <formula>$C36="SELECT CLADDING"</formula>
    </cfRule>
  </conditionalFormatting>
  <conditionalFormatting sqref="D39:D40">
    <cfRule type="expression" priority="382" dxfId="358">
      <formula>($D$14="CANOPY TYPE")</formula>
    </cfRule>
  </conditionalFormatting>
  <conditionalFormatting sqref="D41">
    <cfRule type="expression" priority="607" dxfId="474">
      <formula>ISNUMBER(SEARCH("UV",D31))</formula>
    </cfRule>
  </conditionalFormatting>
  <conditionalFormatting sqref="D42">
    <cfRule type="expression" priority="581" dxfId="358">
      <formula>($D$14="CANOPY TYPE")</formula>
    </cfRule>
  </conditionalFormatting>
  <conditionalFormatting sqref="D43">
    <cfRule type="expression" priority="590" dxfId="472">
      <formula>(ISNUMBER(SEARCH("CMW",D31)))=TRUE</formula>
    </cfRule>
  </conditionalFormatting>
  <conditionalFormatting sqref="D48">
    <cfRule type="containsText" priority="420" operator="containsText" dxfId="164" text="CANOPY TYPE">
      <formula>NOT(ISERROR(SEARCH("CANOPY TYPE",D48)))</formula>
    </cfRule>
  </conditionalFormatting>
  <conditionalFormatting sqref="D49">
    <cfRule type="expression" priority="435" dxfId="206">
      <formula>(C15="LIGHT SELECTION")</formula>
    </cfRule>
  </conditionalFormatting>
  <conditionalFormatting sqref="D50:D52">
    <cfRule type="expression" priority="111" dxfId="206">
      <formula>($C50="SELECT WORKS")</formula>
    </cfRule>
  </conditionalFormatting>
  <conditionalFormatting sqref="D53">
    <cfRule type="expression" priority="418" dxfId="206">
      <formula>$C53="SELECT CLADDING"</formula>
    </cfRule>
  </conditionalFormatting>
  <conditionalFormatting sqref="D56:D57">
    <cfRule type="expression" priority="367" dxfId="358">
      <formula>($D$14="CANOPY TYPE")</formula>
    </cfRule>
  </conditionalFormatting>
  <conditionalFormatting sqref="D58">
    <cfRule type="expression" priority="575" dxfId="474">
      <formula>ISNUMBER(SEARCH("UV",D48))</formula>
    </cfRule>
  </conditionalFormatting>
  <conditionalFormatting sqref="D59">
    <cfRule type="expression" priority="554" dxfId="358">
      <formula>($D$14="CANOPY TYPE")</formula>
    </cfRule>
  </conditionalFormatting>
  <conditionalFormatting sqref="D60">
    <cfRule type="expression" priority="559" dxfId="472">
      <formula>(ISNUMBER(SEARCH("CMW",D48)))=TRUE</formula>
    </cfRule>
  </conditionalFormatting>
  <conditionalFormatting sqref="D65">
    <cfRule type="containsText" priority="419" operator="containsText" dxfId="164" text="CANOPY TYPE">
      <formula>NOT(ISERROR(SEARCH("CANOPY TYPE",D65)))</formula>
    </cfRule>
  </conditionalFormatting>
  <conditionalFormatting sqref="D66">
    <cfRule type="expression" priority="428" dxfId="206">
      <formula>(C66="LIGHT SELECTION")</formula>
    </cfRule>
  </conditionalFormatting>
  <conditionalFormatting sqref="D67:D69">
    <cfRule type="expression" priority="97" dxfId="206">
      <formula>($C67="SELECT WORKS")</formula>
    </cfRule>
  </conditionalFormatting>
  <conditionalFormatting sqref="D70">
    <cfRule type="expression" priority="533" dxfId="206">
      <formula>$C70="SELECT CLADDING"</formula>
    </cfRule>
  </conditionalFormatting>
  <conditionalFormatting sqref="D73:D74">
    <cfRule type="expression" priority="352" dxfId="358">
      <formula>($D$14="CANOPY TYPE")</formula>
    </cfRule>
  </conditionalFormatting>
  <conditionalFormatting sqref="D75">
    <cfRule type="expression" priority="548" dxfId="474">
      <formula>ISNUMBER(SEARCH("UV",D65))</formula>
    </cfRule>
  </conditionalFormatting>
  <conditionalFormatting sqref="D76">
    <cfRule type="expression" priority="526" dxfId="358">
      <formula>($D$14="CANOPY TYPE")</formula>
    </cfRule>
  </conditionalFormatting>
  <conditionalFormatting sqref="D77">
    <cfRule type="expression" priority="531" dxfId="472">
      <formula>(ISNUMBER(SEARCH("CMW",D65)))=TRUE</formula>
    </cfRule>
  </conditionalFormatting>
  <conditionalFormatting sqref="D82">
    <cfRule type="containsText" priority="508" operator="containsText" dxfId="164" text="CANOPY TYPE">
      <formula>NOT(ISERROR(SEARCH("CANOPY TYPE",D82)))</formula>
    </cfRule>
  </conditionalFormatting>
  <conditionalFormatting sqref="D83">
    <cfRule type="expression" priority="427" dxfId="206">
      <formula>(C83="LIGHT SELECTION")</formula>
    </cfRule>
  </conditionalFormatting>
  <conditionalFormatting sqref="D84:D86">
    <cfRule type="expression" priority="83" dxfId="206">
      <formula>($C84="SELECT WORKS")</formula>
    </cfRule>
  </conditionalFormatting>
  <conditionalFormatting sqref="D87">
    <cfRule type="expression" priority="504" dxfId="206">
      <formula>$C87="SELECT CLADDING"</formula>
    </cfRule>
  </conditionalFormatting>
  <conditionalFormatting sqref="D90:D91">
    <cfRule type="expression" priority="337" dxfId="358">
      <formula>($D$14="CANOPY TYPE")</formula>
    </cfRule>
  </conditionalFormatting>
  <conditionalFormatting sqref="D92">
    <cfRule type="expression" priority="520" dxfId="474">
      <formula>ISNUMBER(SEARCH("UV",D82))</formula>
    </cfRule>
  </conditionalFormatting>
  <conditionalFormatting sqref="D93">
    <cfRule type="expression" priority="497" dxfId="358">
      <formula>($D$14="CANOPY TYPE")</formula>
    </cfRule>
  </conditionalFormatting>
  <conditionalFormatting sqref="D94">
    <cfRule type="expression" priority="502" dxfId="472">
      <formula>(ISNUMBER(SEARCH("CMW",D82)))=TRUE</formula>
    </cfRule>
  </conditionalFormatting>
  <conditionalFormatting sqref="D99">
    <cfRule type="containsText" priority="479" operator="containsText" dxfId="164" text="CANOPY TYPE">
      <formula>NOT(ISERROR(SEARCH("CANOPY TYPE",D99)))</formula>
    </cfRule>
  </conditionalFormatting>
  <conditionalFormatting sqref="D100">
    <cfRule type="expression" priority="426" dxfId="206">
      <formula>(C100="LIGHT SELECTION")</formula>
    </cfRule>
  </conditionalFormatting>
  <conditionalFormatting sqref="D101:D103">
    <cfRule type="expression" priority="69" dxfId="206">
      <formula>($C101="SELECT WORKS")</formula>
    </cfRule>
  </conditionalFormatting>
  <conditionalFormatting sqref="D104">
    <cfRule type="expression" priority="416" dxfId="206">
      <formula>$C104="SELECT CLADDING"</formula>
    </cfRule>
  </conditionalFormatting>
  <conditionalFormatting sqref="D107:D108">
    <cfRule type="expression" priority="322" dxfId="358">
      <formula>($D$14="CANOPY TYPE")</formula>
    </cfRule>
  </conditionalFormatting>
  <conditionalFormatting sqref="D109">
    <cfRule type="expression" priority="491" dxfId="474">
      <formula>ISNUMBER(SEARCH("UV",D99))</formula>
    </cfRule>
  </conditionalFormatting>
  <conditionalFormatting sqref="D110">
    <cfRule type="expression" priority="469" dxfId="358">
      <formula>($D$14="CANOPY TYPE")</formula>
    </cfRule>
  </conditionalFormatting>
  <conditionalFormatting sqref="D111">
    <cfRule type="expression" priority="474" dxfId="472">
      <formula>(ISNUMBER(SEARCH("CMW",D99)))=TRUE</formula>
    </cfRule>
  </conditionalFormatting>
  <conditionalFormatting sqref="D116">
    <cfRule type="containsText" priority="302" operator="containsText" dxfId="164" text="CANOPY TYPE">
      <formula>NOT(ISERROR(SEARCH("CANOPY TYPE",D116)))</formula>
    </cfRule>
  </conditionalFormatting>
  <conditionalFormatting sqref="D117">
    <cfRule type="expression" priority="287" dxfId="206">
      <formula>(C117="LIGHT SELECTION")</formula>
    </cfRule>
  </conditionalFormatting>
  <conditionalFormatting sqref="D118:D120">
    <cfRule type="expression" priority="55" dxfId="206">
      <formula>($C118="SELECT WORKS")</formula>
    </cfRule>
  </conditionalFormatting>
  <conditionalFormatting sqref="D121">
    <cfRule type="expression" priority="286" dxfId="206">
      <formula>$C121="SELECT CLADDING"</formula>
    </cfRule>
  </conditionalFormatting>
  <conditionalFormatting sqref="D124:D125">
    <cfRule type="expression" priority="271" dxfId="358">
      <formula>($D$14="CANOPY TYPE")</formula>
    </cfRule>
  </conditionalFormatting>
  <conditionalFormatting sqref="D126">
    <cfRule type="expression" priority="314" dxfId="474">
      <formula>ISNUMBER(SEARCH("UV",D116))</formula>
    </cfRule>
  </conditionalFormatting>
  <conditionalFormatting sqref="D127">
    <cfRule type="expression" priority="294" dxfId="358">
      <formula>($D$14="CANOPY TYPE")</formula>
    </cfRule>
  </conditionalFormatting>
  <conditionalFormatting sqref="D128">
    <cfRule type="expression" priority="297" dxfId="472">
      <formula>(ISNUMBER(SEARCH("CMW",D116)))=TRUE</formula>
    </cfRule>
  </conditionalFormatting>
  <conditionalFormatting sqref="D133">
    <cfRule type="containsText" priority="247" operator="containsText" dxfId="164" text="CANOPY TYPE">
      <formula>NOT(ISERROR(SEARCH("CANOPY TYPE",D133)))</formula>
    </cfRule>
  </conditionalFormatting>
  <conditionalFormatting sqref="D134">
    <cfRule type="expression" priority="232" dxfId="206">
      <formula>(C134="LIGHT SELECTION")</formula>
    </cfRule>
  </conditionalFormatting>
  <conditionalFormatting sqref="D135:D137">
    <cfRule type="expression" priority="41" dxfId="206">
      <formula>($C135="SELECT WORKS")</formula>
    </cfRule>
  </conditionalFormatting>
  <conditionalFormatting sqref="D138">
    <cfRule type="expression" priority="231" dxfId="206">
      <formula>$C138="SELECT CLADDING"</formula>
    </cfRule>
  </conditionalFormatting>
  <conditionalFormatting sqref="D141:D142">
    <cfRule type="expression" priority="216" dxfId="358">
      <formula>($D$14="CANOPY TYPE")</formula>
    </cfRule>
  </conditionalFormatting>
  <conditionalFormatting sqref="D143">
    <cfRule type="expression" priority="259" dxfId="474">
      <formula>ISNUMBER(SEARCH("UV",D133))</formula>
    </cfRule>
  </conditionalFormatting>
  <conditionalFormatting sqref="D144">
    <cfRule type="expression" priority="239" dxfId="358">
      <formula>($D$14="CANOPY TYPE")</formula>
    </cfRule>
  </conditionalFormatting>
  <conditionalFormatting sqref="D145">
    <cfRule type="expression" priority="242" dxfId="472">
      <formula>(ISNUMBER(SEARCH("CMW",D133)))=TRUE</formula>
    </cfRule>
  </conditionalFormatting>
  <conditionalFormatting sqref="D150">
    <cfRule type="containsText" priority="196" operator="containsText" dxfId="164" text="CANOPY TYPE">
      <formula>NOT(ISERROR(SEARCH("CANOPY TYPE",D150)))</formula>
    </cfRule>
  </conditionalFormatting>
  <conditionalFormatting sqref="D151">
    <cfRule type="expression" priority="181" dxfId="206">
      <formula>(C151="LIGHT SELECTION")</formula>
    </cfRule>
  </conditionalFormatting>
  <conditionalFormatting sqref="D152:D154">
    <cfRule type="expression" priority="27" dxfId="206">
      <formula>($C152="SELECT WORKS")</formula>
    </cfRule>
  </conditionalFormatting>
  <conditionalFormatting sqref="D155">
    <cfRule type="expression" priority="180" dxfId="206">
      <formula>$C155="SELECT CLADDING"</formula>
    </cfRule>
  </conditionalFormatting>
  <conditionalFormatting sqref="D158:D159">
    <cfRule type="expression" priority="165" dxfId="358">
      <formula>($D$14="CANOPY TYPE")</formula>
    </cfRule>
  </conditionalFormatting>
  <conditionalFormatting sqref="D160">
    <cfRule type="expression" priority="208" dxfId="474">
      <formula>ISNUMBER(SEARCH("UV",D150))</formula>
    </cfRule>
  </conditionalFormatting>
  <conditionalFormatting sqref="D161">
    <cfRule type="expression" priority="188" dxfId="358">
      <formula>($D$14="CANOPY TYPE")</formula>
    </cfRule>
  </conditionalFormatting>
  <conditionalFormatting sqref="D162">
    <cfRule type="expression" priority="191" dxfId="472">
      <formula>(ISNUMBER(SEARCH("CMW",D150)))=TRUE</formula>
    </cfRule>
  </conditionalFormatting>
  <conditionalFormatting sqref="D167">
    <cfRule type="containsText" priority="145" operator="containsText" dxfId="164" text="CANOPY TYPE">
      <formula>NOT(ISERROR(SEARCH("CANOPY TYPE",D167)))</formula>
    </cfRule>
  </conditionalFormatting>
  <conditionalFormatting sqref="D168">
    <cfRule type="expression" priority="130" dxfId="206">
      <formula>(C168="LIGHT SELECTION")</formula>
    </cfRule>
  </conditionalFormatting>
  <conditionalFormatting sqref="D169:D171">
    <cfRule type="expression" priority="13" dxfId="206">
      <formula>($C169="SELECT WORKS")</formula>
    </cfRule>
  </conditionalFormatting>
  <conditionalFormatting sqref="D172">
    <cfRule type="expression" priority="129" dxfId="206">
      <formula>$C172="SELECT CLADDING"</formula>
    </cfRule>
  </conditionalFormatting>
  <conditionalFormatting sqref="D175:D176">
    <cfRule type="expression" priority="114" dxfId="358">
      <formula>($D$14="CANOPY TYPE")</formula>
    </cfRule>
  </conditionalFormatting>
  <conditionalFormatting sqref="D177">
    <cfRule type="expression" priority="157" dxfId="474">
      <formula>ISNUMBER(SEARCH("UV",D167))</formula>
    </cfRule>
  </conditionalFormatting>
  <conditionalFormatting sqref="D178">
    <cfRule type="expression" priority="137" dxfId="358">
      <formula>($D$14="CANOPY TYPE")</formula>
    </cfRule>
  </conditionalFormatting>
  <conditionalFormatting sqref="D179">
    <cfRule type="expression" priority="140" dxfId="472">
      <formula>(ISNUMBER(SEARCH("CMW",D167)))=TRUE</formula>
    </cfRule>
  </conditionalFormatting>
  <conditionalFormatting sqref="E12">
    <cfRule type="cellIs" priority="684" operator="greaterThan" dxfId="204">
      <formula>2000</formula>
    </cfRule>
    <cfRule type="expression" priority="683" dxfId="387">
      <formula>ISNUMBER(SEARCH("I-MUAP",$D$14))</formula>
    </cfRule>
    <cfRule type="expression" priority="682" dxfId="386">
      <formula>AND((ISNUMBER(SEARCH("I-MUAP",$D$14))),E12&lt;2500)</formula>
    </cfRule>
  </conditionalFormatting>
  <conditionalFormatting sqref="E15">
    <cfRule type="expression" priority="423" dxfId="315">
      <formula>(C15="LIGHT SELECTION")</formula>
    </cfRule>
  </conditionalFormatting>
  <conditionalFormatting sqref="E16:E18">
    <cfRule type="expression" priority="113" dxfId="381">
      <formula>$C16="SELECT WORKS"</formula>
    </cfRule>
  </conditionalFormatting>
  <conditionalFormatting sqref="E22:E23">
    <cfRule type="expression" priority="665" dxfId="384">
      <formula>D22="WW PODS"</formula>
    </cfRule>
    <cfRule type="expression" priority="666" dxfId="383">
      <formula>D22="FILTER TYPE"</formula>
    </cfRule>
    <cfRule type="expression" priority="667" dxfId="382">
      <formula>D22="KSA"</formula>
    </cfRule>
    <cfRule type="expression" priority="687" dxfId="381">
      <formula>(D14="CANOPY TYPE")</formula>
    </cfRule>
  </conditionalFormatting>
  <conditionalFormatting sqref="E24">
    <cfRule type="containsText" priority="674" operator="containsText" dxfId="380" text="LONG ">
      <formula>NOT(ISERROR(SEARCH("LONG ",E24)))</formula>
    </cfRule>
  </conditionalFormatting>
  <conditionalFormatting sqref="E29">
    <cfRule type="expression" priority="604" dxfId="386">
      <formula>AND((ISNUMBER(SEARCH("I-MUAP",$D$14))),E29&lt;2500)</formula>
    </cfRule>
    <cfRule type="expression" priority="605" dxfId="387">
      <formula>ISNUMBER(SEARCH("I-MUAP",$D$14))</formula>
    </cfRule>
    <cfRule type="cellIs" priority="606" operator="greaterThan" dxfId="204">
      <formula>2000</formula>
    </cfRule>
  </conditionalFormatting>
  <conditionalFormatting sqref="E33:E34">
    <cfRule type="expression" priority="587" dxfId="381">
      <formula>$C33="SELECT WORKS"</formula>
    </cfRule>
  </conditionalFormatting>
  <conditionalFormatting sqref="E39:E40">
    <cfRule type="expression" priority="397" dxfId="382">
      <formula>D39="KSA"</formula>
    </cfRule>
    <cfRule type="expression" priority="398" dxfId="381">
      <formula>(D31="CANOPY TYPE")</formula>
    </cfRule>
    <cfRule type="expression" priority="396" dxfId="383">
      <formula>D39="FILTER TYPE"</formula>
    </cfRule>
    <cfRule type="expression" priority="395" dxfId="384">
      <formula>D39="WW PODS"</formula>
    </cfRule>
  </conditionalFormatting>
  <conditionalFormatting sqref="E41">
    <cfRule type="containsText" priority="597" operator="containsText" dxfId="380" text="LONG ">
      <formula>NOT(ISERROR(SEARCH("LONG ",E41)))</formula>
    </cfRule>
  </conditionalFormatting>
  <conditionalFormatting sqref="E46">
    <cfRule type="cellIs" priority="574" operator="greaterThan" dxfId="204">
      <formula>2000</formula>
    </cfRule>
    <cfRule type="expression" priority="573" dxfId="387">
      <formula>ISNUMBER(SEARCH("I-MUAP",$D$14))</formula>
    </cfRule>
    <cfRule type="expression" priority="572" dxfId="386">
      <formula>AND((ISNUMBER(SEARCH("I-MUAP",$D$14))),E46&lt;2500)</formula>
    </cfRule>
  </conditionalFormatting>
  <conditionalFormatting sqref="E49">
    <cfRule type="expression" priority="437" dxfId="315">
      <formula>(C49="LIGHT SELECTION")</formula>
    </cfRule>
  </conditionalFormatting>
  <conditionalFormatting sqref="E50:E52">
    <cfRule type="expression" priority="110" dxfId="381">
      <formula>$C50="SELECT WORKS"</formula>
    </cfRule>
  </conditionalFormatting>
  <conditionalFormatting sqref="E56:E57">
    <cfRule type="expression" priority="369" dxfId="384">
      <formula>D56="WW PODS"</formula>
    </cfRule>
    <cfRule type="expression" priority="370" dxfId="383">
      <formula>D56="FILTER TYPE"</formula>
    </cfRule>
    <cfRule type="expression" priority="372" dxfId="381">
      <formula>(D48="CANOPY TYPE")</formula>
    </cfRule>
    <cfRule type="expression" priority="371" dxfId="382">
      <formula>D56="KSA"</formula>
    </cfRule>
  </conditionalFormatting>
  <conditionalFormatting sqref="E58">
    <cfRule type="containsText" priority="565" operator="containsText" dxfId="380" text="LONG ">
      <formula>NOT(ISERROR(SEARCH("LONG ",E58)))</formula>
    </cfRule>
  </conditionalFormatting>
  <conditionalFormatting sqref="E63">
    <cfRule type="cellIs" priority="547" operator="greaterThan" dxfId="204">
      <formula>2000</formula>
    </cfRule>
    <cfRule type="expression" priority="546" dxfId="387">
      <formula>ISNUMBER(SEARCH("I-MUAP",$D$14))</formula>
    </cfRule>
    <cfRule type="expression" priority="545" dxfId="386">
      <formula>AND((ISNUMBER(SEARCH("I-MUAP",$D$14))),E63&lt;2500)</formula>
    </cfRule>
  </conditionalFormatting>
  <conditionalFormatting sqref="E67:E69">
    <cfRule type="expression" priority="96" dxfId="381">
      <formula>$C67="SELECT WORKS"</formula>
    </cfRule>
  </conditionalFormatting>
  <conditionalFormatting sqref="E73:E74">
    <cfRule type="expression" priority="354" dxfId="384">
      <formula>D73="WW PODS"</formula>
    </cfRule>
    <cfRule type="expression" priority="356" dxfId="382">
      <formula>D73="KSA"</formula>
    </cfRule>
    <cfRule type="expression" priority="357" dxfId="381">
      <formula>(D65="CANOPY TYPE")</formula>
    </cfRule>
    <cfRule type="expression" priority="355" dxfId="383">
      <formula>D73="FILTER TYPE"</formula>
    </cfRule>
  </conditionalFormatting>
  <conditionalFormatting sqref="E75">
    <cfRule type="containsText" priority="538" operator="containsText" dxfId="380" text="LONG ">
      <formula>NOT(ISERROR(SEARCH("LONG ",E75)))</formula>
    </cfRule>
  </conditionalFormatting>
  <conditionalFormatting sqref="E80">
    <cfRule type="cellIs" priority="519" operator="greaterThan" dxfId="204">
      <formula>2000</formula>
    </cfRule>
    <cfRule type="expression" priority="517" dxfId="386">
      <formula>AND((ISNUMBER(SEARCH("I-MUAP",$D$14))),E80&lt;2500)</formula>
    </cfRule>
    <cfRule type="expression" priority="518" dxfId="387">
      <formula>ISNUMBER(SEARCH("I-MUAP",$D$14))</formula>
    </cfRule>
  </conditionalFormatting>
  <conditionalFormatting sqref="E84:E86">
    <cfRule type="expression" priority="82" dxfId="381">
      <formula>$C84="SELECT WORKS"</formula>
    </cfRule>
  </conditionalFormatting>
  <conditionalFormatting sqref="E90:E91">
    <cfRule type="expression" priority="342" dxfId="381">
      <formula>(D82="CANOPY TYPE")</formula>
    </cfRule>
    <cfRule type="expression" priority="339" dxfId="384">
      <formula>D90="WW PODS"</formula>
    </cfRule>
    <cfRule type="expression" priority="340" dxfId="383">
      <formula>D90="FILTER TYPE"</formula>
    </cfRule>
    <cfRule type="expression" priority="341" dxfId="382">
      <formula>D90="KSA"</formula>
    </cfRule>
  </conditionalFormatting>
  <conditionalFormatting sqref="E92">
    <cfRule type="containsText" priority="510" operator="containsText" dxfId="380" text="LONG ">
      <formula>NOT(ISERROR(SEARCH("LONG ",E92)))</formula>
    </cfRule>
  </conditionalFormatting>
  <conditionalFormatting sqref="E97">
    <cfRule type="expression" priority="489" dxfId="387">
      <formula>ISNUMBER(SEARCH("I-MUAP",$D$14))</formula>
    </cfRule>
    <cfRule type="cellIs" priority="490" operator="greaterThan" dxfId="204">
      <formula>2000</formula>
    </cfRule>
    <cfRule type="expression" priority="488" dxfId="386">
      <formula>AND((ISNUMBER(SEARCH("I-MUAP",$D$14))),E97&lt;2500)</formula>
    </cfRule>
  </conditionalFormatting>
  <conditionalFormatting sqref="E101:E103">
    <cfRule type="expression" priority="68" dxfId="381">
      <formula>$C101="SELECT WORKS"</formula>
    </cfRule>
  </conditionalFormatting>
  <conditionalFormatting sqref="E107:E108">
    <cfRule type="expression" priority="324" dxfId="384">
      <formula>D107="WW PODS"</formula>
    </cfRule>
    <cfRule type="expression" priority="325" dxfId="383">
      <formula>D107="FILTER TYPE"</formula>
    </cfRule>
    <cfRule type="expression" priority="326" dxfId="382">
      <formula>D107="KSA"</formula>
    </cfRule>
    <cfRule type="expression" priority="327" dxfId="381">
      <formula>(D99="CANOPY TYPE")</formula>
    </cfRule>
  </conditionalFormatting>
  <conditionalFormatting sqref="E109">
    <cfRule type="containsText" priority="481" operator="containsText" dxfId="380" text="LONG ">
      <formula>NOT(ISERROR(SEARCH("LONG ",E109)))</formula>
    </cfRule>
  </conditionalFormatting>
  <conditionalFormatting sqref="E114">
    <cfRule type="cellIs" priority="313" operator="greaterThan" dxfId="204">
      <formula>2000</formula>
    </cfRule>
    <cfRule type="expression" priority="312" dxfId="387">
      <formula>ISNUMBER(SEARCH("I-MUAP",$D$14))</formula>
    </cfRule>
    <cfRule type="expression" priority="311" dxfId="386">
      <formula>AND((ISNUMBER(SEARCH("I-MUAP",$D$14))),E114&lt;2500)</formula>
    </cfRule>
  </conditionalFormatting>
  <conditionalFormatting sqref="E118:E120">
    <cfRule type="expression" priority="54" dxfId="381">
      <formula>$C118="SELECT WORKS"</formula>
    </cfRule>
  </conditionalFormatting>
  <conditionalFormatting sqref="E124:E125">
    <cfRule type="expression" priority="273" dxfId="384">
      <formula>D124="WW PODS"</formula>
    </cfRule>
    <cfRule type="expression" priority="276" dxfId="381">
      <formula>(D116="CANOPY TYPE")</formula>
    </cfRule>
    <cfRule type="expression" priority="275" dxfId="382">
      <formula>D124="KSA"</formula>
    </cfRule>
    <cfRule type="expression" priority="274" dxfId="383">
      <formula>D124="FILTER TYPE"</formula>
    </cfRule>
  </conditionalFormatting>
  <conditionalFormatting sqref="E126">
    <cfRule type="containsText" priority="304" operator="containsText" dxfId="380" text="LONG ">
      <formula>NOT(ISERROR(SEARCH("LONG ",E126)))</formula>
    </cfRule>
  </conditionalFormatting>
  <conditionalFormatting sqref="E131">
    <cfRule type="expression" priority="257" dxfId="387">
      <formula>ISNUMBER(SEARCH("I-MUAP",$D$14))</formula>
    </cfRule>
    <cfRule type="cellIs" priority="258" operator="greaterThan" dxfId="204">
      <formula>2000</formula>
    </cfRule>
    <cfRule type="expression" priority="256" dxfId="386">
      <formula>AND((ISNUMBER(SEARCH("I-MUAP",$D$14))),E131&lt;2500)</formula>
    </cfRule>
  </conditionalFormatting>
  <conditionalFormatting sqref="E135:E137">
    <cfRule type="expression" priority="40" dxfId="381">
      <formula>$C135="SELECT WORKS"</formula>
    </cfRule>
  </conditionalFormatting>
  <conditionalFormatting sqref="E141:E142">
    <cfRule type="expression" priority="221" dxfId="381">
      <formula>(D133="CANOPY TYPE")</formula>
    </cfRule>
    <cfRule type="expression" priority="220" dxfId="382">
      <formula>D141="KSA"</formula>
    </cfRule>
    <cfRule type="expression" priority="218" dxfId="384">
      <formula>D141="WW PODS"</formula>
    </cfRule>
    <cfRule type="expression" priority="219" dxfId="383">
      <formula>D141="FILTER TYPE"</formula>
    </cfRule>
  </conditionalFormatting>
  <conditionalFormatting sqref="E143">
    <cfRule type="containsText" priority="249" operator="containsText" dxfId="380" text="LONG ">
      <formula>NOT(ISERROR(SEARCH("LONG ",E143)))</formula>
    </cfRule>
  </conditionalFormatting>
  <conditionalFormatting sqref="E148">
    <cfRule type="cellIs" priority="207" operator="greaterThan" dxfId="204">
      <formula>2000</formula>
    </cfRule>
    <cfRule type="expression" priority="206" dxfId="387">
      <formula>ISNUMBER(SEARCH("I-MUAP",$D$14))</formula>
    </cfRule>
    <cfRule type="expression" priority="205" dxfId="386">
      <formula>AND((ISNUMBER(SEARCH("I-MUAP",$D$14))),E148&lt;2500)</formula>
    </cfRule>
  </conditionalFormatting>
  <conditionalFormatting sqref="E152:E154">
    <cfRule type="expression" priority="26" dxfId="381">
      <formula>$C152="SELECT WORKS"</formula>
    </cfRule>
  </conditionalFormatting>
  <conditionalFormatting sqref="E158:E159">
    <cfRule type="expression" priority="169" dxfId="382">
      <formula>D158="KSA"</formula>
    </cfRule>
    <cfRule type="expression" priority="167" dxfId="384">
      <formula>D158="WW PODS"</formula>
    </cfRule>
    <cfRule type="expression" priority="168" dxfId="383">
      <formula>D158="FILTER TYPE"</formula>
    </cfRule>
    <cfRule type="expression" priority="170" dxfId="381">
      <formula>(D150="CANOPY TYPE")</formula>
    </cfRule>
  </conditionalFormatting>
  <conditionalFormatting sqref="E160">
    <cfRule type="containsText" priority="198" operator="containsText" dxfId="380" text="LONG ">
      <formula>NOT(ISERROR(SEARCH("LONG ",E160)))</formula>
    </cfRule>
  </conditionalFormatting>
  <conditionalFormatting sqref="E165">
    <cfRule type="cellIs" priority="156" operator="greaterThan" dxfId="204">
      <formula>2000</formula>
    </cfRule>
    <cfRule type="expression" priority="155" dxfId="387">
      <formula>ISNUMBER(SEARCH("I-MUAP",$D$14))</formula>
    </cfRule>
    <cfRule type="expression" priority="154" dxfId="386">
      <formula>AND((ISNUMBER(SEARCH("I-MUAP",$D$14))),E165&lt;2500)</formula>
    </cfRule>
  </conditionalFormatting>
  <conditionalFormatting sqref="E169:E171">
    <cfRule type="expression" priority="12" dxfId="381">
      <formula>$C169="SELECT WORKS"</formula>
    </cfRule>
  </conditionalFormatting>
  <conditionalFormatting sqref="E175:E176">
    <cfRule type="expression" priority="116" dxfId="384">
      <formula>D175="WW PODS"</formula>
    </cfRule>
    <cfRule type="expression" priority="117" dxfId="383">
      <formula>D175="FILTER TYPE"</formula>
    </cfRule>
    <cfRule type="expression" priority="118" dxfId="382">
      <formula>D175="KSA"</formula>
    </cfRule>
    <cfRule type="expression" priority="119" dxfId="381">
      <formula>(D167="CANOPY TYPE")</formula>
    </cfRule>
  </conditionalFormatting>
  <conditionalFormatting sqref="E177">
    <cfRule type="containsText" priority="147" operator="containsText" dxfId="380" text="LONG ">
      <formula>NOT(ISERROR(SEARCH("LONG ",E177)))</formula>
    </cfRule>
  </conditionalFormatting>
  <conditionalFormatting sqref="E12:F12">
    <cfRule type="cellIs" priority="678" operator="lessThan" dxfId="204">
      <formula>1000</formula>
    </cfRule>
  </conditionalFormatting>
  <conditionalFormatting sqref="E14:F14">
    <cfRule type="cellIs" priority="675" operator="lessThan" dxfId="164">
      <formula>1000</formula>
    </cfRule>
  </conditionalFormatting>
  <conditionalFormatting sqref="E25:F27">
    <cfRule type="expression" priority="614" dxfId="358">
      <formula>($D$14="CANOPY TYPE")</formula>
    </cfRule>
  </conditionalFormatting>
  <conditionalFormatting sqref="E29:F29">
    <cfRule type="cellIs" priority="601" operator="lessThan" dxfId="204">
      <formula>1000</formula>
    </cfRule>
  </conditionalFormatting>
  <conditionalFormatting sqref="E31:F31">
    <cfRule type="cellIs" priority="598" operator="lessThan" dxfId="164">
      <formula>1000</formula>
    </cfRule>
  </conditionalFormatting>
  <conditionalFormatting sqref="E32:F32">
    <cfRule type="expression" priority="461" dxfId="315">
      <formula>(C32="LIGHT SELECTION")</formula>
    </cfRule>
  </conditionalFormatting>
  <conditionalFormatting sqref="E42:F44">
    <cfRule type="expression" priority="582" dxfId="358">
      <formula>($D$14="CANOPY TYPE")</formula>
    </cfRule>
  </conditionalFormatting>
  <conditionalFormatting sqref="E46:F46">
    <cfRule type="cellIs" priority="569" operator="lessThan" dxfId="204">
      <formula>1000</formula>
    </cfRule>
  </conditionalFormatting>
  <conditionalFormatting sqref="E48:F48">
    <cfRule type="cellIs" priority="566" operator="lessThan" dxfId="164">
      <formula>1000</formula>
    </cfRule>
  </conditionalFormatting>
  <conditionalFormatting sqref="E59:F61">
    <cfRule type="expression" priority="555" dxfId="358">
      <formula>($D$14="CANOPY TYPE")</formula>
    </cfRule>
  </conditionalFormatting>
  <conditionalFormatting sqref="E63:F63">
    <cfRule type="cellIs" priority="542" operator="lessThan" dxfId="204">
      <formula>1000</formula>
    </cfRule>
  </conditionalFormatting>
  <conditionalFormatting sqref="E65:F65">
    <cfRule type="cellIs" priority="539" operator="lessThan" dxfId="164">
      <formula>1000</formula>
    </cfRule>
  </conditionalFormatting>
  <conditionalFormatting sqref="E66:F66">
    <cfRule type="expression" priority="454" dxfId="315">
      <formula>(C66="LIGHT SELECTION")</formula>
    </cfRule>
  </conditionalFormatting>
  <conditionalFormatting sqref="E76:F78">
    <cfRule type="expression" priority="527" dxfId="358">
      <formula>($D$14="CANOPY TYPE")</formula>
    </cfRule>
  </conditionalFormatting>
  <conditionalFormatting sqref="E80:F80">
    <cfRule type="cellIs" priority="514" operator="lessThan" dxfId="204">
      <formula>1000</formula>
    </cfRule>
  </conditionalFormatting>
  <conditionalFormatting sqref="E82:F82">
    <cfRule type="cellIs" priority="511" operator="lessThan" dxfId="164">
      <formula>1000</formula>
    </cfRule>
  </conditionalFormatting>
  <conditionalFormatting sqref="E83:F83">
    <cfRule type="expression" priority="450" dxfId="315">
      <formula>(C83="LIGHT SELECTION")</formula>
    </cfRule>
  </conditionalFormatting>
  <conditionalFormatting sqref="E93:F95">
    <cfRule type="expression" priority="498" dxfId="358">
      <formula>($D$14="CANOPY TYPE")</formula>
    </cfRule>
  </conditionalFormatting>
  <conditionalFormatting sqref="E97:F97">
    <cfRule type="cellIs" priority="485" operator="lessThan" dxfId="204">
      <formula>1000</formula>
    </cfRule>
  </conditionalFormatting>
  <conditionalFormatting sqref="E99:F99">
    <cfRule type="cellIs" priority="482" operator="lessThan" dxfId="164">
      <formula>1000</formula>
    </cfRule>
  </conditionalFormatting>
  <conditionalFormatting sqref="E100:F100">
    <cfRule type="expression" priority="446" dxfId="315">
      <formula>(C100="LIGHT SELECTION")</formula>
    </cfRule>
  </conditionalFormatting>
  <conditionalFormatting sqref="E110:F112 E127:F129 E144:F146 E161:F163 E178:F180">
    <cfRule type="expression" priority="470" dxfId="358">
      <formula>($D$14="CANOPY TYPE")</formula>
    </cfRule>
  </conditionalFormatting>
  <conditionalFormatting sqref="E114:F114">
    <cfRule type="cellIs" priority="308" operator="lessThan" dxfId="204">
      <formula>1000</formula>
    </cfRule>
  </conditionalFormatting>
  <conditionalFormatting sqref="E116:F116">
    <cfRule type="cellIs" priority="305" operator="lessThan" dxfId="164">
      <formula>1000</formula>
    </cfRule>
  </conditionalFormatting>
  <conditionalFormatting sqref="E117:F117">
    <cfRule type="expression" priority="291" dxfId="315">
      <formula>(C117="LIGHT SELECTION")</formula>
    </cfRule>
  </conditionalFormatting>
  <conditionalFormatting sqref="E131:F131">
    <cfRule type="cellIs" priority="253" operator="lessThan" dxfId="204">
      <formula>1000</formula>
    </cfRule>
  </conditionalFormatting>
  <conditionalFormatting sqref="E133:F133">
    <cfRule type="cellIs" priority="250" operator="lessThan" dxfId="164">
      <formula>1000</formula>
    </cfRule>
  </conditionalFormatting>
  <conditionalFormatting sqref="E134:F134">
    <cfRule type="expression" priority="236" dxfId="315">
      <formula>(C134="LIGHT SELECTION")</formula>
    </cfRule>
  </conditionalFormatting>
  <conditionalFormatting sqref="E148:F148">
    <cfRule type="cellIs" priority="202" operator="lessThan" dxfId="204">
      <formula>1000</formula>
    </cfRule>
  </conditionalFormatting>
  <conditionalFormatting sqref="E150:F150">
    <cfRule type="cellIs" priority="199" operator="lessThan" dxfId="164">
      <formula>1000</formula>
    </cfRule>
  </conditionalFormatting>
  <conditionalFormatting sqref="E151:F151">
    <cfRule type="expression" priority="185" dxfId="315">
      <formula>(C151="LIGHT SELECTION")</formula>
    </cfRule>
  </conditionalFormatting>
  <conditionalFormatting sqref="E165:F165">
    <cfRule type="cellIs" priority="151" operator="lessThan" dxfId="204">
      <formula>1000</formula>
    </cfRule>
  </conditionalFormatting>
  <conditionalFormatting sqref="E167:F167">
    <cfRule type="cellIs" priority="148" operator="lessThan" dxfId="164">
      <formula>1000</formula>
    </cfRule>
  </conditionalFormatting>
  <conditionalFormatting sqref="E168:F168">
    <cfRule type="expression" priority="134" dxfId="315">
      <formula>(C168="LIGHT SELECTION")</formula>
    </cfRule>
  </conditionalFormatting>
  <conditionalFormatting sqref="F12">
    <cfRule type="cellIs" priority="679" operator="greaterThan" dxfId="204">
      <formula>3001</formula>
    </cfRule>
  </conditionalFormatting>
  <conditionalFormatting sqref="F15">
    <cfRule type="expression" priority="668" dxfId="215">
      <formula>(C15="LIGHT SELECTION")</formula>
    </cfRule>
    <cfRule type="expression" priority="670" dxfId="216">
      <formula>(C15="FLO")</formula>
    </cfRule>
    <cfRule type="expression" priority="463" dxfId="214">
      <formula>(C15="LED STRIP")</formula>
    </cfRule>
    <cfRule type="expression" priority="701" dxfId="315">
      <formula>(D49="LIGHT SELECTION")</formula>
    </cfRule>
  </conditionalFormatting>
  <conditionalFormatting sqref="F22:F23">
    <cfRule type="expression" priority="700" dxfId="205">
      <formula>D22="KSA"</formula>
    </cfRule>
    <cfRule type="expression" priority="692" dxfId="206">
      <formula>D22="NF"</formula>
    </cfRule>
    <cfRule type="expression" priority="693" dxfId="208">
      <formula>D22="WW PODS"</formula>
    </cfRule>
    <cfRule type="expression" priority="694" dxfId="206">
      <formula>D22="GRILLE"</formula>
    </cfRule>
    <cfRule type="expression" priority="695" dxfId="206">
      <formula>D22="CENTREX"</formula>
    </cfRule>
    <cfRule type="expression" priority="696" dxfId="206" stopIfTrue="1">
      <formula>D14="canopy type"</formula>
    </cfRule>
    <cfRule type="expression" priority="697" dxfId="207">
      <formula>(((I14*3600)/(C22*I11))^2+20)&gt;300</formula>
    </cfRule>
    <cfRule type="expression" priority="698" dxfId="205" stopIfTrue="1">
      <formula>(ISNUMBER(SEARCH("UV",D14)))</formula>
    </cfRule>
    <cfRule type="expression" priority="699" dxfId="207">
      <formula>(((I14*3600)/(C22*I11))^2+20)&gt;180</formula>
    </cfRule>
  </conditionalFormatting>
  <conditionalFormatting sqref="F24">
    <cfRule type="cellIs" priority="673" operator="lessThan" dxfId="204">
      <formula>2100</formula>
    </cfRule>
  </conditionalFormatting>
  <conditionalFormatting sqref="F29">
    <cfRule type="cellIs" priority="602" operator="greaterThan" dxfId="204">
      <formula>3001</formula>
    </cfRule>
  </conditionalFormatting>
  <conditionalFormatting sqref="F32">
    <cfRule type="expression" priority="462" dxfId="216">
      <formula>(C32="FLO")</formula>
    </cfRule>
    <cfRule type="expression" priority="460" dxfId="215">
      <formula>(C32="LIGHT SELECTION")</formula>
    </cfRule>
    <cfRule type="expression" priority="459" dxfId="214">
      <formula>(C32="LED STRIP")</formula>
    </cfRule>
  </conditionalFormatting>
  <conditionalFormatting sqref="F39:F40">
    <cfRule type="expression" priority="406" dxfId="207">
      <formula>(((I31*3600)/(C39*I28))^2+20)&gt;180</formula>
    </cfRule>
    <cfRule type="expression" priority="407" dxfId="205">
      <formula>D39="KSA"</formula>
    </cfRule>
    <cfRule type="expression" priority="399" dxfId="206">
      <formula>D39="NF"</formula>
    </cfRule>
    <cfRule type="expression" priority="400" dxfId="208">
      <formula>D39="WW PODS"</formula>
    </cfRule>
    <cfRule type="expression" priority="401" dxfId="206">
      <formula>D39="GRILLE"</formula>
    </cfRule>
    <cfRule type="expression" priority="402" dxfId="206">
      <formula>D39="CENTREX"</formula>
    </cfRule>
    <cfRule type="expression" priority="403" dxfId="206" stopIfTrue="1">
      <formula>D31="canopy type"</formula>
    </cfRule>
    <cfRule type="expression" priority="404" dxfId="207">
      <formula>(((I31*3600)/(C39*I28))^2+20)&gt;300</formula>
    </cfRule>
    <cfRule type="expression" priority="405" dxfId="205" stopIfTrue="1">
      <formula>(ISNUMBER(SEARCH("UV",D31)))</formula>
    </cfRule>
  </conditionalFormatting>
  <conditionalFormatting sqref="F41">
    <cfRule type="cellIs" priority="596" operator="lessThan" dxfId="204">
      <formula>2100</formula>
    </cfRule>
  </conditionalFormatting>
  <conditionalFormatting sqref="F46">
    <cfRule type="cellIs" priority="570" operator="greaterThan" dxfId="204">
      <formula>3001</formula>
    </cfRule>
  </conditionalFormatting>
  <conditionalFormatting sqref="F49">
    <cfRule type="expression" priority="702" dxfId="315">
      <formula>(#REF!="LIGHT SELECTION")</formula>
    </cfRule>
    <cfRule type="expression" priority="458" dxfId="216">
      <formula>(C49="FLO")</formula>
    </cfRule>
    <cfRule type="expression" priority="457" dxfId="215">
      <formula>(C49="LIGHT SELECTION")</formula>
    </cfRule>
    <cfRule type="expression" priority="456" dxfId="214">
      <formula>(C49="LED STRIP")</formula>
    </cfRule>
  </conditionalFormatting>
  <conditionalFormatting sqref="F56:F57">
    <cfRule type="expression" priority="379" dxfId="205" stopIfTrue="1">
      <formula>(ISNUMBER(SEARCH("UV",D48)))</formula>
    </cfRule>
    <cfRule type="expression" priority="380" dxfId="207">
      <formula>(((I48*3600)/(C56*I45))^2+20)&gt;180</formula>
    </cfRule>
    <cfRule type="expression" priority="378" dxfId="207">
      <formula>(((I48*3600)/(C56*I45))^2+20)&gt;300</formula>
    </cfRule>
    <cfRule type="expression" priority="377" dxfId="206" stopIfTrue="1">
      <formula>D48="canopy type"</formula>
    </cfRule>
    <cfRule type="expression" priority="376" dxfId="206">
      <formula>D56="CENTREX"</formula>
    </cfRule>
    <cfRule type="expression" priority="375" dxfId="206">
      <formula>D56="GRILLE"</formula>
    </cfRule>
    <cfRule type="expression" priority="374" dxfId="208">
      <formula>D56="WW PODS"</formula>
    </cfRule>
    <cfRule type="expression" priority="373" dxfId="206">
      <formula>D56="NF"</formula>
    </cfRule>
    <cfRule type="expression" priority="381" dxfId="205">
      <formula>D56="KSA"</formula>
    </cfRule>
  </conditionalFormatting>
  <conditionalFormatting sqref="F58">
    <cfRule type="cellIs" priority="564" operator="lessThan" dxfId="204">
      <formula>2100</formula>
    </cfRule>
  </conditionalFormatting>
  <conditionalFormatting sqref="F63">
    <cfRule type="cellIs" priority="543" operator="greaterThan" dxfId="204">
      <formula>3001</formula>
    </cfRule>
  </conditionalFormatting>
  <conditionalFormatting sqref="F66">
    <cfRule type="expression" priority="452" dxfId="214">
      <formula>(C66="LED STRIP")</formula>
    </cfRule>
    <cfRule type="expression" priority="453" dxfId="215">
      <formula>(C66="LIGHT SELECTION")</formula>
    </cfRule>
    <cfRule type="expression" priority="455" dxfId="216">
      <formula>(C66="FLO")</formula>
    </cfRule>
  </conditionalFormatting>
  <conditionalFormatting sqref="F73:F74">
    <cfRule type="expression" priority="358" dxfId="206">
      <formula>D73="NF"</formula>
    </cfRule>
    <cfRule type="expression" priority="359" dxfId="208">
      <formula>D73="WW PODS"</formula>
    </cfRule>
    <cfRule type="expression" priority="360" dxfId="206">
      <formula>D73="GRILLE"</formula>
    </cfRule>
    <cfRule type="expression" priority="361" dxfId="206">
      <formula>D73="CENTREX"</formula>
    </cfRule>
    <cfRule type="expression" priority="362" dxfId="206" stopIfTrue="1">
      <formula>D65="canopy type"</formula>
    </cfRule>
    <cfRule type="expression" priority="363" dxfId="207">
      <formula>(((I65*3600)/(C73*I62))^2+20)&gt;300</formula>
    </cfRule>
    <cfRule type="expression" priority="364" dxfId="205" stopIfTrue="1">
      <formula>(ISNUMBER(SEARCH("UV",D65)))</formula>
    </cfRule>
    <cfRule type="expression" priority="365" dxfId="207">
      <formula>(((I65*3600)/(C73*I62))^2+20)&gt;180</formula>
    </cfRule>
    <cfRule type="expression" priority="366" dxfId="205">
      <formula>D73="KSA"</formula>
    </cfRule>
  </conditionalFormatting>
  <conditionalFormatting sqref="F75">
    <cfRule type="cellIs" priority="537" operator="lessThan" dxfId="204">
      <formula>2100</formula>
    </cfRule>
  </conditionalFormatting>
  <conditionalFormatting sqref="F80">
    <cfRule type="cellIs" priority="515" operator="greaterThan" dxfId="204">
      <formula>3001</formula>
    </cfRule>
  </conditionalFormatting>
  <conditionalFormatting sqref="F83">
    <cfRule type="expression" priority="448" dxfId="214">
      <formula>(C83="LED STRIP")</formula>
    </cfRule>
    <cfRule type="expression" priority="451" dxfId="216">
      <formula>(C83="FLO")</formula>
    </cfRule>
    <cfRule type="expression" priority="449" dxfId="215">
      <formula>(C83="LIGHT SELECTION")</formula>
    </cfRule>
  </conditionalFormatting>
  <conditionalFormatting sqref="F90:F91">
    <cfRule type="expression" priority="343" dxfId="206">
      <formula>D90="NF"</formula>
    </cfRule>
    <cfRule type="expression" priority="344" dxfId="208">
      <formula>D90="WW PODS"</formula>
    </cfRule>
    <cfRule type="expression" priority="345" dxfId="206">
      <formula>D90="GRILLE"</formula>
    </cfRule>
    <cfRule type="expression" priority="346" dxfId="206">
      <formula>D90="CENTREX"</formula>
    </cfRule>
    <cfRule type="expression" priority="347" dxfId="206" stopIfTrue="1">
      <formula>D82="canopy type"</formula>
    </cfRule>
    <cfRule type="expression" priority="348" dxfId="207">
      <formula>(((I82*3600)/(C90*I79))^2+20)&gt;300</formula>
    </cfRule>
    <cfRule type="expression" priority="349" dxfId="205" stopIfTrue="1">
      <formula>(ISNUMBER(SEARCH("UV",D82)))</formula>
    </cfRule>
    <cfRule type="expression" priority="351" dxfId="205">
      <formula>D90="KSA"</formula>
    </cfRule>
    <cfRule type="expression" priority="350" dxfId="207">
      <formula>(((I82*3600)/(C90*I79))^2+20)&gt;180</formula>
    </cfRule>
  </conditionalFormatting>
  <conditionalFormatting sqref="F92">
    <cfRule type="cellIs" priority="509" operator="lessThan" dxfId="204">
      <formula>2100</formula>
    </cfRule>
  </conditionalFormatting>
  <conditionalFormatting sqref="F97">
    <cfRule type="cellIs" priority="486" operator="greaterThan" dxfId="204">
      <formula>3001</formula>
    </cfRule>
  </conditionalFormatting>
  <conditionalFormatting sqref="F100">
    <cfRule type="expression" priority="447" dxfId="216">
      <formula>(C100="FLO")</formula>
    </cfRule>
    <cfRule type="expression" priority="444" dxfId="214">
      <formula>(C100="LED STRIP")</formula>
    </cfRule>
    <cfRule type="expression" priority="445" dxfId="215">
      <formula>(C100="LIGHT SELECTION")</formula>
    </cfRule>
  </conditionalFormatting>
  <conditionalFormatting sqref="F107:F108">
    <cfRule type="expression" priority="329" dxfId="208">
      <formula>D107="WW PODS"</formula>
    </cfRule>
    <cfRule type="expression" priority="330" dxfId="206">
      <formula>D107="GRILLE"</formula>
    </cfRule>
    <cfRule type="expression" priority="334" dxfId="205" stopIfTrue="1">
      <formula>(ISNUMBER(SEARCH("UV",D99)))</formula>
    </cfRule>
    <cfRule type="expression" priority="333" dxfId="207">
      <formula>(((I99*3600)/(C107*I96))^2+20)&gt;300</formula>
    </cfRule>
    <cfRule type="expression" priority="335" dxfId="207">
      <formula>(((I99*3600)/(C107*I96))^2+20)&gt;180</formula>
    </cfRule>
    <cfRule type="expression" priority="332" dxfId="206" stopIfTrue="1">
      <formula>D99="canopy type"</formula>
    </cfRule>
    <cfRule type="expression" priority="331" dxfId="206">
      <formula>D107="CENTREX"</formula>
    </cfRule>
    <cfRule type="expression" priority="336" dxfId="205">
      <formula>D107="KSA"</formula>
    </cfRule>
    <cfRule type="expression" priority="328" dxfId="206">
      <formula>D107="NF"</formula>
    </cfRule>
  </conditionalFormatting>
  <conditionalFormatting sqref="F109">
    <cfRule type="cellIs" priority="480" operator="lessThan" dxfId="204">
      <formula>2100</formula>
    </cfRule>
  </conditionalFormatting>
  <conditionalFormatting sqref="F114">
    <cfRule type="cellIs" priority="309" operator="greaterThan" dxfId="204">
      <formula>3001</formula>
    </cfRule>
  </conditionalFormatting>
  <conditionalFormatting sqref="F117">
    <cfRule type="expression" priority="292" dxfId="216">
      <formula>(C117="FLO")</formula>
    </cfRule>
    <cfRule type="expression" priority="290" dxfId="215">
      <formula>(C117="LIGHT SELECTION")</formula>
    </cfRule>
    <cfRule type="expression" priority="289" dxfId="214">
      <formula>(C117="LED STRIP")</formula>
    </cfRule>
  </conditionalFormatting>
  <conditionalFormatting sqref="F124:F125">
    <cfRule type="expression" priority="279" dxfId="206">
      <formula>D124="GRILLE"</formula>
    </cfRule>
    <cfRule type="expression" priority="278" dxfId="208">
      <formula>D124="WW PODS"</formula>
    </cfRule>
    <cfRule type="expression" priority="277" dxfId="206">
      <formula>D124="NF"</formula>
    </cfRule>
    <cfRule type="expression" priority="281" dxfId="206" stopIfTrue="1">
      <formula>D116="canopy type"</formula>
    </cfRule>
    <cfRule type="expression" priority="282" dxfId="207">
      <formula>(((I116*3600)/(C124*I113))^2+20)&gt;300</formula>
    </cfRule>
    <cfRule type="expression" priority="283" dxfId="205" stopIfTrue="1">
      <formula>(ISNUMBER(SEARCH("UV",D116)))</formula>
    </cfRule>
    <cfRule type="expression" priority="284" dxfId="207">
      <formula>(((I116*3600)/(C124*I113))^2+20)&gt;180</formula>
    </cfRule>
    <cfRule type="expression" priority="285" dxfId="205">
      <formula>D124="KSA"</formula>
    </cfRule>
    <cfRule type="expression" priority="280" dxfId="206">
      <formula>D124="CENTREX"</formula>
    </cfRule>
  </conditionalFormatting>
  <conditionalFormatting sqref="F126">
    <cfRule type="cellIs" priority="303" operator="lessThan" dxfId="204">
      <formula>2100</formula>
    </cfRule>
  </conditionalFormatting>
  <conditionalFormatting sqref="F131">
    <cfRule type="cellIs" priority="254" operator="greaterThan" dxfId="204">
      <formula>3001</formula>
    </cfRule>
  </conditionalFormatting>
  <conditionalFormatting sqref="F134">
    <cfRule type="expression" priority="234" dxfId="214">
      <formula>(C134="LED STRIP")</formula>
    </cfRule>
    <cfRule type="expression" priority="237" dxfId="216">
      <formula>(C134="FLO")</formula>
    </cfRule>
    <cfRule type="expression" priority="235" dxfId="215">
      <formula>(C134="LIGHT SELECTION")</formula>
    </cfRule>
  </conditionalFormatting>
  <conditionalFormatting sqref="F141:F142">
    <cfRule type="expression" priority="223" dxfId="208">
      <formula>D141="WW PODS"</formula>
    </cfRule>
    <cfRule type="expression" priority="224" dxfId="206">
      <formula>D141="GRILLE"</formula>
    </cfRule>
    <cfRule type="expression" priority="225" dxfId="206">
      <formula>D141="CENTREX"</formula>
    </cfRule>
    <cfRule type="expression" priority="222" dxfId="206">
      <formula>D141="NF"</formula>
    </cfRule>
    <cfRule type="expression" priority="226" dxfId="206" stopIfTrue="1">
      <formula>D133="canopy type"</formula>
    </cfRule>
    <cfRule type="expression" priority="227" dxfId="207">
      <formula>(((I133*3600)/(C141*I130))^2+20)&gt;300</formula>
    </cfRule>
    <cfRule type="expression" priority="228" dxfId="205" stopIfTrue="1">
      <formula>(ISNUMBER(SEARCH("UV",D133)))</formula>
    </cfRule>
    <cfRule type="expression" priority="229" dxfId="207">
      <formula>(((I133*3600)/(C141*I130))^2+20)&gt;180</formula>
    </cfRule>
    <cfRule type="expression" priority="230" dxfId="205">
      <formula>D141="KSA"</formula>
    </cfRule>
  </conditionalFormatting>
  <conditionalFormatting sqref="F143">
    <cfRule type="cellIs" priority="248" operator="lessThan" dxfId="204">
      <formula>2100</formula>
    </cfRule>
  </conditionalFormatting>
  <conditionalFormatting sqref="F148">
    <cfRule type="cellIs" priority="203" operator="greaterThan" dxfId="204">
      <formula>3001</formula>
    </cfRule>
  </conditionalFormatting>
  <conditionalFormatting sqref="F151">
    <cfRule type="expression" priority="183" dxfId="214">
      <formula>(C151="LED STRIP")</formula>
    </cfRule>
    <cfRule type="expression" priority="184" dxfId="215">
      <formula>(C151="LIGHT SELECTION")</formula>
    </cfRule>
    <cfRule type="expression" priority="186" dxfId="216">
      <formula>(C151="FLO")</formula>
    </cfRule>
  </conditionalFormatting>
  <conditionalFormatting sqref="F158:F159">
    <cfRule type="expression" priority="178" dxfId="207">
      <formula>(((I150*3600)/(C158*I147))^2+20)&gt;180</formula>
    </cfRule>
    <cfRule type="expression" priority="171" dxfId="206">
      <formula>D158="NF"</formula>
    </cfRule>
    <cfRule type="expression" priority="172" dxfId="208">
      <formula>D158="WW PODS"</formula>
    </cfRule>
    <cfRule type="expression" priority="173" dxfId="206">
      <formula>D158="GRILLE"</formula>
    </cfRule>
    <cfRule type="expression" priority="174" dxfId="206">
      <formula>D158="CENTREX"</formula>
    </cfRule>
    <cfRule type="expression" priority="175" dxfId="206" stopIfTrue="1">
      <formula>D150="canopy type"</formula>
    </cfRule>
    <cfRule type="expression" priority="176" dxfId="207">
      <formula>(((I150*3600)/(C158*I147))^2+20)&gt;300</formula>
    </cfRule>
    <cfRule type="expression" priority="179" dxfId="205">
      <formula>D158="KSA"</formula>
    </cfRule>
    <cfRule type="expression" priority="177" dxfId="205" stopIfTrue="1">
      <formula>(ISNUMBER(SEARCH("UV",D150)))</formula>
    </cfRule>
  </conditionalFormatting>
  <conditionalFormatting sqref="F160">
    <cfRule type="cellIs" priority="197" operator="lessThan" dxfId="204">
      <formula>2100</formula>
    </cfRule>
  </conditionalFormatting>
  <conditionalFormatting sqref="F165">
    <cfRule type="cellIs" priority="152" operator="greaterThan" dxfId="204">
      <formula>3001</formula>
    </cfRule>
  </conditionalFormatting>
  <conditionalFormatting sqref="F168">
    <cfRule type="expression" priority="135" dxfId="216">
      <formula>(C168="FLO")</formula>
    </cfRule>
    <cfRule type="expression" priority="133" dxfId="215">
      <formula>(C168="LIGHT SELECTION")</formula>
    </cfRule>
    <cfRule type="expression" priority="132" dxfId="214">
      <formula>(C168="LED STRIP")</formula>
    </cfRule>
  </conditionalFormatting>
  <conditionalFormatting sqref="F175:F176">
    <cfRule type="expression" priority="126" dxfId="205" stopIfTrue="1">
      <formula>(ISNUMBER(SEARCH("UV",D167)))</formula>
    </cfRule>
    <cfRule type="expression" priority="125" dxfId="207">
      <formula>(((I167*3600)/(C175*I164))^2+20)&gt;300</formula>
    </cfRule>
    <cfRule type="expression" priority="124" dxfId="206" stopIfTrue="1">
      <formula>D167="canopy type"</formula>
    </cfRule>
    <cfRule type="expression" priority="123" dxfId="206">
      <formula>D175="CENTREX"</formula>
    </cfRule>
    <cfRule type="expression" priority="122" dxfId="206">
      <formula>D175="GRILLE"</formula>
    </cfRule>
    <cfRule type="expression" priority="121" dxfId="208">
      <formula>D175="WW PODS"</formula>
    </cfRule>
    <cfRule type="expression" priority="127" dxfId="207">
      <formula>(((I167*3600)/(C175*I164))^2+20)&gt;180</formula>
    </cfRule>
    <cfRule type="expression" priority="120" dxfId="206">
      <formula>D175="NF"</formula>
    </cfRule>
    <cfRule type="expression" priority="128" dxfId="205">
      <formula>D175="KSA"</formula>
    </cfRule>
  </conditionalFormatting>
  <conditionalFormatting sqref="F177">
    <cfRule type="cellIs" priority="146" operator="lessThan" dxfId="204">
      <formula>2100</formula>
    </cfRule>
  </conditionalFormatting>
  <conditionalFormatting sqref="G11">
    <cfRule type="expression" priority="681" dxfId="176">
      <formula>((F14-50)/H14)&lt;950</formula>
    </cfRule>
  </conditionalFormatting>
  <conditionalFormatting sqref="G12">
    <cfRule type="expression" priority="680" dxfId="175">
      <formula>((F14-50)/H14)&lt;950</formula>
    </cfRule>
  </conditionalFormatting>
  <conditionalFormatting sqref="G14">
    <cfRule type="cellIs" priority="676" operator="lessThan" dxfId="164">
      <formula>400</formula>
    </cfRule>
  </conditionalFormatting>
  <conditionalFormatting sqref="G28">
    <cfRule type="expression" priority="625" dxfId="176">
      <formula>((F31-50)/H31)&lt;950</formula>
    </cfRule>
  </conditionalFormatting>
  <conditionalFormatting sqref="G29">
    <cfRule type="expression" priority="603" dxfId="175">
      <formula>((F31-50)/H31)&lt;950</formula>
    </cfRule>
  </conditionalFormatting>
  <conditionalFormatting sqref="G31">
    <cfRule type="cellIs" priority="599" operator="lessThan" dxfId="164">
      <formula>400</formula>
    </cfRule>
  </conditionalFormatting>
  <conditionalFormatting sqref="G45">
    <cfRule type="expression" priority="641" dxfId="176">
      <formula>((F48-50)/H48)&lt;950</formula>
    </cfRule>
  </conditionalFormatting>
  <conditionalFormatting sqref="G46">
    <cfRule type="expression" priority="571" dxfId="175">
      <formula>((F48-50)/H48)&lt;950</formula>
    </cfRule>
  </conditionalFormatting>
  <conditionalFormatting sqref="G48">
    <cfRule type="cellIs" priority="567" operator="lessThan" dxfId="164">
      <formula>400</formula>
    </cfRule>
  </conditionalFormatting>
  <conditionalFormatting sqref="G62">
    <cfRule type="expression" priority="642" dxfId="176">
      <formula>((F65-50)/H65)&lt;950</formula>
    </cfRule>
  </conditionalFormatting>
  <conditionalFormatting sqref="G63">
    <cfRule type="expression" priority="544" dxfId="175">
      <formula>((F65-50)/H65)&lt;950</formula>
    </cfRule>
  </conditionalFormatting>
  <conditionalFormatting sqref="G65">
    <cfRule type="cellIs" priority="540" operator="lessThan" dxfId="164">
      <formula>400</formula>
    </cfRule>
  </conditionalFormatting>
  <conditionalFormatting sqref="G79">
    <cfRule type="expression" priority="643" dxfId="176">
      <formula>((F82-50)/H82)&lt;950</formula>
    </cfRule>
  </conditionalFormatting>
  <conditionalFormatting sqref="G80">
    <cfRule type="expression" priority="516" dxfId="175">
      <formula>((F82-50)/H82)&lt;950</formula>
    </cfRule>
  </conditionalFormatting>
  <conditionalFormatting sqref="G82">
    <cfRule type="cellIs" priority="512" operator="lessThan" dxfId="164">
      <formula>400</formula>
    </cfRule>
  </conditionalFormatting>
  <conditionalFormatting sqref="G96">
    <cfRule type="expression" priority="653" dxfId="176">
      <formula>((F99-50)/H99)&lt;950</formula>
    </cfRule>
  </conditionalFormatting>
  <conditionalFormatting sqref="G97">
    <cfRule type="expression" priority="487" dxfId="175">
      <formula>((F99-50)/H99)&lt;950</formula>
    </cfRule>
  </conditionalFormatting>
  <conditionalFormatting sqref="G99">
    <cfRule type="cellIs" priority="483" operator="lessThan" dxfId="164">
      <formula>400</formula>
    </cfRule>
  </conditionalFormatting>
  <conditionalFormatting sqref="G113">
    <cfRule type="expression" priority="321" dxfId="176">
      <formula>((F116-50)/H116)&lt;950</formula>
    </cfRule>
  </conditionalFormatting>
  <conditionalFormatting sqref="G114">
    <cfRule type="expression" priority="310" dxfId="175">
      <formula>((F116-50)/H116)&lt;950</formula>
    </cfRule>
  </conditionalFormatting>
  <conditionalFormatting sqref="G116">
    <cfRule type="cellIs" priority="306" operator="lessThan" dxfId="164">
      <formula>400</formula>
    </cfRule>
  </conditionalFormatting>
  <conditionalFormatting sqref="G130">
    <cfRule type="expression" priority="266" dxfId="176">
      <formula>((F133-50)/H133)&lt;950</formula>
    </cfRule>
  </conditionalFormatting>
  <conditionalFormatting sqref="G131">
    <cfRule type="expression" priority="255" dxfId="175">
      <formula>((F133-50)/H133)&lt;950</formula>
    </cfRule>
  </conditionalFormatting>
  <conditionalFormatting sqref="G133">
    <cfRule type="cellIs" priority="251" operator="lessThan" dxfId="164">
      <formula>400</formula>
    </cfRule>
  </conditionalFormatting>
  <conditionalFormatting sqref="G147">
    <cfRule type="expression" priority="215" dxfId="176">
      <formula>((F150-50)/H150)&lt;950</formula>
    </cfRule>
  </conditionalFormatting>
  <conditionalFormatting sqref="G148">
    <cfRule type="expression" priority="204" dxfId="175">
      <formula>((F150-50)/H150)&lt;950</formula>
    </cfRule>
  </conditionalFormatting>
  <conditionalFormatting sqref="G150">
    <cfRule type="cellIs" priority="200" operator="lessThan" dxfId="164">
      <formula>400</formula>
    </cfRule>
  </conditionalFormatting>
  <conditionalFormatting sqref="G164">
    <cfRule type="expression" priority="164" dxfId="176">
      <formula>((F167-50)/H167)&lt;950</formula>
    </cfRule>
  </conditionalFormatting>
  <conditionalFormatting sqref="G165">
    <cfRule type="expression" priority="153" dxfId="175">
      <formula>((F167-50)/H167)&lt;950</formula>
    </cfRule>
  </conditionalFormatting>
  <conditionalFormatting sqref="G167">
    <cfRule type="cellIs" priority="149" operator="lessThan" dxfId="164">
      <formula>400</formula>
    </cfRule>
  </conditionalFormatting>
  <conditionalFormatting sqref="I14">
    <cfRule type="cellIs" priority="677" operator="lessThan" dxfId="164">
      <formula>0.1</formula>
    </cfRule>
  </conditionalFormatting>
  <conditionalFormatting sqref="I31">
    <cfRule type="cellIs" priority="600" operator="lessThan" dxfId="164">
      <formula>0.1</formula>
    </cfRule>
  </conditionalFormatting>
  <conditionalFormatting sqref="I48">
    <cfRule type="cellIs" priority="568" operator="lessThan" dxfId="164">
      <formula>0.1</formula>
    </cfRule>
  </conditionalFormatting>
  <conditionalFormatting sqref="I65">
    <cfRule type="cellIs" priority="541" operator="lessThan" dxfId="164">
      <formula>0.1</formula>
    </cfRule>
  </conditionalFormatting>
  <conditionalFormatting sqref="I82">
    <cfRule type="cellIs" priority="513" operator="lessThan" dxfId="164">
      <formula>0.1</formula>
    </cfRule>
  </conditionalFormatting>
  <conditionalFormatting sqref="I99">
    <cfRule type="cellIs" priority="484" operator="lessThan" dxfId="164">
      <formula>0.1</formula>
    </cfRule>
  </conditionalFormatting>
  <conditionalFormatting sqref="I116">
    <cfRule type="cellIs" priority="307" operator="lessThan" dxfId="164">
      <formula>0.1</formula>
    </cfRule>
  </conditionalFormatting>
  <conditionalFormatting sqref="I133">
    <cfRule type="cellIs" priority="252" operator="lessThan" dxfId="164">
      <formula>0.1</formula>
    </cfRule>
  </conditionalFormatting>
  <conditionalFormatting sqref="I150">
    <cfRule type="cellIs" priority="201" operator="lessThan" dxfId="164">
      <formula>0.1</formula>
    </cfRule>
  </conditionalFormatting>
  <conditionalFormatting sqref="I167">
    <cfRule type="cellIs" priority="150" operator="lessThan" dxfId="164">
      <formula>0.1</formula>
    </cfRule>
  </conditionalFormatting>
  <conditionalFormatting sqref="J14:J27">
    <cfRule type="cellIs" priority="410" operator="greaterThan" dxfId="153">
      <formula>0</formula>
    </cfRule>
  </conditionalFormatting>
  <conditionalFormatting sqref="J31:J44">
    <cfRule type="cellIs" priority="383" operator="greaterThan" dxfId="153">
      <formula>0</formula>
    </cfRule>
  </conditionalFormatting>
  <conditionalFormatting sqref="J48:J61">
    <cfRule type="cellIs" priority="99" operator="greaterThan" dxfId="153">
      <formula>0</formula>
    </cfRule>
  </conditionalFormatting>
  <conditionalFormatting sqref="J65:J78">
    <cfRule type="cellIs" priority="85" operator="greaterThan" dxfId="153">
      <formula>0</formula>
    </cfRule>
  </conditionalFormatting>
  <conditionalFormatting sqref="J82:J95">
    <cfRule type="cellIs" priority="71" operator="greaterThan" dxfId="153">
      <formula>0</formula>
    </cfRule>
  </conditionalFormatting>
  <conditionalFormatting sqref="J99:J112">
    <cfRule type="cellIs" priority="57" operator="greaterThan" dxfId="153">
      <formula>0</formula>
    </cfRule>
  </conditionalFormatting>
  <conditionalFormatting sqref="J116:J129">
    <cfRule type="cellIs" priority="43" operator="greaterThan" dxfId="153">
      <formula>0</formula>
    </cfRule>
  </conditionalFormatting>
  <conditionalFormatting sqref="J133:J146">
    <cfRule type="cellIs" priority="29" operator="greaterThan" dxfId="153">
      <formula>0</formula>
    </cfRule>
  </conditionalFormatting>
  <conditionalFormatting sqref="J150:J163">
    <cfRule type="cellIs" priority="15" operator="greaterThan" dxfId="153">
      <formula>0</formula>
    </cfRule>
  </conditionalFormatting>
  <conditionalFormatting sqref="J167:J180">
    <cfRule type="cellIs" priority="1" operator="greaterThan" dxfId="153">
      <formula>0</formula>
    </cfRule>
  </conditionalFormatting>
  <conditionalFormatting sqref="J183:J197">
    <cfRule type="expression" priority="267" dxfId="153">
      <formula>C183&gt;0</formula>
    </cfRule>
  </conditionalFormatting>
  <conditionalFormatting sqref="J199">
    <cfRule type="expression" priority="658" dxfId="2">
      <formula>#REF!="EURO"</formula>
    </cfRule>
  </conditionalFormatting>
  <conditionalFormatting sqref="K14:K27">
    <cfRule type="cellIs" priority="424" operator="greaterThan" dxfId="141">
      <formula>0</formula>
    </cfRule>
  </conditionalFormatting>
  <conditionalFormatting sqref="K31:K44">
    <cfRule type="cellIs" priority="386" operator="greaterThan" dxfId="141">
      <formula>0</formula>
    </cfRule>
  </conditionalFormatting>
  <conditionalFormatting sqref="K48:K61">
    <cfRule type="cellIs" priority="102" operator="greaterThan" dxfId="141">
      <formula>0</formula>
    </cfRule>
  </conditionalFormatting>
  <conditionalFormatting sqref="K65:K78">
    <cfRule type="cellIs" priority="88" operator="greaterThan" dxfId="141">
      <formula>0</formula>
    </cfRule>
  </conditionalFormatting>
  <conditionalFormatting sqref="K82:K95">
    <cfRule type="cellIs" priority="74" operator="greaterThan" dxfId="141">
      <formula>0</formula>
    </cfRule>
  </conditionalFormatting>
  <conditionalFormatting sqref="K99:K112">
    <cfRule type="cellIs" priority="60" operator="greaterThan" dxfId="141">
      <formula>0</formula>
    </cfRule>
  </conditionalFormatting>
  <conditionalFormatting sqref="K116:K129">
    <cfRule type="cellIs" priority="46" operator="greaterThan" dxfId="141">
      <formula>0</formula>
    </cfRule>
  </conditionalFormatting>
  <conditionalFormatting sqref="K133:K146">
    <cfRule type="cellIs" priority="32" operator="greaterThan" dxfId="141">
      <formula>0</formula>
    </cfRule>
  </conditionalFormatting>
  <conditionalFormatting sqref="K150:K163">
    <cfRule type="cellIs" priority="18" operator="greaterThan" dxfId="141">
      <formula>0</formula>
    </cfRule>
  </conditionalFormatting>
  <conditionalFormatting sqref="K167:K180">
    <cfRule type="cellIs" priority="4" operator="greaterThan" dxfId="141">
      <formula>0</formula>
    </cfRule>
  </conditionalFormatting>
  <conditionalFormatting sqref="K183:K197">
    <cfRule type="cellIs" priority="268" operator="greaterThan" dxfId="141">
      <formula>0</formula>
    </cfRule>
  </conditionalFormatting>
  <conditionalFormatting sqref="K199">
    <cfRule type="expression" priority="657" dxfId="2">
      <formula>$B$9="EURO"</formula>
    </cfRule>
    <cfRule type="expression" priority="656" dxfId="3">
      <formula>$B$9="USD"</formula>
    </cfRule>
    <cfRule type="expression" priority="655" dxfId="0">
      <formula>$B$9="CZK"</formula>
    </cfRule>
    <cfRule type="expression" priority="654" dxfId="4">
      <formula>$B$9="PLN"</formula>
    </cfRule>
  </conditionalFormatting>
  <conditionalFormatting sqref="L14:L27">
    <cfRule type="expression" priority="421" dxfId="116">
      <formula>$C$9&lt;0</formula>
    </cfRule>
    <cfRule type="expression" priority="422" dxfId="115">
      <formula>$C$9&gt;0</formula>
    </cfRule>
  </conditionalFormatting>
  <conditionalFormatting sqref="L31:L44">
    <cfRule type="expression" priority="385" dxfId="115">
      <formula>$C$9&gt;0</formula>
    </cfRule>
    <cfRule type="expression" priority="384" dxfId="116">
      <formula>$C$9&lt;0</formula>
    </cfRule>
  </conditionalFormatting>
  <conditionalFormatting sqref="L48:L61">
    <cfRule type="expression" priority="100" dxfId="116">
      <formula>$C$9&lt;0</formula>
    </cfRule>
    <cfRule type="expression" priority="101" dxfId="115">
      <formula>$C$9&gt;0</formula>
    </cfRule>
  </conditionalFormatting>
  <conditionalFormatting sqref="L65:L78">
    <cfRule type="expression" priority="86" dxfId="116">
      <formula>$C$9&lt;0</formula>
    </cfRule>
    <cfRule type="expression" priority="87" dxfId="115">
      <formula>$C$9&gt;0</formula>
    </cfRule>
  </conditionalFormatting>
  <conditionalFormatting sqref="L82:L95">
    <cfRule type="expression" priority="72" dxfId="116">
      <formula>$C$9&lt;0</formula>
    </cfRule>
    <cfRule type="expression" priority="73" dxfId="115">
      <formula>$C$9&gt;0</formula>
    </cfRule>
  </conditionalFormatting>
  <conditionalFormatting sqref="L99:L112">
    <cfRule type="expression" priority="58" dxfId="116">
      <formula>$C$9&lt;0</formula>
    </cfRule>
    <cfRule type="expression" priority="59" dxfId="115">
      <formula>$C$9&gt;0</formula>
    </cfRule>
  </conditionalFormatting>
  <conditionalFormatting sqref="L116:L129">
    <cfRule type="expression" priority="44" dxfId="116">
      <formula>$C$9&lt;0</formula>
    </cfRule>
    <cfRule type="expression" priority="45" dxfId="115">
      <formula>$C$9&gt;0</formula>
    </cfRule>
  </conditionalFormatting>
  <conditionalFormatting sqref="L133:L146">
    <cfRule type="expression" priority="31" dxfId="115">
      <formula>$C$9&gt;0</formula>
    </cfRule>
    <cfRule type="expression" priority="30" dxfId="116">
      <formula>$C$9&lt;0</formula>
    </cfRule>
  </conditionalFormatting>
  <conditionalFormatting sqref="L150:L163">
    <cfRule type="expression" priority="17" dxfId="115">
      <formula>$C$9&gt;0</formula>
    </cfRule>
    <cfRule type="expression" priority="16" dxfId="116">
      <formula>$C$9&lt;0</formula>
    </cfRule>
  </conditionalFormatting>
  <conditionalFormatting sqref="L167:L180">
    <cfRule type="expression" priority="3" dxfId="115">
      <formula>$C$9&gt;0</formula>
    </cfRule>
    <cfRule type="expression" priority="2" dxfId="116">
      <formula>$C$9&lt;0</formula>
    </cfRule>
  </conditionalFormatting>
  <conditionalFormatting sqref="L183:L197">
    <cfRule type="expression" priority="644" dxfId="116">
      <formula>$C$9&lt;0</formula>
    </cfRule>
    <cfRule type="expression" priority="645" dxfId="115">
      <formula>$C$9&gt;0</formula>
    </cfRule>
  </conditionalFormatting>
  <conditionalFormatting sqref="N9 N12">
    <cfRule type="expression" priority="688" dxfId="4">
      <formula>$B$9="PLN"</formula>
    </cfRule>
    <cfRule type="expression" priority="689" dxfId="0">
      <formula>$B$9="CZK"</formula>
    </cfRule>
    <cfRule type="expression" priority="690" dxfId="3">
      <formula>$B$9="USD"</formula>
    </cfRule>
    <cfRule type="expression" priority="691" dxfId="2">
      <formula>$B$9="EURO"</formula>
    </cfRule>
  </conditionalFormatting>
  <conditionalFormatting sqref="N14:N27">
    <cfRule type="expression" priority="630" dxfId="3">
      <formula>$B$9="USD"</formula>
    </cfRule>
    <cfRule type="expression" priority="629" dxfId="2">
      <formula>$B$9="EURO"</formula>
    </cfRule>
    <cfRule type="cellIs" priority="628" operator="greaterThan" dxfId="1">
      <formula>0</formula>
    </cfRule>
    <cfRule type="expression" priority="632" dxfId="0">
      <formula>$B$9="CZK"</formula>
    </cfRule>
    <cfRule type="expression" priority="631" dxfId="4">
      <formula>$B$9="PLN"</formula>
    </cfRule>
  </conditionalFormatting>
  <conditionalFormatting sqref="N29">
    <cfRule type="expression" priority="609" dxfId="4">
      <formula>$B$9="PLN"</formula>
    </cfRule>
    <cfRule type="expression" priority="612" dxfId="2">
      <formula>$B$9="EURO"</formula>
    </cfRule>
    <cfRule type="expression" priority="611" dxfId="3">
      <formula>$B$9="USD"</formula>
    </cfRule>
    <cfRule type="expression" priority="610" dxfId="0">
      <formula>$B$9="CZK"</formula>
    </cfRule>
  </conditionalFormatting>
  <conditionalFormatting sqref="N31:N44">
    <cfRule type="cellIs" priority="389" operator="greaterThan" dxfId="1">
      <formula>0</formula>
    </cfRule>
    <cfRule type="expression" priority="390" dxfId="2">
      <formula>$B$9="EURO"</formula>
    </cfRule>
    <cfRule type="expression" priority="391" dxfId="3">
      <formula>$B$9="USD"</formula>
    </cfRule>
    <cfRule type="expression" priority="392" dxfId="4">
      <formula>$B$9="PLN"</formula>
    </cfRule>
    <cfRule type="expression" priority="393" dxfId="0">
      <formula>$B$9="CZK"</formula>
    </cfRule>
  </conditionalFormatting>
  <conditionalFormatting sqref="N46">
    <cfRule type="expression" priority="577" dxfId="4">
      <formula>$B$9="PLN"</formula>
    </cfRule>
    <cfRule type="expression" priority="579" dxfId="3">
      <formula>$B$9="USD"</formula>
    </cfRule>
    <cfRule type="expression" priority="580" dxfId="2">
      <formula>$B$9="EURO"</formula>
    </cfRule>
    <cfRule type="expression" priority="578" dxfId="0">
      <formula>$B$9="CZK"</formula>
    </cfRule>
  </conditionalFormatting>
  <conditionalFormatting sqref="N48:N61">
    <cfRule type="expression" priority="105" dxfId="2">
      <formula>$B$9="EURO"</formula>
    </cfRule>
    <cfRule type="cellIs" priority="104" operator="greaterThan" dxfId="1">
      <formula>0</formula>
    </cfRule>
    <cfRule type="expression" priority="108" dxfId="0">
      <formula>$B$9="CZK"</formula>
    </cfRule>
    <cfRule type="expression" priority="107" dxfId="4">
      <formula>$B$9="PLN"</formula>
    </cfRule>
    <cfRule type="expression" priority="106" dxfId="3">
      <formula>$B$9="USD"</formula>
    </cfRule>
  </conditionalFormatting>
  <conditionalFormatting sqref="N63">
    <cfRule type="expression" priority="550" dxfId="4">
      <formula>$B$9="PLN"</formula>
    </cfRule>
    <cfRule type="expression" priority="551" dxfId="0">
      <formula>$B$9="CZK"</formula>
    </cfRule>
    <cfRule type="expression" priority="552" dxfId="3">
      <formula>$B$9="USD"</formula>
    </cfRule>
    <cfRule type="expression" priority="553" dxfId="2">
      <formula>$B$9="EURO"</formula>
    </cfRule>
  </conditionalFormatting>
  <conditionalFormatting sqref="N65:N78">
    <cfRule type="expression" priority="93" dxfId="4">
      <formula>$B$9="PLN"</formula>
    </cfRule>
    <cfRule type="expression" priority="94" dxfId="0">
      <formula>$B$9="CZK"</formula>
    </cfRule>
    <cfRule type="expression" priority="92" dxfId="3">
      <formula>$B$9="USD"</formula>
    </cfRule>
    <cfRule type="expression" priority="91" dxfId="2">
      <formula>$B$9="EURO"</formula>
    </cfRule>
    <cfRule type="cellIs" priority="90" operator="greaterThan" dxfId="1">
      <formula>0</formula>
    </cfRule>
  </conditionalFormatting>
  <conditionalFormatting sqref="N80">
    <cfRule type="expression" priority="523" dxfId="0">
      <formula>$B$9="CZK"</formula>
    </cfRule>
    <cfRule type="expression" priority="524" dxfId="3">
      <formula>$B$9="USD"</formula>
    </cfRule>
    <cfRule type="expression" priority="522" dxfId="4">
      <formula>$B$9="PLN"</formula>
    </cfRule>
    <cfRule type="expression" priority="525" dxfId="2">
      <formula>$B$9="EURO"</formula>
    </cfRule>
  </conditionalFormatting>
  <conditionalFormatting sqref="N82:N95">
    <cfRule type="expression" priority="79" dxfId="4">
      <formula>$B$9="PLN"</formula>
    </cfRule>
    <cfRule type="expression" priority="78" dxfId="3">
      <formula>$B$9="USD"</formula>
    </cfRule>
    <cfRule type="expression" priority="80" dxfId="0">
      <formula>$B$9="CZK"</formula>
    </cfRule>
    <cfRule type="cellIs" priority="76" operator="greaterThan" dxfId="1">
      <formula>0</formula>
    </cfRule>
    <cfRule type="expression" priority="77" dxfId="2">
      <formula>$B$9="EURO"</formula>
    </cfRule>
  </conditionalFormatting>
  <conditionalFormatting sqref="N97">
    <cfRule type="expression" priority="494" dxfId="0">
      <formula>$B$9="CZK"</formula>
    </cfRule>
    <cfRule type="expression" priority="493" dxfId="4">
      <formula>$B$9="PLN"</formula>
    </cfRule>
    <cfRule type="expression" priority="496" dxfId="2">
      <formula>$B$9="EURO"</formula>
    </cfRule>
    <cfRule type="expression" priority="495" dxfId="3">
      <formula>$B$9="USD"</formula>
    </cfRule>
  </conditionalFormatting>
  <conditionalFormatting sqref="N99:N112">
    <cfRule type="cellIs" priority="62" operator="greaterThan" dxfId="1">
      <formula>0</formula>
    </cfRule>
    <cfRule type="expression" priority="63" dxfId="2">
      <formula>$B$9="EURO"</formula>
    </cfRule>
    <cfRule type="expression" priority="64" dxfId="3">
      <formula>$B$9="USD"</formula>
    </cfRule>
    <cfRule type="expression" priority="65" dxfId="4">
      <formula>$B$9="PLN"</formula>
    </cfRule>
    <cfRule type="expression" priority="66" dxfId="0">
      <formula>$B$9="CZK"</formula>
    </cfRule>
  </conditionalFormatting>
  <conditionalFormatting sqref="N114">
    <cfRule type="expression" priority="317" dxfId="0">
      <formula>$B$9="CZK"</formula>
    </cfRule>
    <cfRule type="expression" priority="318" dxfId="3">
      <formula>$B$9="USD"</formula>
    </cfRule>
    <cfRule type="expression" priority="319" dxfId="2">
      <formula>$B$9="EURO"</formula>
    </cfRule>
    <cfRule type="expression" priority="316" dxfId="4">
      <formula>$B$9="PLN"</formula>
    </cfRule>
  </conditionalFormatting>
  <conditionalFormatting sqref="N116:N129">
    <cfRule type="cellIs" priority="48" operator="greaterThan" dxfId="1">
      <formula>0</formula>
    </cfRule>
    <cfRule type="expression" priority="52" dxfId="0">
      <formula>$B$9="CZK"</formula>
    </cfRule>
    <cfRule type="expression" priority="51" dxfId="4">
      <formula>$B$9="PLN"</formula>
    </cfRule>
    <cfRule type="expression" priority="50" dxfId="3">
      <formula>$B$9="USD"</formula>
    </cfRule>
    <cfRule type="expression" priority="49" dxfId="2">
      <formula>$B$9="EURO"</formula>
    </cfRule>
  </conditionalFormatting>
  <conditionalFormatting sqref="N131">
    <cfRule type="expression" priority="261" dxfId="4">
      <formula>$B$9="PLN"</formula>
    </cfRule>
    <cfRule type="expression" priority="262" dxfId="0">
      <formula>$B$9="CZK"</formula>
    </cfRule>
    <cfRule type="expression" priority="263" dxfId="3">
      <formula>$B$9="USD"</formula>
    </cfRule>
    <cfRule type="expression" priority="264" dxfId="2">
      <formula>$B$9="EURO"</formula>
    </cfRule>
  </conditionalFormatting>
  <conditionalFormatting sqref="N133:N146">
    <cfRule type="expression" priority="37" dxfId="4">
      <formula>$B$9="PLN"</formula>
    </cfRule>
    <cfRule type="expression" priority="36" dxfId="3">
      <formula>$B$9="USD"</formula>
    </cfRule>
    <cfRule type="expression" priority="38" dxfId="0">
      <formula>$B$9="CZK"</formula>
    </cfRule>
    <cfRule type="expression" priority="35" dxfId="2">
      <formula>$B$9="EURO"</formula>
    </cfRule>
    <cfRule type="cellIs" priority="34" operator="greaterThan" dxfId="1">
      <formula>0</formula>
    </cfRule>
  </conditionalFormatting>
  <conditionalFormatting sqref="N148">
    <cfRule type="expression" priority="213" dxfId="2">
      <formula>$B$9="EURO"</formula>
    </cfRule>
    <cfRule type="expression" priority="211" dxfId="0">
      <formula>$B$9="CZK"</formula>
    </cfRule>
    <cfRule type="expression" priority="210" dxfId="4">
      <formula>$B$9="PLN"</formula>
    </cfRule>
    <cfRule type="expression" priority="212" dxfId="3">
      <formula>$B$9="USD"</formula>
    </cfRule>
  </conditionalFormatting>
  <conditionalFormatting sqref="N150:N163">
    <cfRule type="expression" priority="22" dxfId="3">
      <formula>$B$9="USD"</formula>
    </cfRule>
    <cfRule type="cellIs" priority="20" operator="greaterThan" dxfId="1">
      <formula>0</formula>
    </cfRule>
    <cfRule type="expression" priority="21" dxfId="2">
      <formula>$B$9="EURO"</formula>
    </cfRule>
    <cfRule type="expression" priority="24" dxfId="0">
      <formula>$B$9="CZK"</formula>
    </cfRule>
    <cfRule type="expression" priority="23" dxfId="4">
      <formula>$B$9="PLN"</formula>
    </cfRule>
  </conditionalFormatting>
  <conditionalFormatting sqref="N165">
    <cfRule type="expression" priority="161" dxfId="3">
      <formula>$B$9="USD"</formula>
    </cfRule>
    <cfRule type="expression" priority="160" dxfId="0">
      <formula>$B$9="CZK"</formula>
    </cfRule>
    <cfRule type="expression" priority="162" dxfId="2">
      <formula>$B$9="EURO"</formula>
    </cfRule>
    <cfRule type="expression" priority="159" dxfId="4">
      <formula>$B$9="PLN"</formula>
    </cfRule>
  </conditionalFormatting>
  <conditionalFormatting sqref="N167:N180">
    <cfRule type="expression" priority="10" dxfId="0">
      <formula>$B$9="CZK"</formula>
    </cfRule>
    <cfRule type="expression" priority="7" dxfId="2">
      <formula>$B$9="EURO"</formula>
    </cfRule>
    <cfRule type="cellIs" priority="6" operator="greaterThan" dxfId="1">
      <formula>0</formula>
    </cfRule>
    <cfRule type="expression" priority="8" dxfId="3">
      <formula>$B$9="USD"</formula>
    </cfRule>
    <cfRule type="expression" priority="9" dxfId="4">
      <formula>$B$9="PLN"</formula>
    </cfRule>
  </conditionalFormatting>
  <conditionalFormatting sqref="N183:N197">
    <cfRule type="expression" priority="640" dxfId="0">
      <formula>$B$9="CZK"</formula>
    </cfRule>
    <cfRule type="expression" priority="639" dxfId="4">
      <formula>$B$9="PLN"</formula>
    </cfRule>
    <cfRule type="expression" priority="638" dxfId="3">
      <formula>$B$9="USD"</formula>
    </cfRule>
    <cfRule type="expression" priority="637" dxfId="2">
      <formula>$B$9="EURO"</formula>
    </cfRule>
    <cfRule type="cellIs" priority="636" operator="greaterThan" dxfId="1">
      <formula>0</formula>
    </cfRule>
  </conditionalFormatting>
  <conditionalFormatting sqref="N182:O182">
    <cfRule type="expression" priority="647" dxfId="0">
      <formula>$B$9="CZK"</formula>
    </cfRule>
    <cfRule type="expression" priority="646" dxfId="4">
      <formula>$B$9="PLN"</formula>
    </cfRule>
    <cfRule type="expression" priority="649" dxfId="2">
      <formula>$B$9="EURO"</formula>
    </cfRule>
    <cfRule type="expression" priority="648" dxfId="3">
      <formula>$B$9="USD"</formula>
    </cfRule>
  </conditionalFormatting>
  <conditionalFormatting sqref="O14:O27">
    <cfRule type="cellIs" priority="633" operator="greaterThan" dxfId="5">
      <formula>0</formula>
    </cfRule>
  </conditionalFormatting>
  <conditionalFormatting sqref="O31:O44">
    <cfRule type="cellIs" priority="394" operator="greaterThan" dxfId="5">
      <formula>0</formula>
    </cfRule>
  </conditionalFormatting>
  <conditionalFormatting sqref="O48:O61">
    <cfRule type="cellIs" priority="109" operator="greaterThan" dxfId="5">
      <formula>0</formula>
    </cfRule>
  </conditionalFormatting>
  <conditionalFormatting sqref="O65:O78">
    <cfRule type="cellIs" priority="95" operator="greaterThan" dxfId="5">
      <formula>0</formula>
    </cfRule>
  </conditionalFormatting>
  <conditionalFormatting sqref="O82:O95">
    <cfRule type="cellIs" priority="81" operator="greaterThan" dxfId="5">
      <formula>0</formula>
    </cfRule>
  </conditionalFormatting>
  <conditionalFormatting sqref="O99:O112">
    <cfRule type="cellIs" priority="67" operator="greaterThan" dxfId="5">
      <formula>0</formula>
    </cfRule>
  </conditionalFormatting>
  <conditionalFormatting sqref="O116:O129">
    <cfRule type="cellIs" priority="53" operator="greaterThan" dxfId="5">
      <formula>0</formula>
    </cfRule>
  </conditionalFormatting>
  <conditionalFormatting sqref="O133:O146">
    <cfRule type="cellIs" priority="39" operator="greaterThan" dxfId="5">
      <formula>0</formula>
    </cfRule>
  </conditionalFormatting>
  <conditionalFormatting sqref="O150:O163">
    <cfRule type="cellIs" priority="25" operator="greaterThan" dxfId="5">
      <formula>0</formula>
    </cfRule>
  </conditionalFormatting>
  <conditionalFormatting sqref="O167:O180">
    <cfRule type="cellIs" priority="11" operator="greaterThan" dxfId="5">
      <formula>0</formula>
    </cfRule>
  </conditionalFormatting>
  <conditionalFormatting sqref="O183:O197">
    <cfRule type="cellIs" priority="659" operator="greaterThan" dxfId="5">
      <formula>0</formula>
    </cfRule>
  </conditionalFormatting>
  <conditionalFormatting sqref="Q16">
    <cfRule type="expression" priority="414" dxfId="4">
      <formula>$B$9="PLN"</formula>
    </cfRule>
    <cfRule type="expression" priority="413" dxfId="3">
      <formula>$B$9="USD"</formula>
    </cfRule>
    <cfRule type="expression" priority="412" dxfId="2">
      <formula>$B$9="EURO"</formula>
    </cfRule>
    <cfRule type="cellIs" priority="411" operator="greaterThan" dxfId="1">
      <formula>0</formula>
    </cfRule>
    <cfRule type="expression" priority="415" dxfId="0">
      <formula>$B$9="CZK"</formula>
    </cfRule>
  </conditionalFormatting>
  <dataValidations count="16">
    <dataValidation sqref="D26 D43 D60 D77 D94 D111 D128 D145 D162 D179" showDropDown="0" showInputMessage="1" showErrorMessage="1" allowBlank="1" type="list">
      <formula1>"0,1,2,3,4,5,6,7,8,9,10"</formula1>
    </dataValidation>
    <dataValidation sqref="G181" showDropDown="0" showInputMessage="1" showErrorMessage="1" allowBlank="1" type="list">
      <formula1>#REF!</formula1>
    </dataValidation>
    <dataValidation sqref="C14 C31 C48 C65 C82 C99 C116 C133 C150 C167" showDropDown="0" showInputMessage="1" showErrorMessage="1" allowBlank="1" type="list">
      <formula1>"WALL, ISLAND"</formula1>
    </dataValidation>
    <dataValidation sqref="E14 E31 E48 E65 E82 E99 E116 E133 E150 E167" showDropDown="0" showInputMessage="1" showErrorMessage="1" allowBlank="1" operator="greaterThan"/>
    <dataValidation sqref="C20:C21 C37:C38 C54:C55 C71:C72 C88:C89 C105:C106 C122:C123 C139:C140 C156:C157 C173:C174" showDropDown="0" showInputMessage="1" showErrorMessage="1" allowBlank="1" type="list">
      <formula1>"0,1,2,3,4,5,6,7,8,9,10,11,12,13,14,15,16,17,18,19,20"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7 C44 C61 C78 C95 C112 C129 C146 C163 C180" showDropDown="0" showInputMessage="1" showErrorMessage="1" allowBlank="1" type="list">
      <formula1>"0,0.5,1,1.5,2,2.5,3,3.5,4,4.5,5"</formula1>
    </dataValidation>
    <dataValidation sqref="C15 C32 C49 C66 C83 C100 C117 C134 C151 C168 C185 C202 C219 C236 C253 C270 C287 C304" showDropDown="0" showInputMessage="0" showErrorMessage="0" allowBlank="1" type="list">
      <formula1>Lists!$A$1:$A$5</formula1>
    </dataValidation>
    <dataValidation sqref="C16 C33 C50 C67 C84 C101 C118 C135 C152 C169 C186 C203 C220 C237 C254 C271 C288 C305" showDropDown="0" showInputMessage="0" showErrorMessage="0" allowBlank="1" type="list">
      <formula1>Lists!$B$1:$B$17</formula1>
    </dataValidation>
    <dataValidation sqref="C17 C34 C51 C68 C85 C102 C119 C136 C153 C170 C187 C204 C221 C238 C255 C272 C289 C306" showDropDown="0" showInputMessage="0" showErrorMessage="0" allowBlank="1" type="list">
      <formula1>Lists!$B$1:$B$18</formula1>
    </dataValidation>
    <dataValidation sqref="C19 C36 C53 C70 C87 C104 C121 C138 C155 C172 C189 C206 C223 C240 C257 C274 C291 C308" showDropDown="0" showInputMessage="0" showErrorMessage="0" allowBlank="1" type="list">
      <formula1>Lists!$C$1:$C$2</formula1>
    </dataValidation>
    <dataValidation sqref="C25 C42 C59 C76 C93 C110 C127 C144 C161 C178 C195 C212 C229 C246 C263 C280 C297" showDropDown="0" showInputMessage="0" showErrorMessage="0" allowBlank="1" type="list">
      <formula1>Lists!$D$1:$D$4</formula1>
    </dataValidation>
    <dataValidation sqref="C26 C43 C60 C77 C94 C111 C128 C145 C162 C179 C196 C213 C230 C247 C264 C281 C298" showDropDown="0" showInputMessage="0" showErrorMessage="0" allowBlank="1" type="list">
      <formula1>Lists!$E$1:$E$10</formula1>
    </dataValidation>
    <dataValidation sqref="D183" showDropDown="0" showInputMessage="0" showErrorMessage="0" allowBlank="1" type="list">
      <formula1>Lists!$F$1:$F$193</formula1>
    </dataValidation>
    <dataValidation sqref="D184" showDropDown="0" showInputMessage="0" showErrorMessage="0" allowBlank="1" type="list">
      <formula1>Lists!$G$1:$G$12</formula1>
    </dataValidation>
    <dataValidation sqref="D185" showDropDown="0" showInputMessage="0" showErrorMessage="0" allowBlank="1" type="list">
      <formula1>Lists!$G$1:$G$12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1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 codeName="Sheet19">
    <tabColor theme="8" tint="0.7999816888943144"/>
    <outlinePr summaryBelow="1" summaryRight="1"/>
    <pageSetUpPr fitToPage="1"/>
  </sheetPr>
  <dimension ref="A1:Z310"/>
  <sheetViews>
    <sheetView showGridLines="0" topLeftCell="G1" zoomScale="106" zoomScaleNormal="80" zoomScaleSheetLayoutView="50" workbookViewId="0">
      <selection activeCell="P183" sqref="P183"/>
    </sheetView>
  </sheetViews>
  <sheetFormatPr baseColWidth="10" defaultColWidth="8.83203125" defaultRowHeight="15" customHeight="1" outlineLevelRow="1"/>
  <cols>
    <col width="2" customWidth="1" style="666" min="1" max="1"/>
    <col width="29.6640625" customWidth="1" style="1095" min="2" max="2"/>
    <col width="24.6640625" customWidth="1" style="1095" min="3" max="3"/>
    <col width="27.1640625" customWidth="1" style="1095" min="4" max="4"/>
    <col width="26.6640625" customWidth="1" style="1095" min="5" max="5"/>
    <col width="18.83203125" customWidth="1" style="1095" min="6" max="6"/>
    <col width="22.6640625" customWidth="1" style="1095" min="7" max="7"/>
    <col width="10" bestFit="1" customWidth="1" style="1096" min="8" max="8"/>
    <col width="11.6640625" bestFit="1" customWidth="1" style="1096" min="9" max="9"/>
    <col width="12.33203125" customWidth="1" style="1097" min="10" max="10"/>
    <col width="15" customWidth="1" style="1098" min="11" max="11"/>
    <col width="7.6640625" bestFit="1" customWidth="1" style="1098" min="12" max="12"/>
    <col hidden="1" width="12.33203125" customWidth="1" style="1099" min="13" max="13"/>
    <col width="12.8320312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8"/>
    <col width="8.83203125" customWidth="1" style="1095" min="99" max="16384"/>
  </cols>
  <sheetData>
    <row r="1" ht="15" customHeight="1" s="1085">
      <c r="B1" s="1116" t="inlineStr">
        <is>
          <t>F24 - 19  CANOPY COST SHEET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 t="n"/>
      <c r="F3" s="690" t="inlineStr">
        <is>
          <t>Project Name</t>
        </is>
      </c>
      <c r="G3" s="1071" t="n"/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 t="n"/>
      <c r="F5" s="690" t="inlineStr">
        <is>
          <t>Location</t>
        </is>
      </c>
      <c r="G5" s="1071" t="n"/>
      <c r="M5" s="684" t="n"/>
      <c r="N5" s="685" t="n"/>
      <c r="P5" s="1118" t="inlineStr">
        <is>
          <t>RECO CANOPIES MUST HAVE COALESCERS</t>
        </is>
      </c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 t="n"/>
      <c r="F7" s="690" t="inlineStr">
        <is>
          <t>Date</t>
        </is>
      </c>
      <c r="G7" s="1075" t="n"/>
      <c r="N7" s="699" t="inlineStr">
        <is>
          <t>Revision No</t>
        </is>
      </c>
      <c r="O7" s="809" t="inlineStr">
        <is>
          <t>B</t>
        </is>
      </c>
      <c r="P7" s="1091" t="inlineStr">
        <is>
          <t>GP SHOULD BE MINIMUM 44%</t>
        </is>
      </c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47" t="n"/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8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 xml:space="preserve">ITEM 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68">
        <f>N12-N19</f>
        <v/>
      </c>
      <c r="Q12" s="1095" t="n"/>
      <c r="R12" s="1095" t="n"/>
      <c r="S12" s="713" t="n"/>
      <c r="T12" s="1095" t="n"/>
      <c r="X12" s="1095" t="n"/>
      <c r="Y12" s="1095" t="n"/>
      <c r="Z12" s="1095" t="n"/>
    </row>
    <row r="13" hidden="1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hidden="1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CANOPY TYPE</t>
        </is>
      </c>
      <c r="E14" s="734" t="n"/>
      <c r="F14" s="734" t="n"/>
      <c r="G14" s="734" t="n"/>
      <c r="H14" s="735" t="n"/>
      <c r="I14" s="734" t="n"/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hidden="1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LIGHT SELECTION</t>
        </is>
      </c>
      <c r="D15" s="741" t="n"/>
      <c r="E15" s="848" t="n"/>
      <c r="F15" s="743" t="n"/>
      <c r="G15" s="744" t="n"/>
      <c r="H15" s="668" t="n"/>
      <c r="I15" s="668" t="n"/>
      <c r="J15" s="736">
        <f>IF(ISNA(C12),0,IF(D15=0,0,IF(C15="FLO",VLOOKUP(E15,'Base Costs'!$M$4:$N$14,2,FALSE),IF(C15="LED STRIP",VLOOKUP(E15,'Base Costs'!$M$4:$N$14,2,FALSE),(VLOOKUP(C15,'Base Costs'!$M$4:$N$14,2,FALSE))))))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hidden="1" outlineLevel="1" ht="15" customHeight="1" s="1085">
      <c r="A16" s="666" t="n">
        <v>234</v>
      </c>
      <c r="B16" s="269" t="inlineStr">
        <is>
          <t>SPECIAL WORKS</t>
        </is>
      </c>
      <c r="C16" s="33" t="inlineStr">
        <is>
          <t>SELECT WORKS</t>
        </is>
      </c>
      <c r="D16" s="735" t="n"/>
      <c r="E16" s="753">
        <f>IF(C16="","",VLOOKUP(C16,CCBASE!$A$53:$D$73,4,FALSE))</f>
        <v/>
      </c>
      <c r="F16" s="754" t="n"/>
      <c r="G16" s="749" t="n"/>
      <c r="H16" s="750" t="n"/>
      <c r="I16" s="755" t="n"/>
      <c r="J16" s="736">
        <f>IF(C16="",0,VLOOKUP(C16,CCBASE!$A$53:$C$73,2,FALSE))</f>
        <v/>
      </c>
      <c r="K16" s="737">
        <f>J16*D16</f>
        <v/>
      </c>
      <c r="L16" s="738" t="n">
        <v>0.44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hidden="1" outlineLevel="1" ht="15" customHeight="1" s="1085">
      <c r="B17" s="269" t="inlineStr">
        <is>
          <t>SPECIAL WORKS</t>
        </is>
      </c>
      <c r="C17" s="752" t="inlineStr">
        <is>
          <t>SELECT WORKS</t>
        </is>
      </c>
      <c r="D17" s="735" t="n"/>
      <c r="E17" s="753">
        <f>IF(C17="","",VLOOKUP(C17,CCBASE!$A$53:$D$73,4,FALSE))</f>
        <v/>
      </c>
      <c r="F17" s="754" t="n"/>
      <c r="G17" s="749" t="n"/>
      <c r="H17" s="750" t="n"/>
      <c r="I17" s="755" t="n"/>
      <c r="J17" s="736">
        <f>IF(C17="",0,VLOOKUP(C17,CCBASE!$A$53:$C$73,2,FALSE))</f>
        <v/>
      </c>
      <c r="K17" s="737">
        <f>J17*D17</f>
        <v/>
      </c>
      <c r="L17" s="738" t="n">
        <v>0.44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hidden="1" outlineLevel="1" ht="15" customHeight="1" s="1085">
      <c r="B18" s="978" t="inlineStr">
        <is>
          <t>SPECIAL WORKS</t>
        </is>
      </c>
      <c r="C18" s="979" t="inlineStr">
        <is>
          <t>BIM/ REVIT per CANOPY</t>
        </is>
      </c>
      <c r="D18" s="980" t="n">
        <v>1</v>
      </c>
      <c r="E18" s="981">
        <f>IF(C18="","",VLOOKUP(C18,CCBASE!$A$53:$D$73,4,FALSE))</f>
        <v/>
      </c>
      <c r="F18" s="982" t="n"/>
      <c r="G18" s="977" t="n"/>
      <c r="H18" s="983" t="n"/>
      <c r="I18" s="984" t="n"/>
      <c r="J18" s="985">
        <f>IF(C18="",0,VLOOKUP(C18,CCBASE!$A$53:$C$73,2,FALSE))</f>
        <v/>
      </c>
      <c r="K18" s="986">
        <f>J18*D18</f>
        <v/>
      </c>
      <c r="L18" s="987" t="n">
        <v>0.44</v>
      </c>
      <c r="M18" s="988">
        <f>K18/(1-L18)*(1+$C$9)</f>
        <v/>
      </c>
      <c r="N18" s="986">
        <f>M18*VLOOKUP($B$9,'Base Costs'!$A$32:$B$37,2,FALSE)</f>
        <v/>
      </c>
      <c r="O18" s="989">
        <f>M18-K18</f>
        <v/>
      </c>
      <c r="P18" s="990" t="inlineStr">
        <is>
          <t>always include</t>
        </is>
      </c>
      <c r="S18" s="694" t="n"/>
      <c r="Y18" s="1095" t="n"/>
    </row>
    <row r="19" hidden="1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SELECT CLADDING</t>
        </is>
      </c>
      <c r="D19" s="756">
        <f>IF(NOT(ISBLANK(C19)), ROUNDUP($F14/1000,0), 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S19" s="694" t="n"/>
      <c r="Y19" s="1095" t="n"/>
    </row>
    <row r="20" hidden="1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hidden="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hidden="1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S22" s="694" t="n"/>
      <c r="Y22" s="1095" t="n"/>
    </row>
    <row r="23" hidden="1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>
        <f>IF(ISNA(D23),0,(VLOOKUP(D23,'Base Costs'!$Q$4:$R$14,2,FALSE)))</f>
        <v/>
      </c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hidden="1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hidden="1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hidden="1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hidden="1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collapsed="1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 xml:space="preserve">ITEM 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68">
        <f>N29-N36</f>
        <v/>
      </c>
      <c r="Q29" s="1095" t="n"/>
      <c r="R29" s="1095" t="n"/>
      <c r="S29" s="713" t="n"/>
      <c r="T29" s="1095" t="n"/>
      <c r="X29" s="1095" t="n"/>
      <c r="Y29" s="1095" t="n"/>
      <c r="Z29" s="1095" t="n"/>
    </row>
    <row r="30" hidden="1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hidden="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hidden="1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hidden="1" outlineLevel="1" ht="15" customHeight="1" s="1085">
      <c r="A33" s="666" t="n">
        <v>234</v>
      </c>
      <c r="B33" s="731" t="inlineStr">
        <is>
          <t>SPECIAL WORKS</t>
        </is>
      </c>
      <c r="C33" s="752" t="inlineStr">
        <is>
          <t>SELECT WORKS</t>
        </is>
      </c>
      <c r="D33" s="735" t="n"/>
      <c r="E33" s="753">
        <f>IF(C33="","",VLOOKUP(C33,CCBASE!$A$53:$D$73,4,FALSE))</f>
        <v/>
      </c>
      <c r="F33" s="754" t="n"/>
      <c r="G33" s="749" t="n"/>
      <c r="H33" s="750" t="n"/>
      <c r="I33" s="755" t="n"/>
      <c r="J33" s="736">
        <f>IF(C33="",0,VLOOKUP(C33,CCBASE!$A$53:$C$73,2,FALSE))</f>
        <v/>
      </c>
      <c r="K33" s="737">
        <f>J33*D33</f>
        <v/>
      </c>
      <c r="L33" s="738" t="n">
        <v>0.44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hidden="1" outlineLevel="1" ht="15" customHeight="1" s="1085">
      <c r="B34" s="731" t="inlineStr">
        <is>
          <t>SPECIAL WORKS</t>
        </is>
      </c>
      <c r="C34" s="752" t="inlineStr">
        <is>
          <t>SELECT WORKS</t>
        </is>
      </c>
      <c r="D34" s="735" t="n"/>
      <c r="E34" s="753">
        <f>IF(C34="","",VLOOKUP(C34,CCBASE!$A$53:$D$73,4,FALSE))</f>
        <v/>
      </c>
      <c r="F34" s="754" t="n"/>
      <c r="G34" s="749" t="n"/>
      <c r="H34" s="750" t="n"/>
      <c r="I34" s="755" t="n"/>
      <c r="J34" s="736">
        <f>IF(C34="",0,VLOOKUP(C34,CCBASE!$A$53:$C$73,2,FALSE))</f>
        <v/>
      </c>
      <c r="K34" s="737">
        <f>J34*D34</f>
        <v/>
      </c>
      <c r="L34" s="738" t="n">
        <v>0.44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hidden="1" outlineLevel="1" ht="15" customHeight="1" s="1085">
      <c r="B35" s="978" t="inlineStr">
        <is>
          <t>SPECIAL WORKS</t>
        </is>
      </c>
      <c r="C35" s="979" t="inlineStr">
        <is>
          <t>BIM/ REVIT per CANOPY</t>
        </is>
      </c>
      <c r="D35" s="980" t="n"/>
      <c r="E35" s="1111" t="n"/>
      <c r="G35" s="977" t="n"/>
      <c r="H35" s="983" t="n"/>
      <c r="I35" s="984" t="n"/>
      <c r="J35" s="985">
        <f>IF(C35="",0,VLOOKUP(C35,CCBASE!$A$53:$C$73,2,FALSE))</f>
        <v/>
      </c>
      <c r="K35" s="986">
        <f>J35*D35</f>
        <v/>
      </c>
      <c r="L35" s="987" t="n">
        <v>0.44</v>
      </c>
      <c r="M35" s="988">
        <f>K35/(1-L35)*(1+$C$9)</f>
        <v/>
      </c>
      <c r="N35" s="986">
        <f>M35*VLOOKUP($B$9,'Base Costs'!$A$32:$B$37,2,FALSE)</f>
        <v/>
      </c>
      <c r="O35" s="989">
        <f>M35-K35</f>
        <v/>
      </c>
      <c r="P35" s="990" t="inlineStr">
        <is>
          <t>always include</t>
        </is>
      </c>
      <c r="S35" s="694" t="n"/>
      <c r="Y35" s="1095" t="n"/>
    </row>
    <row r="36" hidden="1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SELECT CLADDING</t>
        </is>
      </c>
      <c r="D36" s="756">
        <f>IF(NOT(ISBLANK(C36)), ROUNDUP($F31/1000,0), 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Y36" s="1095" t="n"/>
    </row>
    <row r="37" hidden="1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hidden="1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hidden="1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S39" s="694" t="n"/>
      <c r="Y39" s="1095" t="n"/>
    </row>
    <row r="40" hidden="1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>
        <f>IF(ISNA(D40),0,(VLOOKUP(D40,'Base Costs'!$Q$4:$R$13,2,FALSE)))</f>
        <v/>
      </c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hidden="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hidden="1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hidden="1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hidden="1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collapsed="1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68">
        <f>N46-N53</f>
        <v/>
      </c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731" t="inlineStr">
        <is>
          <t>SPECIAL WORKS</t>
        </is>
      </c>
      <c r="C50" s="752" t="inlineStr">
        <is>
          <t>SELECT WORKS</t>
        </is>
      </c>
      <c r="D50" s="735" t="n"/>
      <c r="E50" s="753">
        <f>IF(C50="","",VLOOKUP(C50,CCBASE!$A$53:$D$73,4,FALSE))</f>
        <v/>
      </c>
      <c r="F50" s="754" t="n"/>
      <c r="G50" s="749" t="n"/>
      <c r="H50" s="750" t="n"/>
      <c r="I50" s="755" t="n"/>
      <c r="J50" s="736">
        <f>IF(C50="",0,VLOOKUP(C50,CCBASE!$A$53:$C$73,2,FALSE))</f>
        <v/>
      </c>
      <c r="K50" s="737">
        <f>J50*D50</f>
        <v/>
      </c>
      <c r="L50" s="738" t="n">
        <v>0.44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731" t="inlineStr">
        <is>
          <t>SPECIAL WORKS</t>
        </is>
      </c>
      <c r="C51" s="752" t="inlineStr">
        <is>
          <t>SELECT WORKS</t>
        </is>
      </c>
      <c r="D51" s="735" t="n"/>
      <c r="E51" s="753">
        <f>IF(C51="","",VLOOKUP(C51,CCBASE!$A$53:$D$73,4,FALSE))</f>
        <v/>
      </c>
      <c r="F51" s="754" t="n"/>
      <c r="G51" s="749" t="n"/>
      <c r="H51" s="750" t="n"/>
      <c r="I51" s="755" t="n"/>
      <c r="J51" s="736">
        <f>IF(C51="",0,VLOOKUP(C51,CCBASE!$A$53:$C$73,2,FALSE))</f>
        <v/>
      </c>
      <c r="K51" s="737">
        <f>J51*D51</f>
        <v/>
      </c>
      <c r="L51" s="738" t="n">
        <v>0.44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978" t="inlineStr">
        <is>
          <t>SPECIAL WORKS</t>
        </is>
      </c>
      <c r="C52" s="979" t="inlineStr">
        <is>
          <t>BIM/ REVIT per CANOPY</t>
        </is>
      </c>
      <c r="D52" s="980" t="n"/>
      <c r="E52" s="981">
        <f>IF(C52="","",VLOOKUP(C52,CCBASE!$A$53:$D$73,4,FALSE))</f>
        <v/>
      </c>
      <c r="F52" s="982" t="n"/>
      <c r="G52" s="977" t="n"/>
      <c r="H52" s="983" t="n"/>
      <c r="I52" s="984" t="n"/>
      <c r="J52" s="985">
        <f>IF(C52="",0,VLOOKUP(C52,CCBASE!$A$53:$C$73,2,FALSE))</f>
        <v/>
      </c>
      <c r="K52" s="986">
        <f>J52*D52</f>
        <v/>
      </c>
      <c r="L52" s="987" t="n">
        <v>0.44</v>
      </c>
      <c r="M52" s="988">
        <f>K52/(1-L52)*(1+$C$9)</f>
        <v/>
      </c>
      <c r="N52" s="986">
        <f>M52*VLOOKUP($B$9,'Base Costs'!$A$32:$B$37,2,FALSE)</f>
        <v/>
      </c>
      <c r="O52" s="989">
        <f>M52-K52</f>
        <v/>
      </c>
      <c r="P52" s="990" t="inlineStr">
        <is>
          <t>always include</t>
        </is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SELECT CLADDING</t>
        </is>
      </c>
      <c r="D53" s="756">
        <f>IF(NOT(ISBLANK(C53)), ROUNDUP($F48/1000,0), 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>
        <f>IF(ISNA(D57),0,(VLOOKUP(D57,'Base Costs'!$Q$4:$R$13,2,FALSE)))</f>
        <v/>
      </c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68">
        <f>N63-N70</f>
        <v/>
      </c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731" t="inlineStr">
        <is>
          <t>SPECIAL WORKS</t>
        </is>
      </c>
      <c r="C67" s="752" t="inlineStr">
        <is>
          <t>SELECT WORKS</t>
        </is>
      </c>
      <c r="D67" s="735" t="n"/>
      <c r="E67" s="753">
        <f>IF(C67="","",VLOOKUP(C67,CCBASE!$A$53:$D$73,4,FALSE))</f>
        <v/>
      </c>
      <c r="F67" s="754" t="n"/>
      <c r="G67" s="749" t="n"/>
      <c r="H67" s="750" t="n"/>
      <c r="I67" s="755" t="n"/>
      <c r="J67" s="736">
        <f>IF(C67="",0,VLOOKUP(C67,CCBASE!$A$53:$C$73,2,FALSE))</f>
        <v/>
      </c>
      <c r="K67" s="737">
        <f>J67*D67</f>
        <v/>
      </c>
      <c r="L67" s="738" t="n">
        <v>0.44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731" t="inlineStr">
        <is>
          <t>SPECIAL WORKS</t>
        </is>
      </c>
      <c r="C68" s="752" t="inlineStr">
        <is>
          <t>SELECT WORKS</t>
        </is>
      </c>
      <c r="D68" s="735" t="n"/>
      <c r="E68" s="753">
        <f>IF(C68="","",VLOOKUP(C68,CCBASE!$A$53:$D$73,4,FALSE))</f>
        <v/>
      </c>
      <c r="F68" s="754" t="n"/>
      <c r="G68" s="749" t="n"/>
      <c r="H68" s="750" t="n"/>
      <c r="I68" s="755" t="n"/>
      <c r="J68" s="736">
        <f>IF(C68="",0,VLOOKUP(C68,CCBASE!$A$53:$C$73,2,FALSE))</f>
        <v/>
      </c>
      <c r="K68" s="737">
        <f>J68*D68</f>
        <v/>
      </c>
      <c r="L68" s="738" t="n">
        <v>0.44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978" t="inlineStr">
        <is>
          <t>SPECIAL WORKS</t>
        </is>
      </c>
      <c r="C69" s="979" t="inlineStr">
        <is>
          <t>BIM/ REVIT per CANOPY</t>
        </is>
      </c>
      <c r="D69" s="980" t="n"/>
      <c r="E69" s="981">
        <f>IF(C69="","",VLOOKUP(C69,CCBASE!$A$53:$D$73,4,FALSE))</f>
        <v/>
      </c>
      <c r="F69" s="982" t="n"/>
      <c r="G69" s="977" t="n"/>
      <c r="H69" s="983" t="n"/>
      <c r="I69" s="984" t="n"/>
      <c r="J69" s="985">
        <f>IF(C69="",0,VLOOKUP(C69,CCBASE!$A$53:$C$73,2,FALSE))</f>
        <v/>
      </c>
      <c r="K69" s="986">
        <f>J69*D69</f>
        <v/>
      </c>
      <c r="L69" s="987" t="n">
        <v>0.44</v>
      </c>
      <c r="M69" s="988">
        <f>K69/(1-L69)*(1+$C$9)</f>
        <v/>
      </c>
      <c r="N69" s="986">
        <f>M69*VLOOKUP($B$9,'Base Costs'!$A$32:$B$37,2,FALSE)</f>
        <v/>
      </c>
      <c r="O69" s="989">
        <f>M69-K69</f>
        <v/>
      </c>
      <c r="P69" s="990" t="inlineStr">
        <is>
          <t>always include</t>
        </is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IF(NOT(ISBLANK(C70)), ROUNDUP(F65/1000,0), 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>
        <f>IF(ISNA(D74),0,(VLOOKUP(D74,'Base Costs'!$Q$4:$R$13,2,FALSE)))</f>
        <v/>
      </c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68">
        <f>N80-N87</f>
        <v/>
      </c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731" t="inlineStr">
        <is>
          <t>SPECIAL WORKS</t>
        </is>
      </c>
      <c r="C84" s="752" t="inlineStr">
        <is>
          <t>SELECT WORKS</t>
        </is>
      </c>
      <c r="D84" s="735" t="n"/>
      <c r="E84" s="753">
        <f>IF(C84="","",VLOOKUP(C84,CCBASE!$A$53:$D$73,4,FALSE))</f>
        <v/>
      </c>
      <c r="F84" s="754" t="n"/>
      <c r="G84" s="749" t="n"/>
      <c r="H84" s="750" t="n"/>
      <c r="I84" s="755" t="n"/>
      <c r="J84" s="736">
        <f>IF(C84="",0,VLOOKUP(C84,CCBASE!$A$53:$C$73,2,FALSE))</f>
        <v/>
      </c>
      <c r="K84" s="737">
        <f>J84*D84</f>
        <v/>
      </c>
      <c r="L84" s="738" t="n">
        <v>0.44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SPECIAL WORKS</t>
        </is>
      </c>
      <c r="C85" s="752" t="inlineStr">
        <is>
          <t>SELECT WORKS</t>
        </is>
      </c>
      <c r="D85" s="735" t="n"/>
      <c r="E85" s="753">
        <f>IF(C85="","",VLOOKUP(C85,CCBASE!$A$53:$D$73,4,FALSE))</f>
        <v/>
      </c>
      <c r="F85" s="754" t="n"/>
      <c r="G85" s="749" t="n"/>
      <c r="H85" s="750" t="n"/>
      <c r="I85" s="755" t="n"/>
      <c r="J85" s="736">
        <f>IF(C85="",0,VLOOKUP(C85,CCBASE!$A$53:$C$73,2,FALSE))</f>
        <v/>
      </c>
      <c r="K85" s="737">
        <f>J85*D85</f>
        <v/>
      </c>
      <c r="L85" s="738" t="n">
        <v>0.44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978" t="inlineStr">
        <is>
          <t>SPECIAL WORKS</t>
        </is>
      </c>
      <c r="C86" s="979" t="inlineStr">
        <is>
          <t>BIM/ REVIT per CANOPY</t>
        </is>
      </c>
      <c r="D86" s="980" t="n"/>
      <c r="E86" s="981">
        <f>IF(C86="","",VLOOKUP(C86,CCBASE!$A$53:$D$73,4,FALSE))</f>
        <v/>
      </c>
      <c r="F86" s="982" t="n"/>
      <c r="G86" s="977" t="n"/>
      <c r="H86" s="983" t="n"/>
      <c r="I86" s="984" t="n"/>
      <c r="J86" s="985">
        <f>IF(C86="",0,VLOOKUP(C86,CCBASE!$A$53:$C$73,2,FALSE))</f>
        <v/>
      </c>
      <c r="K86" s="986">
        <f>J86*D86</f>
        <v/>
      </c>
      <c r="L86" s="987" t="n">
        <v>0.44</v>
      </c>
      <c r="M86" s="988">
        <f>K86/(1-L86)*(1+$C$9)</f>
        <v/>
      </c>
      <c r="N86" s="986">
        <f>M86*VLOOKUP($B$9,'Base Costs'!$A$32:$B$37,2,FALSE)</f>
        <v/>
      </c>
      <c r="O86" s="989">
        <f>M86-K86</f>
        <v/>
      </c>
      <c r="P86" s="990" t="inlineStr">
        <is>
          <t>always include</t>
        </is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IF(NOT(ISBLANK(C87)), ROUNDUP(F82/1000,0), 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>
        <f>IF(ISNA(D91),0,(VLOOKUP(D91,'Base Costs'!$Q$4:$R$13,2,FALSE)))</f>
        <v/>
      </c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IF(ISNUMBER(SEARCH("UV",D99)),49.7,71.75)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68">
        <f>N97-N104</f>
        <v/>
      </c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731" t="inlineStr">
        <is>
          <t>SPECIAL WORKS</t>
        </is>
      </c>
      <c r="C101" s="752" t="inlineStr">
        <is>
          <t>SELECT WORKS</t>
        </is>
      </c>
      <c r="D101" s="735" t="n"/>
      <c r="E101" s="753">
        <f>IF(C101="","",VLOOKUP(C101,CCBASE!$A$53:$D$73,4,FALSE))</f>
        <v/>
      </c>
      <c r="F101" s="754" t="n"/>
      <c r="G101" s="749" t="n"/>
      <c r="H101" s="750" t="n"/>
      <c r="I101" s="755" t="n"/>
      <c r="J101" s="736">
        <f>IF(C101="",0,VLOOKUP(C101,CCBASE!$A$53:$C$73,2,FALSE))</f>
        <v/>
      </c>
      <c r="K101" s="737">
        <f>J101*D101</f>
        <v/>
      </c>
      <c r="L101" s="738" t="n">
        <v>0.44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584" t="inlineStr">
        <is>
          <t>SPECIAL WORKS</t>
        </is>
      </c>
      <c r="C102" s="33" t="inlineStr">
        <is>
          <t>SELECT WORKS</t>
        </is>
      </c>
      <c r="D102" s="735" t="n"/>
      <c r="E102" s="753">
        <f>IF(C102="","",VLOOKUP(C102,CCBASE!$A$53:$D$73,4,FALSE))</f>
        <v/>
      </c>
      <c r="F102" s="754" t="n"/>
      <c r="G102" s="749" t="n"/>
      <c r="H102" s="750" t="n"/>
      <c r="I102" s="755" t="n"/>
      <c r="J102" s="736">
        <f>IF(C102="",0,VLOOKUP(C102,CCBASE!$A$53:$C$73,2,FALSE))</f>
        <v/>
      </c>
      <c r="K102" s="737">
        <f>J102*D102</f>
        <v/>
      </c>
      <c r="L102" s="738" t="n">
        <v>0.44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991" t="inlineStr">
        <is>
          <t>SPECIAL WORKS</t>
        </is>
      </c>
      <c r="C103" s="992" t="inlineStr">
        <is>
          <t>BIM/ REVIT per CANOPY</t>
        </is>
      </c>
      <c r="D103" s="980" t="n"/>
      <c r="E103" s="981">
        <f>IF(C103="","",VLOOKUP(C103,CCBASE!$A$53:$D$73,4,FALSE))</f>
        <v/>
      </c>
      <c r="F103" s="982" t="n"/>
      <c r="G103" s="977" t="n"/>
      <c r="H103" s="983" t="n"/>
      <c r="I103" s="984" t="n"/>
      <c r="J103" s="985">
        <f>IF(C103="",0,VLOOKUP(C103,CCBASE!$A$53:$C$73,2,FALSE))</f>
        <v/>
      </c>
      <c r="K103" s="986">
        <f>J103*D103</f>
        <v/>
      </c>
      <c r="L103" s="987" t="n">
        <v>0.44</v>
      </c>
      <c r="M103" s="988">
        <f>K103/(1-L103)*(1+$C$9)</f>
        <v/>
      </c>
      <c r="N103" s="986">
        <f>M103*VLOOKUP($B$9,'Base Costs'!$A$32:$B$37,2,FALSE)</f>
        <v/>
      </c>
      <c r="O103" s="989">
        <f>M103-K103</f>
        <v/>
      </c>
      <c r="P103" s="990" t="inlineStr">
        <is>
          <t>always include</t>
        </is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IF(NOT(ISBLANK(C104)), ROUNDUP(F99/1000,0), 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>
        <f>IF(ISNA(D108),0,(VLOOKUP(D108,'Base Costs'!$Q$4:$R$13,2,FALSE)))</f>
        <v/>
      </c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IF(ISNUMBER(SEARCH("UV",D116)),49.7,71.75)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68">
        <f>N114-N121</f>
        <v/>
      </c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731" t="inlineStr">
        <is>
          <t>SPECIAL WORKS</t>
        </is>
      </c>
      <c r="C118" s="752" t="inlineStr">
        <is>
          <t>SELECT WORKS</t>
        </is>
      </c>
      <c r="D118" s="735" t="n"/>
      <c r="E118" s="753">
        <f>IF(C118="","",VLOOKUP(C118,CCBASE!$A$53:$D$73,4,FALSE))</f>
        <v/>
      </c>
      <c r="F118" s="754" t="n"/>
      <c r="G118" s="749" t="n"/>
      <c r="H118" s="750" t="n"/>
      <c r="I118" s="755" t="n"/>
      <c r="J118" s="736">
        <f>IF(C118="",0,VLOOKUP(C118,CCBASE!$A$53:$C$73,2,FALSE))</f>
        <v/>
      </c>
      <c r="K118" s="737">
        <f>J118*D118</f>
        <v/>
      </c>
      <c r="L118" s="738" t="n">
        <v>0.44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584" t="inlineStr">
        <is>
          <t>SPECIAL WORKS</t>
        </is>
      </c>
      <c r="C119" s="33" t="inlineStr">
        <is>
          <t>SELECT WORKS</t>
        </is>
      </c>
      <c r="D119" s="735" t="n"/>
      <c r="E119" s="753">
        <f>IF(C119="","",VLOOKUP(C119,CCBASE!$A$53:$D$73,4,FALSE))</f>
        <v/>
      </c>
      <c r="F119" s="754" t="n"/>
      <c r="G119" s="749" t="n"/>
      <c r="H119" s="750" t="n"/>
      <c r="I119" s="755" t="n"/>
      <c r="J119" s="736">
        <f>IF(C119="",0,VLOOKUP(C119,CCBASE!$A$53:$C$73,2,FALSE))</f>
        <v/>
      </c>
      <c r="K119" s="737">
        <f>J119*D119</f>
        <v/>
      </c>
      <c r="L119" s="738" t="n">
        <v>0.44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991" t="inlineStr">
        <is>
          <t>SPECIAL WORKS</t>
        </is>
      </c>
      <c r="C120" s="992" t="inlineStr">
        <is>
          <t>BIM/ REVIT per CANOPY</t>
        </is>
      </c>
      <c r="D120" s="980" t="n"/>
      <c r="E120" s="981">
        <f>IF(C120="","",VLOOKUP(C120,CCBASE!$A$53:$D$73,4,FALSE))</f>
        <v/>
      </c>
      <c r="F120" s="982" t="n"/>
      <c r="G120" s="977" t="n"/>
      <c r="H120" s="983" t="n"/>
      <c r="I120" s="984" t="n"/>
      <c r="J120" s="985">
        <f>IF(C120="",0,VLOOKUP(C120,CCBASE!$A$53:$C$73,2,FALSE))</f>
        <v/>
      </c>
      <c r="K120" s="986">
        <f>J120*D120</f>
        <v/>
      </c>
      <c r="L120" s="987" t="n">
        <v>0.44</v>
      </c>
      <c r="M120" s="988">
        <f>K120/(1-L120)*(1+$C$9)</f>
        <v/>
      </c>
      <c r="N120" s="986">
        <f>M120*VLOOKUP($B$9,'Base Costs'!$A$32:$B$37,2,FALSE)</f>
        <v/>
      </c>
      <c r="O120" s="989">
        <f>M120-K120</f>
        <v/>
      </c>
      <c r="P120" s="990" t="inlineStr">
        <is>
          <t>always include</t>
        </is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IF(NOT(ISBLANK(C121)), ROUNDUP(F116/1000,0), 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>
        <f>IF(ISNA(D125),0,(VLOOKUP(D125,'Base Costs'!$Q$4:$R$13,2,FALSE)))</f>
        <v/>
      </c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68">
        <f>N131-N138</f>
        <v/>
      </c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733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731" t="inlineStr">
        <is>
          <t>SPECIAL WORKS</t>
        </is>
      </c>
      <c r="C135" s="752" t="inlineStr">
        <is>
          <t>SELECT WORKS</t>
        </is>
      </c>
      <c r="D135" s="735" t="n"/>
      <c r="E135" s="753">
        <f>IF(C135="","",VLOOKUP(C135,CCBASE!$A$53:$D$73,4,FALSE))</f>
        <v/>
      </c>
      <c r="F135" s="754" t="n"/>
      <c r="G135" s="749" t="n"/>
      <c r="H135" s="750" t="n"/>
      <c r="I135" s="755" t="n"/>
      <c r="J135" s="736">
        <f>IF(C135="",0,VLOOKUP(C135,CCBASE!$A$53:$C$73,2,FALSE))</f>
        <v/>
      </c>
      <c r="K135" s="737">
        <f>J135*D135</f>
        <v/>
      </c>
      <c r="L135" s="738" t="n">
        <v>0.44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584" t="inlineStr">
        <is>
          <t>SPECIAL WORKS</t>
        </is>
      </c>
      <c r="C136" s="33" t="inlineStr">
        <is>
          <t>SELECT WORKS</t>
        </is>
      </c>
      <c r="D136" s="735" t="n"/>
      <c r="E136" s="753">
        <f>IF(C136="","",VLOOKUP(C136,CCBASE!$A$53:$D$73,4,FALSE))</f>
        <v/>
      </c>
      <c r="F136" s="754" t="n"/>
      <c r="G136" s="749" t="n"/>
      <c r="H136" s="750" t="n"/>
      <c r="I136" s="755" t="n"/>
      <c r="J136" s="736">
        <f>IF(C136="",0,VLOOKUP(C136,CCBASE!$A$53:$C$73,2,FALSE))</f>
        <v/>
      </c>
      <c r="K136" s="737">
        <f>J136*D136</f>
        <v/>
      </c>
      <c r="L136" s="738" t="n">
        <v>0.44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991" t="inlineStr">
        <is>
          <t>SPECIAL WORKS</t>
        </is>
      </c>
      <c r="C137" s="992" t="inlineStr">
        <is>
          <t>BIM/ REVIT per CANOPY</t>
        </is>
      </c>
      <c r="D137" s="980" t="n"/>
      <c r="E137" s="981">
        <f>IF(C137="","",VLOOKUP(C137,CCBASE!$A$53:$D$73,4,FALSE))</f>
        <v/>
      </c>
      <c r="F137" s="982" t="n"/>
      <c r="G137" s="977" t="n"/>
      <c r="H137" s="983" t="n"/>
      <c r="I137" s="984" t="n"/>
      <c r="J137" s="985">
        <f>IF(C137="",0,VLOOKUP(C137,CCBASE!$A$53:$C$73,2,FALSE))</f>
        <v/>
      </c>
      <c r="K137" s="986">
        <f>J137*D137</f>
        <v/>
      </c>
      <c r="L137" s="987" t="n">
        <v>0.44</v>
      </c>
      <c r="M137" s="988">
        <f>K137/(1-L137)*(1+$C$9)</f>
        <v/>
      </c>
      <c r="N137" s="986">
        <f>M137*VLOOKUP($B$9,'Base Costs'!$A$32:$B$37,2,FALSE)</f>
        <v/>
      </c>
      <c r="O137" s="989">
        <f>M137-K137</f>
        <v/>
      </c>
      <c r="P137" s="990" t="inlineStr">
        <is>
          <t>always include</t>
        </is>
      </c>
      <c r="S137" s="694" t="n"/>
      <c r="Y137" s="1095" t="n"/>
    </row>
    <row r="138" hidden="1" outlineLevel="1" ht="15" customHeight="1" s="1085">
      <c r="A138" s="666" t="n">
        <v>289</v>
      </c>
      <c r="B138" s="584" t="inlineStr">
        <is>
          <t>WALL CLADDING</t>
        </is>
      </c>
      <c r="C138" s="33" t="inlineStr">
        <is>
          <t>SELECT CLADDING</t>
        </is>
      </c>
      <c r="D138" s="756">
        <f>IF(NOT(ISBLANK(C138)), ROUNDUP(F133/1000,0), 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584" t="inlineStr">
        <is>
          <t>INFILL PANEL</t>
        </is>
      </c>
      <c r="C139" s="752" t="n"/>
      <c r="D139" s="742" t="inlineStr">
        <is>
          <t>m²</t>
        </is>
      </c>
      <c r="E139" s="749" t="n"/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>
        <f>IF(ISNA(D142),0,(VLOOKUP(D142,'Base Costs'!$Q$4:$R$13,2,FALSE)))</f>
        <v/>
      </c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IF(ISNUMBER(SEARCH("UV",D150)),49.7,71.75)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68">
        <f>N148-N155</f>
        <v/>
      </c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731" t="inlineStr">
        <is>
          <t>SPECIAL WORKS</t>
        </is>
      </c>
      <c r="C152" s="752" t="inlineStr">
        <is>
          <t>SELECT WORKS</t>
        </is>
      </c>
      <c r="D152" s="735" t="n"/>
      <c r="E152" s="753">
        <f>IF(C152="","",VLOOKUP(C152,CCBASE!$A$53:$D$73,4,FALSE))</f>
        <v/>
      </c>
      <c r="F152" s="754" t="n"/>
      <c r="G152" s="749" t="n"/>
      <c r="H152" s="750" t="n"/>
      <c r="I152" s="755" t="n"/>
      <c r="J152" s="736">
        <f>IF(C152="",0,VLOOKUP(C152,CCBASE!$A$53:$C$73,2,FALSE))</f>
        <v/>
      </c>
      <c r="K152" s="737">
        <f>J152*D152</f>
        <v/>
      </c>
      <c r="L152" s="738" t="n">
        <v>0.44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584" t="inlineStr">
        <is>
          <t>SPECIAL WORKS</t>
        </is>
      </c>
      <c r="C153" s="33" t="inlineStr">
        <is>
          <t>SELECT WORKS</t>
        </is>
      </c>
      <c r="D153" s="735" t="n"/>
      <c r="E153" s="753">
        <f>IF(C153="","",VLOOKUP(C153,CCBASE!$A$53:$D$73,4,FALSE))</f>
        <v/>
      </c>
      <c r="F153" s="754" t="n"/>
      <c r="G153" s="749" t="n"/>
      <c r="H153" s="750" t="n"/>
      <c r="I153" s="755" t="n"/>
      <c r="J153" s="736">
        <f>IF(C153="",0,VLOOKUP(C153,CCBASE!$A$53:$C$73,2,FALSE))</f>
        <v/>
      </c>
      <c r="K153" s="737">
        <f>J153*D153</f>
        <v/>
      </c>
      <c r="L153" s="738" t="n">
        <v>0.44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991" t="inlineStr">
        <is>
          <t>SPECIAL WORKS</t>
        </is>
      </c>
      <c r="C154" s="992" t="inlineStr">
        <is>
          <t>BIM/ REVIT per CANOPY</t>
        </is>
      </c>
      <c r="D154" s="980" t="n"/>
      <c r="E154" s="981">
        <f>IF(C154="","",VLOOKUP(C154,CCBASE!$A$53:$D$73,4,FALSE))</f>
        <v/>
      </c>
      <c r="F154" s="982" t="n"/>
      <c r="G154" s="977" t="n"/>
      <c r="H154" s="983" t="n"/>
      <c r="I154" s="984" t="n"/>
      <c r="J154" s="985">
        <f>IF(C154="",0,VLOOKUP(C154,CCBASE!$A$53:$C$73,2,FALSE))</f>
        <v/>
      </c>
      <c r="K154" s="986">
        <f>J154*D154</f>
        <v/>
      </c>
      <c r="L154" s="987" t="n">
        <v>0.44</v>
      </c>
      <c r="M154" s="988">
        <f>K154/(1-L154)*(1+$C$9)</f>
        <v/>
      </c>
      <c r="N154" s="986">
        <f>M154*VLOOKUP($B$9,'Base Costs'!$A$32:$B$37,2,FALSE)</f>
        <v/>
      </c>
      <c r="O154" s="989">
        <f>M154-K154</f>
        <v/>
      </c>
      <c r="P154" s="990" t="inlineStr">
        <is>
          <t>always include</t>
        </is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IF(NOT(ISBLANK(C155)), ROUNDUP(F150/1000,0), 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>
        <f>IF(ISNA(D159),0,(VLOOKUP(D159,'Base Costs'!$Q$4:$R$13,2,FALSE)))</f>
        <v/>
      </c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IF(ISNUMBER(SEARCH("UV",D167)),49.7,71.75)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68">
        <f>N165-N172</f>
        <v/>
      </c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731" t="inlineStr">
        <is>
          <t>SPECIAL WORKS</t>
        </is>
      </c>
      <c r="C169" s="752" t="inlineStr">
        <is>
          <t>SELECT WORKS</t>
        </is>
      </c>
      <c r="D169" s="735" t="n"/>
      <c r="E169" s="753">
        <f>IF(C169="","",VLOOKUP(C169,CCBASE!$A$53:$D$73,4,FALSE))</f>
        <v/>
      </c>
      <c r="F169" s="754" t="n"/>
      <c r="G169" s="749" t="n"/>
      <c r="H169" s="750" t="n"/>
      <c r="I169" s="755" t="n"/>
      <c r="J169" s="736">
        <f>IF(C169="",0,VLOOKUP(C169,CCBASE!$A$53:$C$73,2,FALSE))</f>
        <v/>
      </c>
      <c r="K169" s="737">
        <f>J169*D169</f>
        <v/>
      </c>
      <c r="L169" s="738" t="n">
        <v>0.44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584" t="inlineStr">
        <is>
          <t>SPECIAL WORKS</t>
        </is>
      </c>
      <c r="C170" s="33" t="inlineStr">
        <is>
          <t>SELECT WORKS</t>
        </is>
      </c>
      <c r="D170" s="735" t="n"/>
      <c r="E170" s="753">
        <f>IF(C170="","",VLOOKUP(C170,CCBASE!$A$53:$D$73,4,FALSE))</f>
        <v/>
      </c>
      <c r="F170" s="754" t="n"/>
      <c r="G170" s="749" t="n"/>
      <c r="H170" s="750" t="n"/>
      <c r="I170" s="755" t="n"/>
      <c r="J170" s="736">
        <f>IF(C170="",0,VLOOKUP(C170,CCBASE!$A$53:$C$73,2,FALSE))</f>
        <v/>
      </c>
      <c r="K170" s="737">
        <f>J170*D170</f>
        <v/>
      </c>
      <c r="L170" s="738" t="n">
        <v>0.44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991" t="inlineStr">
        <is>
          <t>SPECIAL WORKS</t>
        </is>
      </c>
      <c r="C171" s="992" t="inlineStr">
        <is>
          <t>BIM/ REVIT per CANOPY</t>
        </is>
      </c>
      <c r="D171" s="980" t="n"/>
      <c r="E171" s="981">
        <f>IF(C171="","",VLOOKUP(C171,CCBASE!$A$53:$D$73,4,FALSE))</f>
        <v/>
      </c>
      <c r="F171" s="982" t="n"/>
      <c r="G171" s="977" t="n"/>
      <c r="H171" s="983" t="n"/>
      <c r="I171" s="984" t="n"/>
      <c r="J171" s="985">
        <f>IF(C171="",0,VLOOKUP(C171,CCBASE!$A$53:$C$73,2,FALSE))</f>
        <v/>
      </c>
      <c r="K171" s="986">
        <f>J171*D171</f>
        <v/>
      </c>
      <c r="L171" s="987" t="n">
        <v>0.44</v>
      </c>
      <c r="M171" s="988">
        <f>K171/(1-L171)*(1+$C$9)</f>
        <v/>
      </c>
      <c r="N171" s="986">
        <f>M171*VLOOKUP($B$9,'Base Costs'!$A$32:$B$37,2,FALSE)</f>
        <v/>
      </c>
      <c r="O171" s="989">
        <f>M171-K171</f>
        <v/>
      </c>
      <c r="P171" s="990" t="inlineStr">
        <is>
          <t>always include</t>
        </is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IF(NOT(ISBLANK(C172)), ROUNDUP(F167/1000,0), 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>
        <f>IF(ISNA(D176),0,(VLOOKUP(D176,'Base Costs'!$Q$4:$R$13,2,FALSE)))</f>
        <v/>
      </c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10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P182" s="1068">
        <f>N182-N193</f>
        <v/>
      </c>
      <c r="S182" s="694" t="n"/>
    </row>
    <row r="183" ht="15" customHeight="1" s="1085">
      <c r="A183" s="666" t="n">
        <v>222</v>
      </c>
      <c r="B183" s="589" t="inlineStr">
        <is>
          <t>DELIVERY 1 x 7.5T TAIL LIFT 3200KGS</t>
        </is>
      </c>
      <c r="C183" s="774" t="n"/>
      <c r="D183" s="775" t="inlineStr">
        <is>
          <t>SELECT LOCATION…</t>
        </is>
      </c>
      <c r="E183" s="1111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Q183" s="745" t="n"/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/>
      <c r="D184" s="775" t="inlineStr">
        <is>
          <t>PLANT SELECTION (weekly)</t>
        </is>
      </c>
      <c r="E184" s="1108" t="inlineStr">
        <is>
          <t>Install of 6no Pieces of Canopy Max</t>
        </is>
      </c>
      <c r="G184" s="748" t="n"/>
      <c r="H184" s="748" t="n"/>
      <c r="I184" s="748" t="n"/>
      <c r="J184" s="776">
        <f>VLOOKUP(D184,'Base Costs'!$A$3:$B$15,2,FALSE)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269" t="inlineStr">
        <is>
          <t xml:space="preserve">PLANT HIRE </t>
        </is>
      </c>
      <c r="C185" s="777" t="n"/>
      <c r="D185" s="775" t="inlineStr">
        <is>
          <t>PLANT SELECTION (weekly)</t>
        </is>
      </c>
      <c r="E185" s="1108" t="inlineStr">
        <is>
          <t>Install of 6no Pieces of Canopy Max</t>
        </is>
      </c>
      <c r="G185" s="748" t="n"/>
      <c r="H185" s="748" t="n"/>
      <c r="I185" s="748" t="n"/>
      <c r="J185" s="776">
        <f>VLOOKUP(D185,'Base Costs'!$A$3:$B$15,2,FALSE)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S185" s="694" t="n"/>
    </row>
    <row r="186" ht="15" customHeight="1" s="1085">
      <c r="A186" s="666" t="n">
        <v>222</v>
      </c>
      <c r="B186" s="270" t="n"/>
      <c r="C186" s="946" t="n"/>
      <c r="D186" s="775" t="inlineStr">
        <is>
          <t>SELECT LOCATION…</t>
        </is>
      </c>
      <c r="E186" s="1109" t="n"/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610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>
        <f>ROUNDUP((IF(C14="WALL",(F14/1000),(F14/1000)*2)+IF(C31="WALL",(F31/1000),(F31/1000)*2)+IF(C48="WALL",(F48/1000),(F48/1000)*2)+IF(C65="WALL",(F65/1000),(F65/1000)*2)+IF(C82="WALL",(F82/1000),(F82/1000)*2)+IF(C99="WALL",(F99/1000),(F99/1000)*2)+IF(C116="WALL",(F116/1000),(F116/1000)*2)+IF(C133="WALL",(F133/1000),(F133/1000)*2)+IF(C150="WALL",(F150/1000),(F150/1000)*2)+IF(C167="WALL",(F167/1000),(F167/1000)*2)),0)</f>
        <v/>
      </c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731" t="inlineStr">
        <is>
          <t>INSTALLATION NORMAL HOURS</t>
        </is>
      </c>
      <c r="C189" s="777" t="n"/>
      <c r="D189" s="1102" t="inlineStr">
        <is>
          <t>2 Pieces = 1 Day, 4 Pieces = 1.5 Days, 6 Pieces = 2 Days, 8 Pieces = 2.5 Days (1 Section up to 3m long equals 2 Pieces) + logistics</t>
        </is>
      </c>
      <c r="J189" s="776" t="n">
        <v>610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S189" s="694" t="n"/>
    </row>
    <row r="190" ht="15" customHeight="1" s="1085">
      <c r="A190" s="666" t="n">
        <v>400</v>
      </c>
      <c r="B190" s="731" t="inlineStr">
        <is>
          <t>INSTALLATION AFTER HOURS</t>
        </is>
      </c>
      <c r="C190" s="777" t="n"/>
      <c r="D190" s="1102" t="inlineStr">
        <is>
          <t>2 Pieces = 1 Day, 4 Pieces = 1.5 Days, 6 Pieces = 2 Days, 8 Pieces = 2.5 Days (1 Section up to 3m long equals 2 Pieces) + logistics</t>
        </is>
      </c>
      <c r="J190" s="776" t="n">
        <v>1220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610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220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15" t="inlineStr">
        <is>
          <t>ONE Engineer,  1 day per 4no UV or W/W Sections of Canopy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9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09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20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2">
    <mergeCell ref="B203:O203"/>
    <mergeCell ref="H91:I91"/>
    <mergeCell ref="D189:I189"/>
    <mergeCell ref="E121:F121"/>
    <mergeCell ref="H38:I38"/>
    <mergeCell ref="H125:I125"/>
    <mergeCell ref="B200:O200"/>
    <mergeCell ref="G186:I186"/>
    <mergeCell ref="D194:F194"/>
    <mergeCell ref="C5:D5"/>
    <mergeCell ref="H141:I141"/>
    <mergeCell ref="E185:F185"/>
    <mergeCell ref="D197:F197"/>
    <mergeCell ref="B182:G182"/>
    <mergeCell ref="B202:O202"/>
    <mergeCell ref="H55:I55"/>
    <mergeCell ref="H40:I40"/>
    <mergeCell ref="H74:I74"/>
    <mergeCell ref="H176:I176"/>
    <mergeCell ref="H56:I56"/>
    <mergeCell ref="P7:R7"/>
    <mergeCell ref="E35:F35"/>
    <mergeCell ref="H39:I39"/>
    <mergeCell ref="E87:F87"/>
    <mergeCell ref="G9:J9"/>
    <mergeCell ref="H21:I21"/>
    <mergeCell ref="H73:I73"/>
    <mergeCell ref="H157:I157"/>
    <mergeCell ref="D195:E195"/>
    <mergeCell ref="D193:F193"/>
    <mergeCell ref="E138:F138"/>
    <mergeCell ref="E19:F19"/>
    <mergeCell ref="H142:I142"/>
    <mergeCell ref="E155:F155"/>
    <mergeCell ref="H89:I89"/>
    <mergeCell ref="H123:I123"/>
    <mergeCell ref="G5:J5"/>
    <mergeCell ref="B1:C1"/>
    <mergeCell ref="E9:F9"/>
    <mergeCell ref="H108:I108"/>
    <mergeCell ref="H106:I106"/>
    <mergeCell ref="E186:F186"/>
    <mergeCell ref="G183:I183"/>
    <mergeCell ref="E104:F104"/>
    <mergeCell ref="H72:I72"/>
    <mergeCell ref="H174:I174"/>
    <mergeCell ref="H90:I90"/>
    <mergeCell ref="B205:O205"/>
    <mergeCell ref="H57:I57"/>
    <mergeCell ref="G7:J7"/>
    <mergeCell ref="H159:I159"/>
    <mergeCell ref="E36:F36"/>
    <mergeCell ref="H22:I22"/>
    <mergeCell ref="E70:F70"/>
    <mergeCell ref="H140:I140"/>
    <mergeCell ref="H158:I158"/>
    <mergeCell ref="D196:E196"/>
    <mergeCell ref="E172:F172"/>
    <mergeCell ref="C7:D7"/>
    <mergeCell ref="D190:I190"/>
    <mergeCell ref="G3:J3"/>
    <mergeCell ref="E183:F183"/>
    <mergeCell ref="H124:I124"/>
    <mergeCell ref="B201:O201"/>
    <mergeCell ref="E184:F184"/>
    <mergeCell ref="H107:I107"/>
    <mergeCell ref="E53:F53"/>
    <mergeCell ref="B204:O204"/>
    <mergeCell ref="H23:I23"/>
    <mergeCell ref="C3:D3"/>
    <mergeCell ref="P5:T5"/>
    <mergeCell ref="H175:I175"/>
  </mergeCells>
  <conditionalFormatting sqref="B9">
    <cfRule type="containsText" priority="663" operator="containsText" dxfId="680" text="SELECT">
      <formula>NOT(ISERROR(SEARCH("SELECT",B9)))</formula>
    </cfRule>
    <cfRule type="expression" priority="664" dxfId="680">
      <formula>B9="CURRENCY"</formula>
    </cfRule>
  </conditionalFormatting>
  <conditionalFormatting sqref="B11">
    <cfRule type="expression" priority="626" dxfId="637">
      <formula>$B11&lt;&gt;""</formula>
    </cfRule>
  </conditionalFormatting>
  <conditionalFormatting sqref="B14:B23">
    <cfRule type="expression" priority="618" dxfId="633">
      <formula>$J14&gt;0</formula>
    </cfRule>
  </conditionalFormatting>
  <conditionalFormatting sqref="B24">
    <cfRule type="expression" priority="615" dxfId="633">
      <formula>ISNUMBER(SEARCH("UV",$D14))</formula>
    </cfRule>
    <cfRule type="expression" priority="616" dxfId="358">
      <formula>($D14="CANOPY TYPE")</formula>
    </cfRule>
  </conditionalFormatting>
  <conditionalFormatting sqref="B25:B27">
    <cfRule type="expression" priority="443" dxfId="633">
      <formula>$J25&gt;0</formula>
    </cfRule>
  </conditionalFormatting>
  <conditionalFormatting sqref="B28">
    <cfRule type="expression" priority="624" dxfId="637">
      <formula>$B28&lt;&gt;""</formula>
    </cfRule>
  </conditionalFormatting>
  <conditionalFormatting sqref="B31:B40">
    <cfRule type="expression" priority="388" dxfId="633">
      <formula>$J31&gt;0</formula>
    </cfRule>
  </conditionalFormatting>
  <conditionalFormatting sqref="B41">
    <cfRule type="expression" priority="583" dxfId="633">
      <formula>ISNUMBER(SEARCH("UV",$D31))</formula>
    </cfRule>
    <cfRule type="expression" priority="584" dxfId="358">
      <formula>($D31="CANOPY TYPE")</formula>
    </cfRule>
  </conditionalFormatting>
  <conditionalFormatting sqref="B42:B44">
    <cfRule type="expression" priority="585" dxfId="633">
      <formula>$J42&gt;0</formula>
    </cfRule>
  </conditionalFormatting>
  <conditionalFormatting sqref="B45">
    <cfRule type="expression" priority="623" dxfId="637">
      <formula>$B45&lt;&gt;""</formula>
    </cfRule>
  </conditionalFormatting>
  <conditionalFormatting sqref="B48:B57">
    <cfRule type="expression" priority="103" dxfId="633">
      <formula>$J48&gt;0</formula>
    </cfRule>
  </conditionalFormatting>
  <conditionalFormatting sqref="B58">
    <cfRule type="expression" priority="557" dxfId="358">
      <formula>($D48="CANOPY TYPE")</formula>
    </cfRule>
    <cfRule type="expression" priority="556" dxfId="633">
      <formula>ISNUMBER(SEARCH("UV",$D48))</formula>
    </cfRule>
  </conditionalFormatting>
  <conditionalFormatting sqref="B59:B61">
    <cfRule type="expression" priority="442" dxfId="633">
      <formula>$J59&gt;0</formula>
    </cfRule>
  </conditionalFormatting>
  <conditionalFormatting sqref="B62">
    <cfRule type="expression" priority="622" dxfId="637">
      <formula>$B62&lt;&gt;""</formula>
    </cfRule>
  </conditionalFormatting>
  <conditionalFormatting sqref="B65:B74">
    <cfRule type="expression" priority="89" dxfId="633">
      <formula>$J65&gt;0</formula>
    </cfRule>
  </conditionalFormatting>
  <conditionalFormatting sqref="B75">
    <cfRule type="expression" priority="528" dxfId="633">
      <formula>ISNUMBER(SEARCH("UV",$D65))</formula>
    </cfRule>
    <cfRule type="expression" priority="529" dxfId="358">
      <formula>($D65="CANOPY TYPE")</formula>
    </cfRule>
  </conditionalFormatting>
  <conditionalFormatting sqref="B76:B78">
    <cfRule type="expression" priority="441" dxfId="633">
      <formula>$J76&gt;0</formula>
    </cfRule>
  </conditionalFormatting>
  <conditionalFormatting sqref="B79">
    <cfRule type="expression" priority="621" dxfId="637">
      <formula>$B79&lt;&gt;""</formula>
    </cfRule>
  </conditionalFormatting>
  <conditionalFormatting sqref="B82:B91">
    <cfRule type="expression" priority="75" dxfId="633">
      <formula>$J82&gt;0</formula>
    </cfRule>
  </conditionalFormatting>
  <conditionalFormatting sqref="B92">
    <cfRule type="expression" priority="499" dxfId="633">
      <formula>ISNUMBER(SEARCH("UV",$D82))</formula>
    </cfRule>
    <cfRule type="expression" priority="500" dxfId="358">
      <formula>($D82="CANOPY TYPE")</formula>
    </cfRule>
  </conditionalFormatting>
  <conditionalFormatting sqref="B93:B95">
    <cfRule type="expression" priority="440" dxfId="633">
      <formula>$J93&gt;0</formula>
    </cfRule>
  </conditionalFormatting>
  <conditionalFormatting sqref="B96">
    <cfRule type="expression" priority="620" dxfId="637">
      <formula>$B96&lt;&gt;""</formula>
    </cfRule>
  </conditionalFormatting>
  <conditionalFormatting sqref="B99:B108">
    <cfRule type="expression" priority="61" dxfId="633">
      <formula>$J99&gt;0</formula>
    </cfRule>
  </conditionalFormatting>
  <conditionalFormatting sqref="B109">
    <cfRule type="expression" priority="472" dxfId="358">
      <formula>($D99="CANOPY TYPE")</formula>
    </cfRule>
    <cfRule type="expression" priority="471" dxfId="633">
      <formula>ISNUMBER(SEARCH("UV",$D99))</formula>
    </cfRule>
  </conditionalFormatting>
  <conditionalFormatting sqref="B110:B112 B127:B129 B144:B146 B161:B163 B178:B180">
    <cfRule type="expression" priority="439" dxfId="633">
      <formula>$J110&gt;0</formula>
    </cfRule>
  </conditionalFormatting>
  <conditionalFormatting sqref="B113">
    <cfRule type="expression" priority="320" dxfId="637">
      <formula>$B113&lt;&gt;""</formula>
    </cfRule>
  </conditionalFormatting>
  <conditionalFormatting sqref="B116:B125">
    <cfRule type="expression" priority="47" dxfId="633">
      <formula>$J116&gt;0</formula>
    </cfRule>
  </conditionalFormatting>
  <conditionalFormatting sqref="B126">
    <cfRule type="expression" priority="295" dxfId="633">
      <formula>ISNUMBER(SEARCH("UV",$D116))</formula>
    </cfRule>
    <cfRule type="expression" priority="296" dxfId="358">
      <formula>($D116="CANOPY TYPE")</formula>
    </cfRule>
  </conditionalFormatting>
  <conditionalFormatting sqref="B130">
    <cfRule type="expression" priority="265" dxfId="637">
      <formula>$B130&lt;&gt;""</formula>
    </cfRule>
  </conditionalFormatting>
  <conditionalFormatting sqref="B133:B142">
    <cfRule type="expression" priority="33" dxfId="633">
      <formula>$J133&gt;0</formula>
    </cfRule>
  </conditionalFormatting>
  <conditionalFormatting sqref="B143">
    <cfRule type="expression" priority="241" dxfId="358">
      <formula>($D133="CANOPY TYPE")</formula>
    </cfRule>
    <cfRule type="expression" priority="240" dxfId="633">
      <formula>ISNUMBER(SEARCH("UV",$D133))</formula>
    </cfRule>
  </conditionalFormatting>
  <conditionalFormatting sqref="B147">
    <cfRule type="expression" priority="214" dxfId="637">
      <formula>$B147&lt;&gt;""</formula>
    </cfRule>
  </conditionalFormatting>
  <conditionalFormatting sqref="B150:B159">
    <cfRule type="expression" priority="19" dxfId="633">
      <formula>$J150&gt;0</formula>
    </cfRule>
  </conditionalFormatting>
  <conditionalFormatting sqref="B160">
    <cfRule type="expression" priority="190" dxfId="358">
      <formula>($D150="CANOPY TYPE")</formula>
    </cfRule>
    <cfRule type="expression" priority="189" dxfId="633">
      <formula>ISNUMBER(SEARCH("UV",$D150))</formula>
    </cfRule>
  </conditionalFormatting>
  <conditionalFormatting sqref="B164">
    <cfRule type="expression" priority="163" dxfId="637">
      <formula>$B164&lt;&gt;""</formula>
    </cfRule>
  </conditionalFormatting>
  <conditionalFormatting sqref="B167:B176">
    <cfRule type="expression" priority="5" dxfId="633">
      <formula>$J167&gt;0</formula>
    </cfRule>
  </conditionalFormatting>
  <conditionalFormatting sqref="B177">
    <cfRule type="expression" priority="138" dxfId="633">
      <formula>ISNUMBER(SEARCH("UV",$D167))</formula>
    </cfRule>
    <cfRule type="expression" priority="139" dxfId="358">
      <formula>($D167="CANOPY TYPE")</formula>
    </cfRule>
  </conditionalFormatting>
  <conditionalFormatting sqref="B183:B197">
    <cfRule type="expression" priority="617" dxfId="633">
      <formula>$C183&gt;0</formula>
    </cfRule>
  </conditionalFormatting>
  <conditionalFormatting sqref="C14">
    <cfRule type="containsText" priority="429" operator="containsText" dxfId="204" text="CONFIG">
      <formula>NOT(ISERROR(SEARCH("CONFIG",C14)))</formula>
    </cfRule>
  </conditionalFormatting>
  <conditionalFormatting sqref="C15">
    <cfRule type="containsText" priority="434" operator="containsText" dxfId="561" text="LIGHT SELECTION">
      <formula>NOT(ISERROR(SEARCH("LIGHT SELECTION",C15)))</formula>
    </cfRule>
  </conditionalFormatting>
  <conditionalFormatting sqref="C20:C21">
    <cfRule type="cellIs" priority="669" operator="lessThan" dxfId="561">
      <formula>1</formula>
    </cfRule>
  </conditionalFormatting>
  <conditionalFormatting sqref="C22:C23">
    <cfRule type="expression" priority="409" dxfId="383">
      <formula>D22="WW PODS"</formula>
    </cfRule>
  </conditionalFormatting>
  <conditionalFormatting sqref="C24">
    <cfRule type="expression" priority="686" dxfId="559">
      <formula>ISNUMBER(SEARCH("UV",D14))</formula>
    </cfRule>
  </conditionalFormatting>
  <conditionalFormatting sqref="C25">
    <cfRule type="expression" priority="651" dxfId="472">
      <formula>(ISNUMBER(SEARCH("CMW",D14)))=TRUE</formula>
    </cfRule>
  </conditionalFormatting>
  <conditionalFormatting sqref="C26">
    <cfRule type="expression" priority="650" dxfId="472">
      <formula>(ISNUMBER(SEARCH("CMW",D14)))=TRUE</formula>
    </cfRule>
  </conditionalFormatting>
  <conditionalFormatting sqref="C27">
    <cfRule type="expression" priority="619" dxfId="472">
      <formula>(ISNUMBER(SEARCH("CMW",$D14)))=TRUE</formula>
    </cfRule>
  </conditionalFormatting>
  <conditionalFormatting sqref="C31">
    <cfRule type="containsText" priority="594" operator="containsText" dxfId="204" text="CONFIG">
      <formula>NOT(ISERROR(SEARCH("CONFIG",C31)))</formula>
    </cfRule>
  </conditionalFormatting>
  <conditionalFormatting sqref="C32">
    <cfRule type="containsText" priority="436" operator="containsText" dxfId="561" text="LIGHT SELECTION">
      <formula>NOT(ISERROR(SEARCH("LIGHT SELECTION",C32)))</formula>
    </cfRule>
  </conditionalFormatting>
  <conditionalFormatting sqref="C37:C38">
    <cfRule type="cellIs" priority="593" operator="lessThan" dxfId="561">
      <formula>1</formula>
    </cfRule>
  </conditionalFormatting>
  <conditionalFormatting sqref="C39:C40">
    <cfRule type="expression" priority="387" dxfId="383">
      <formula>D39="WW PODS"</formula>
    </cfRule>
  </conditionalFormatting>
  <conditionalFormatting sqref="C41">
    <cfRule type="expression" priority="608" dxfId="559">
      <formula>ISNUMBER(SEARCH("UV",D31))</formula>
    </cfRule>
  </conditionalFormatting>
  <conditionalFormatting sqref="C42">
    <cfRule type="expression" priority="591" dxfId="472">
      <formula>(ISNUMBER(SEARCH("CMW",D31)))=TRUE</formula>
    </cfRule>
  </conditionalFormatting>
  <conditionalFormatting sqref="C43">
    <cfRule type="expression" priority="468" dxfId="472">
      <formula>(ISNUMBER(SEARCH("CMW",D31)))=TRUE</formula>
    </cfRule>
  </conditionalFormatting>
  <conditionalFormatting sqref="C44">
    <cfRule type="expression" priority="586" dxfId="472">
      <formula>(ISNUMBER(SEARCH("CMW",$D31)))=TRUE</formula>
    </cfRule>
  </conditionalFormatting>
  <conditionalFormatting sqref="C48">
    <cfRule type="containsText" priority="563" operator="containsText" dxfId="204" text="CONFIG">
      <formula>NOT(ISERROR(SEARCH("CONFIG",C48)))</formula>
    </cfRule>
  </conditionalFormatting>
  <conditionalFormatting sqref="C49">
    <cfRule type="containsText" priority="433" operator="containsText" dxfId="561" text="LIGHT SELECTION">
      <formula>NOT(ISERROR(SEARCH("LIGHT SELECTION",C49)))</formula>
    </cfRule>
  </conditionalFormatting>
  <conditionalFormatting sqref="C54:C55">
    <cfRule type="cellIs" priority="562" operator="lessThan" dxfId="561">
      <formula>1</formula>
    </cfRule>
  </conditionalFormatting>
  <conditionalFormatting sqref="C56:C57">
    <cfRule type="expression" priority="368" dxfId="383">
      <formula>D56="WW PODS"</formula>
    </cfRule>
  </conditionalFormatting>
  <conditionalFormatting sqref="C58">
    <cfRule type="expression" priority="576" dxfId="559">
      <formula>ISNUMBER(SEARCH("UV",D48))</formula>
    </cfRule>
  </conditionalFormatting>
  <conditionalFormatting sqref="C59">
    <cfRule type="expression" priority="560" dxfId="472">
      <formula>(ISNUMBER(SEARCH("CMW",D48)))=TRUE</formula>
    </cfRule>
  </conditionalFormatting>
  <conditionalFormatting sqref="C60">
    <cfRule type="expression" priority="467" dxfId="472">
      <formula>(ISNUMBER(SEARCH("CMW",D48)))=TRUE</formula>
    </cfRule>
  </conditionalFormatting>
  <conditionalFormatting sqref="C61">
    <cfRule type="expression" priority="558" dxfId="472">
      <formula>(ISNUMBER(SEARCH("CMW",$D48)))=TRUE</formula>
    </cfRule>
  </conditionalFormatting>
  <conditionalFormatting sqref="C65">
    <cfRule type="containsText" priority="536" operator="containsText" dxfId="204" text="CONFIG">
      <formula>NOT(ISERROR(SEARCH("CONFIG",C65)))</formula>
    </cfRule>
  </conditionalFormatting>
  <conditionalFormatting sqref="C66">
    <cfRule type="containsText" priority="432" operator="containsText" dxfId="561" text="LIGHT SELECTION">
      <formula>NOT(ISERROR(SEARCH("LIGHT SELECTION",C66)))</formula>
    </cfRule>
  </conditionalFormatting>
  <conditionalFormatting sqref="C71:C72">
    <cfRule type="cellIs" priority="535" operator="lessThan" dxfId="561">
      <formula>1</formula>
    </cfRule>
  </conditionalFormatting>
  <conditionalFormatting sqref="C73:C74">
    <cfRule type="expression" priority="353" dxfId="383">
      <formula>D73="WW PODS"</formula>
    </cfRule>
  </conditionalFormatting>
  <conditionalFormatting sqref="C75">
    <cfRule type="expression" priority="549" dxfId="559">
      <formula>ISNUMBER(SEARCH("UV",D65))</formula>
    </cfRule>
  </conditionalFormatting>
  <conditionalFormatting sqref="C76">
    <cfRule type="expression" priority="532" dxfId="472">
      <formula>(ISNUMBER(SEARCH("CMW",D65)))=TRUE</formula>
    </cfRule>
  </conditionalFormatting>
  <conditionalFormatting sqref="C77">
    <cfRule type="expression" priority="466" dxfId="472">
      <formula>(ISNUMBER(SEARCH("CMW",D65)))=TRUE</formula>
    </cfRule>
  </conditionalFormatting>
  <conditionalFormatting sqref="C78">
    <cfRule type="expression" priority="530" dxfId="472">
      <formula>(ISNUMBER(SEARCH("CMW",$D65)))=TRUE</formula>
    </cfRule>
  </conditionalFormatting>
  <conditionalFormatting sqref="C82">
    <cfRule type="containsText" priority="507" operator="containsText" dxfId="204" text="CONFIG">
      <formula>NOT(ISERROR(SEARCH("CONFIG",C82)))</formula>
    </cfRule>
  </conditionalFormatting>
  <conditionalFormatting sqref="C83">
    <cfRule type="containsText" priority="431" operator="containsText" dxfId="561" text="LIGHT SELECTION">
      <formula>NOT(ISERROR(SEARCH("LIGHT SELECTION",C83)))</formula>
    </cfRule>
  </conditionalFormatting>
  <conditionalFormatting sqref="C88:C89">
    <cfRule type="cellIs" priority="506" operator="lessThan" dxfId="561">
      <formula>1</formula>
    </cfRule>
  </conditionalFormatting>
  <conditionalFormatting sqref="C90:C91">
    <cfRule type="expression" priority="338" dxfId="383">
      <formula>D90="WW PODS"</formula>
    </cfRule>
  </conditionalFormatting>
  <conditionalFormatting sqref="C92">
    <cfRule type="expression" priority="521" dxfId="559">
      <formula>ISNUMBER(SEARCH("UV",D82))</formula>
    </cfRule>
  </conditionalFormatting>
  <conditionalFormatting sqref="C93">
    <cfRule type="expression" priority="503" dxfId="472">
      <formula>(ISNUMBER(SEARCH("CMW",D82)))=TRUE</formula>
    </cfRule>
  </conditionalFormatting>
  <conditionalFormatting sqref="C94">
    <cfRule type="expression" priority="465" dxfId="472">
      <formula>(ISNUMBER(SEARCH("CMW",D82)))=TRUE</formula>
    </cfRule>
  </conditionalFormatting>
  <conditionalFormatting sqref="C95">
    <cfRule type="expression" priority="501" dxfId="472">
      <formula>(ISNUMBER(SEARCH("CMW",$D82)))=TRUE</formula>
    </cfRule>
  </conditionalFormatting>
  <conditionalFormatting sqref="C99">
    <cfRule type="containsText" priority="478" operator="containsText" dxfId="204" text="CONFIG">
      <formula>NOT(ISERROR(SEARCH("CONFIG",C99)))</formula>
    </cfRule>
  </conditionalFormatting>
  <conditionalFormatting sqref="C100">
    <cfRule type="containsText" priority="430" operator="containsText" dxfId="561" text="LIGHT SELECTION">
      <formula>NOT(ISERROR(SEARCH("LIGHT SELECTION",C100)))</formula>
    </cfRule>
  </conditionalFormatting>
  <conditionalFormatting sqref="C105:C106">
    <cfRule type="cellIs" priority="477" operator="lessThan" dxfId="561">
      <formula>1</formula>
    </cfRule>
  </conditionalFormatting>
  <conditionalFormatting sqref="C107:C108">
    <cfRule type="expression" priority="323" dxfId="383">
      <formula>D107="WW PODS"</formula>
    </cfRule>
  </conditionalFormatting>
  <conditionalFormatting sqref="C109">
    <cfRule type="expression" priority="492" dxfId="559">
      <formula>ISNUMBER(SEARCH("UV",D99))</formula>
    </cfRule>
  </conditionalFormatting>
  <conditionalFormatting sqref="C110">
    <cfRule type="expression" priority="475" dxfId="472">
      <formula>(ISNUMBER(SEARCH("CMW",D99)))=TRUE</formula>
    </cfRule>
  </conditionalFormatting>
  <conditionalFormatting sqref="C111">
    <cfRule type="expression" priority="464" dxfId="472">
      <formula>(ISNUMBER(SEARCH("CMW",D99)))=TRUE</formula>
    </cfRule>
  </conditionalFormatting>
  <conditionalFormatting sqref="C112 C129 C146 C163 C180">
    <cfRule type="expression" priority="473" dxfId="472">
      <formula>(ISNUMBER(SEARCH("CMW",$D99)))=TRUE</formula>
    </cfRule>
  </conditionalFormatting>
  <conditionalFormatting sqref="C116">
    <cfRule type="containsText" priority="301" operator="containsText" dxfId="204" text="CONFIG">
      <formula>NOT(ISERROR(SEARCH("CONFIG",C116)))</formula>
    </cfRule>
  </conditionalFormatting>
  <conditionalFormatting sqref="C117">
    <cfRule type="containsText" priority="288" operator="containsText" dxfId="561" text="LIGHT SELECTION">
      <formula>NOT(ISERROR(SEARCH("LIGHT SELECTION",C117)))</formula>
    </cfRule>
  </conditionalFormatting>
  <conditionalFormatting sqref="C122:C123">
    <cfRule type="cellIs" priority="300" operator="lessThan" dxfId="561">
      <formula>1</formula>
    </cfRule>
  </conditionalFormatting>
  <conditionalFormatting sqref="C124:C125">
    <cfRule type="expression" priority="272" dxfId="383">
      <formula>D124="WW PODS"</formula>
    </cfRule>
  </conditionalFormatting>
  <conditionalFormatting sqref="C126">
    <cfRule type="expression" priority="315" dxfId="559">
      <formula>ISNUMBER(SEARCH("UV",D116))</formula>
    </cfRule>
  </conditionalFormatting>
  <conditionalFormatting sqref="C127">
    <cfRule type="expression" priority="298" dxfId="472">
      <formula>(ISNUMBER(SEARCH("CMW",D116)))=TRUE</formula>
    </cfRule>
  </conditionalFormatting>
  <conditionalFormatting sqref="C128">
    <cfRule type="expression" priority="293" dxfId="472">
      <formula>(ISNUMBER(SEARCH("CMW",D116)))=TRUE</formula>
    </cfRule>
  </conditionalFormatting>
  <conditionalFormatting sqref="C133">
    <cfRule type="containsText" priority="246" operator="containsText" dxfId="204" text="CONFIG">
      <formula>NOT(ISERROR(SEARCH("CONFIG",C133)))</formula>
    </cfRule>
  </conditionalFormatting>
  <conditionalFormatting sqref="C134">
    <cfRule type="containsText" priority="233" operator="containsText" dxfId="561" text="LIGHT SELECTION">
      <formula>NOT(ISERROR(SEARCH("LIGHT SELECTION",C134)))</formula>
    </cfRule>
  </conditionalFormatting>
  <conditionalFormatting sqref="C139:C140">
    <cfRule type="cellIs" priority="245" operator="lessThan" dxfId="561">
      <formula>1</formula>
    </cfRule>
  </conditionalFormatting>
  <conditionalFormatting sqref="C141:C142">
    <cfRule type="expression" priority="217" dxfId="383">
      <formula>D141="WW PODS"</formula>
    </cfRule>
  </conditionalFormatting>
  <conditionalFormatting sqref="C143">
    <cfRule type="expression" priority="260" dxfId="559">
      <formula>ISNUMBER(SEARCH("UV",D133))</formula>
    </cfRule>
  </conditionalFormatting>
  <conditionalFormatting sqref="C144">
    <cfRule type="expression" priority="243" dxfId="472">
      <formula>(ISNUMBER(SEARCH("CMW",D133)))=TRUE</formula>
    </cfRule>
  </conditionalFormatting>
  <conditionalFormatting sqref="C145">
    <cfRule type="expression" priority="238" dxfId="472">
      <formula>(ISNUMBER(SEARCH("CMW",D133)))=TRUE</formula>
    </cfRule>
  </conditionalFormatting>
  <conditionalFormatting sqref="C150">
    <cfRule type="containsText" priority="195" operator="containsText" dxfId="204" text="CONFIG">
      <formula>NOT(ISERROR(SEARCH("CONFIG",C150)))</formula>
    </cfRule>
  </conditionalFormatting>
  <conditionalFormatting sqref="C151">
    <cfRule type="containsText" priority="182" operator="containsText" dxfId="561" text="LIGHT SELECTION">
      <formula>NOT(ISERROR(SEARCH("LIGHT SELECTION",C151)))</formula>
    </cfRule>
  </conditionalFormatting>
  <conditionalFormatting sqref="C156:C157">
    <cfRule type="cellIs" priority="194" operator="lessThan" dxfId="561">
      <formula>1</formula>
    </cfRule>
  </conditionalFormatting>
  <conditionalFormatting sqref="C158:C159">
    <cfRule type="expression" priority="166" dxfId="383">
      <formula>D158="WW PODS"</formula>
    </cfRule>
  </conditionalFormatting>
  <conditionalFormatting sqref="C160">
    <cfRule type="expression" priority="209" dxfId="559">
      <formula>ISNUMBER(SEARCH("UV",D150))</formula>
    </cfRule>
  </conditionalFormatting>
  <conditionalFormatting sqref="C161">
    <cfRule type="expression" priority="192" dxfId="472">
      <formula>(ISNUMBER(SEARCH("CMW",D150)))=TRUE</formula>
    </cfRule>
  </conditionalFormatting>
  <conditionalFormatting sqref="C162">
    <cfRule type="expression" priority="187" dxfId="472">
      <formula>(ISNUMBER(SEARCH("CMW",D150)))=TRUE</formula>
    </cfRule>
  </conditionalFormatting>
  <conditionalFormatting sqref="C167">
    <cfRule type="containsText" priority="144" operator="containsText" dxfId="204" text="CONFIG">
      <formula>NOT(ISERROR(SEARCH("CONFIG",C167)))</formula>
    </cfRule>
  </conditionalFormatting>
  <conditionalFormatting sqref="C168">
    <cfRule type="containsText" priority="131" operator="containsText" dxfId="561" text="LIGHT SELECTION">
      <formula>NOT(ISERROR(SEARCH("LIGHT SELECTION",C168)))</formula>
    </cfRule>
  </conditionalFormatting>
  <conditionalFormatting sqref="C173:C174">
    <cfRule type="cellIs" priority="143" operator="lessThan" dxfId="561">
      <formula>1</formula>
    </cfRule>
  </conditionalFormatting>
  <conditionalFormatting sqref="C175:C176">
    <cfRule type="expression" priority="115" dxfId="383">
      <formula>D175="WW PODS"</formula>
    </cfRule>
  </conditionalFormatting>
  <conditionalFormatting sqref="C177">
    <cfRule type="expression" priority="158" dxfId="559">
      <formula>ISNUMBER(SEARCH("UV",D167))</formula>
    </cfRule>
  </conditionalFormatting>
  <conditionalFormatting sqref="C178">
    <cfRule type="expression" priority="141" dxfId="472">
      <formula>(ISNUMBER(SEARCH("CMW",D167)))=TRUE</formula>
    </cfRule>
  </conditionalFormatting>
  <conditionalFormatting sqref="C179">
    <cfRule type="expression" priority="136" dxfId="472">
      <formula>(ISNUMBER(SEARCH("CMW",D167)))=TRUE</formula>
    </cfRule>
  </conditionalFormatting>
  <conditionalFormatting sqref="C183:C184">
    <cfRule type="cellIs" priority="671" operator="lessThan" dxfId="554">
      <formula>1</formula>
    </cfRule>
  </conditionalFormatting>
  <conditionalFormatting sqref="C185">
    <cfRule type="cellIs" priority="660" operator="lessThan" dxfId="164">
      <formula>1</formula>
    </cfRule>
  </conditionalFormatting>
  <conditionalFormatting sqref="C186:C197">
    <cfRule type="cellIs" priority="270" operator="lessThan" dxfId="554">
      <formula>1</formula>
    </cfRule>
  </conditionalFormatting>
  <conditionalFormatting sqref="C9:D9">
    <cfRule type="cellIs" priority="661" operator="lessThan" dxfId="207">
      <formula>0</formula>
    </cfRule>
    <cfRule type="cellIs" priority="662" operator="greaterThan" dxfId="552">
      <formula>0</formula>
    </cfRule>
  </conditionalFormatting>
  <conditionalFormatting sqref="D14">
    <cfRule type="containsText" priority="672" operator="containsText" dxfId="164" text="CANOPY TYPE">
      <formula>NOT(ISERROR(SEARCH("CANOPY TYPE",D14)))</formula>
    </cfRule>
  </conditionalFormatting>
  <conditionalFormatting sqref="D15">
    <cfRule type="expression" priority="425" dxfId="206">
      <formula>(C15="LIGHT SELECTION")</formula>
    </cfRule>
  </conditionalFormatting>
  <conditionalFormatting sqref="D16:D18">
    <cfRule type="expression" priority="627" dxfId="206">
      <formula>($C16="SELECT WORKS")</formula>
    </cfRule>
  </conditionalFormatting>
  <conditionalFormatting sqref="D19">
    <cfRule type="expression" priority="269" dxfId="206">
      <formula>$C19="SELECT CLADDING"</formula>
    </cfRule>
  </conditionalFormatting>
  <conditionalFormatting sqref="D22:D23">
    <cfRule type="expression" priority="408" dxfId="358">
      <formula>($D$14="CANOPY TYPE")</formula>
    </cfRule>
  </conditionalFormatting>
  <conditionalFormatting sqref="D24">
    <cfRule type="expression" priority="685" dxfId="474">
      <formula>ISNUMBER(SEARCH("UV",D14))</formula>
    </cfRule>
  </conditionalFormatting>
  <conditionalFormatting sqref="D25">
    <cfRule type="expression" priority="613" dxfId="358">
      <formula>($D$14="CANOPY TYPE")</formula>
    </cfRule>
  </conditionalFormatting>
  <conditionalFormatting sqref="D26">
    <cfRule type="expression" priority="635" dxfId="472">
      <formula>(ISNUMBER(SEARCH("CMW",D14)))=TRUE</formula>
    </cfRule>
  </conditionalFormatting>
  <conditionalFormatting sqref="D31">
    <cfRule type="containsText" priority="595" operator="containsText" dxfId="164" text="CANOPY TYPE">
      <formula>NOT(ISERROR(SEARCH("CANOPY TYPE",D31)))</formula>
    </cfRule>
  </conditionalFormatting>
  <conditionalFormatting sqref="D32">
    <cfRule type="expression" priority="438" dxfId="206">
      <formula>(C32="LIGHT SELECTION")</formula>
    </cfRule>
  </conditionalFormatting>
  <conditionalFormatting sqref="D33:D35">
    <cfRule type="expression" priority="588" dxfId="206">
      <formula>($C33="SELECT WORKS")</formula>
    </cfRule>
  </conditionalFormatting>
  <conditionalFormatting sqref="D36">
    <cfRule type="expression" priority="417" dxfId="206">
      <formula>$C36="SELECT CLADDING"</formula>
    </cfRule>
  </conditionalFormatting>
  <conditionalFormatting sqref="D39:D40">
    <cfRule type="expression" priority="382" dxfId="358">
      <formula>($D$14="CANOPY TYPE")</formula>
    </cfRule>
  </conditionalFormatting>
  <conditionalFormatting sqref="D41">
    <cfRule type="expression" priority="607" dxfId="474">
      <formula>ISNUMBER(SEARCH("UV",D31))</formula>
    </cfRule>
  </conditionalFormatting>
  <conditionalFormatting sqref="D42">
    <cfRule type="expression" priority="581" dxfId="358">
      <formula>($D$14="CANOPY TYPE")</formula>
    </cfRule>
  </conditionalFormatting>
  <conditionalFormatting sqref="D43">
    <cfRule type="expression" priority="590" dxfId="472">
      <formula>(ISNUMBER(SEARCH("CMW",D31)))=TRUE</formula>
    </cfRule>
  </conditionalFormatting>
  <conditionalFormatting sqref="D48">
    <cfRule type="containsText" priority="420" operator="containsText" dxfId="164" text="CANOPY TYPE">
      <formula>NOT(ISERROR(SEARCH("CANOPY TYPE",D48)))</formula>
    </cfRule>
  </conditionalFormatting>
  <conditionalFormatting sqref="D49">
    <cfRule type="expression" priority="435" dxfId="206">
      <formula>(C15="LIGHT SELECTION")</formula>
    </cfRule>
  </conditionalFormatting>
  <conditionalFormatting sqref="D50:D52">
    <cfRule type="expression" priority="111" dxfId="206">
      <formula>($C50="SELECT WORKS")</formula>
    </cfRule>
  </conditionalFormatting>
  <conditionalFormatting sqref="D53">
    <cfRule type="expression" priority="418" dxfId="206">
      <formula>$C53="SELECT CLADDING"</formula>
    </cfRule>
  </conditionalFormatting>
  <conditionalFormatting sqref="D56:D57">
    <cfRule type="expression" priority="367" dxfId="358">
      <formula>($D$14="CANOPY TYPE")</formula>
    </cfRule>
  </conditionalFormatting>
  <conditionalFormatting sqref="D58">
    <cfRule type="expression" priority="575" dxfId="474">
      <formula>ISNUMBER(SEARCH("UV",D48))</formula>
    </cfRule>
  </conditionalFormatting>
  <conditionalFormatting sqref="D59">
    <cfRule type="expression" priority="554" dxfId="358">
      <formula>($D$14="CANOPY TYPE")</formula>
    </cfRule>
  </conditionalFormatting>
  <conditionalFormatting sqref="D60">
    <cfRule type="expression" priority="559" dxfId="472">
      <formula>(ISNUMBER(SEARCH("CMW",D48)))=TRUE</formula>
    </cfRule>
  </conditionalFormatting>
  <conditionalFormatting sqref="D65">
    <cfRule type="containsText" priority="419" operator="containsText" dxfId="164" text="CANOPY TYPE">
      <formula>NOT(ISERROR(SEARCH("CANOPY TYPE",D65)))</formula>
    </cfRule>
  </conditionalFormatting>
  <conditionalFormatting sqref="D66">
    <cfRule type="expression" priority="428" dxfId="206">
      <formula>(C66="LIGHT SELECTION")</formula>
    </cfRule>
  </conditionalFormatting>
  <conditionalFormatting sqref="D67:D69">
    <cfRule type="expression" priority="97" dxfId="206">
      <formula>($C67="SELECT WORKS")</formula>
    </cfRule>
  </conditionalFormatting>
  <conditionalFormatting sqref="D70">
    <cfRule type="expression" priority="533" dxfId="206">
      <formula>$C70="SELECT CLADDING"</formula>
    </cfRule>
  </conditionalFormatting>
  <conditionalFormatting sqref="D73:D74">
    <cfRule type="expression" priority="352" dxfId="358">
      <formula>($D$14="CANOPY TYPE")</formula>
    </cfRule>
  </conditionalFormatting>
  <conditionalFormatting sqref="D75">
    <cfRule type="expression" priority="548" dxfId="474">
      <formula>ISNUMBER(SEARCH("UV",D65))</formula>
    </cfRule>
  </conditionalFormatting>
  <conditionalFormatting sqref="D76">
    <cfRule type="expression" priority="526" dxfId="358">
      <formula>($D$14="CANOPY TYPE")</formula>
    </cfRule>
  </conditionalFormatting>
  <conditionalFormatting sqref="D77">
    <cfRule type="expression" priority="531" dxfId="472">
      <formula>(ISNUMBER(SEARCH("CMW",D65)))=TRUE</formula>
    </cfRule>
  </conditionalFormatting>
  <conditionalFormatting sqref="D82">
    <cfRule type="containsText" priority="508" operator="containsText" dxfId="164" text="CANOPY TYPE">
      <formula>NOT(ISERROR(SEARCH("CANOPY TYPE",D82)))</formula>
    </cfRule>
  </conditionalFormatting>
  <conditionalFormatting sqref="D83">
    <cfRule type="expression" priority="427" dxfId="206">
      <formula>(C83="LIGHT SELECTION")</formula>
    </cfRule>
  </conditionalFormatting>
  <conditionalFormatting sqref="D84:D86">
    <cfRule type="expression" priority="83" dxfId="206">
      <formula>($C84="SELECT WORKS")</formula>
    </cfRule>
  </conditionalFormatting>
  <conditionalFormatting sqref="D87">
    <cfRule type="expression" priority="504" dxfId="206">
      <formula>$C87="SELECT CLADDING"</formula>
    </cfRule>
  </conditionalFormatting>
  <conditionalFormatting sqref="D90:D91">
    <cfRule type="expression" priority="337" dxfId="358">
      <formula>($D$14="CANOPY TYPE")</formula>
    </cfRule>
  </conditionalFormatting>
  <conditionalFormatting sqref="D92">
    <cfRule type="expression" priority="520" dxfId="474">
      <formula>ISNUMBER(SEARCH("UV",D82))</formula>
    </cfRule>
  </conditionalFormatting>
  <conditionalFormatting sqref="D93">
    <cfRule type="expression" priority="497" dxfId="358">
      <formula>($D$14="CANOPY TYPE")</formula>
    </cfRule>
  </conditionalFormatting>
  <conditionalFormatting sqref="D94">
    <cfRule type="expression" priority="502" dxfId="472">
      <formula>(ISNUMBER(SEARCH("CMW",D82)))=TRUE</formula>
    </cfRule>
  </conditionalFormatting>
  <conditionalFormatting sqref="D99">
    <cfRule type="containsText" priority="479" operator="containsText" dxfId="164" text="CANOPY TYPE">
      <formula>NOT(ISERROR(SEARCH("CANOPY TYPE",D99)))</formula>
    </cfRule>
  </conditionalFormatting>
  <conditionalFormatting sqref="D100">
    <cfRule type="expression" priority="426" dxfId="206">
      <formula>(C100="LIGHT SELECTION")</formula>
    </cfRule>
  </conditionalFormatting>
  <conditionalFormatting sqref="D101:D103">
    <cfRule type="expression" priority="69" dxfId="206">
      <formula>($C101="SELECT WORKS")</formula>
    </cfRule>
  </conditionalFormatting>
  <conditionalFormatting sqref="D104">
    <cfRule type="expression" priority="416" dxfId="206">
      <formula>$C104="SELECT CLADDING"</formula>
    </cfRule>
  </conditionalFormatting>
  <conditionalFormatting sqref="D107:D108">
    <cfRule type="expression" priority="322" dxfId="358">
      <formula>($D$14="CANOPY TYPE")</formula>
    </cfRule>
  </conditionalFormatting>
  <conditionalFormatting sqref="D109">
    <cfRule type="expression" priority="491" dxfId="474">
      <formula>ISNUMBER(SEARCH("UV",D99))</formula>
    </cfRule>
  </conditionalFormatting>
  <conditionalFormatting sqref="D110">
    <cfRule type="expression" priority="469" dxfId="358">
      <formula>($D$14="CANOPY TYPE")</formula>
    </cfRule>
  </conditionalFormatting>
  <conditionalFormatting sqref="D111">
    <cfRule type="expression" priority="474" dxfId="472">
      <formula>(ISNUMBER(SEARCH("CMW",D99)))=TRUE</formula>
    </cfRule>
  </conditionalFormatting>
  <conditionalFormatting sqref="D116">
    <cfRule type="containsText" priority="302" operator="containsText" dxfId="164" text="CANOPY TYPE">
      <formula>NOT(ISERROR(SEARCH("CANOPY TYPE",D116)))</formula>
    </cfRule>
  </conditionalFormatting>
  <conditionalFormatting sqref="D117">
    <cfRule type="expression" priority="287" dxfId="206">
      <formula>(C117="LIGHT SELECTION")</formula>
    </cfRule>
  </conditionalFormatting>
  <conditionalFormatting sqref="D118:D120">
    <cfRule type="expression" priority="55" dxfId="206">
      <formula>($C118="SELECT WORKS")</formula>
    </cfRule>
  </conditionalFormatting>
  <conditionalFormatting sqref="D121">
    <cfRule type="expression" priority="286" dxfId="206">
      <formula>$C121="SELECT CLADDING"</formula>
    </cfRule>
  </conditionalFormatting>
  <conditionalFormatting sqref="D124:D125">
    <cfRule type="expression" priority="271" dxfId="358">
      <formula>($D$14="CANOPY TYPE")</formula>
    </cfRule>
  </conditionalFormatting>
  <conditionalFormatting sqref="D126">
    <cfRule type="expression" priority="314" dxfId="474">
      <formula>ISNUMBER(SEARCH("UV",D116))</formula>
    </cfRule>
  </conditionalFormatting>
  <conditionalFormatting sqref="D127">
    <cfRule type="expression" priority="294" dxfId="358">
      <formula>($D$14="CANOPY TYPE")</formula>
    </cfRule>
  </conditionalFormatting>
  <conditionalFormatting sqref="D128">
    <cfRule type="expression" priority="297" dxfId="472">
      <formula>(ISNUMBER(SEARCH("CMW",D116)))=TRUE</formula>
    </cfRule>
  </conditionalFormatting>
  <conditionalFormatting sqref="D133">
    <cfRule type="containsText" priority="247" operator="containsText" dxfId="164" text="CANOPY TYPE">
      <formula>NOT(ISERROR(SEARCH("CANOPY TYPE",D133)))</formula>
    </cfRule>
  </conditionalFormatting>
  <conditionalFormatting sqref="D134">
    <cfRule type="expression" priority="232" dxfId="206">
      <formula>(C134="LIGHT SELECTION")</formula>
    </cfRule>
  </conditionalFormatting>
  <conditionalFormatting sqref="D135:D137">
    <cfRule type="expression" priority="41" dxfId="206">
      <formula>($C135="SELECT WORKS")</formula>
    </cfRule>
  </conditionalFormatting>
  <conditionalFormatting sqref="D138">
    <cfRule type="expression" priority="231" dxfId="206">
      <formula>$C138="SELECT CLADDING"</formula>
    </cfRule>
  </conditionalFormatting>
  <conditionalFormatting sqref="D141:D142">
    <cfRule type="expression" priority="216" dxfId="358">
      <formula>($D$14="CANOPY TYPE")</formula>
    </cfRule>
  </conditionalFormatting>
  <conditionalFormatting sqref="D143">
    <cfRule type="expression" priority="259" dxfId="474">
      <formula>ISNUMBER(SEARCH("UV",D133))</formula>
    </cfRule>
  </conditionalFormatting>
  <conditionalFormatting sqref="D144">
    <cfRule type="expression" priority="239" dxfId="358">
      <formula>($D$14="CANOPY TYPE")</formula>
    </cfRule>
  </conditionalFormatting>
  <conditionalFormatting sqref="D145">
    <cfRule type="expression" priority="242" dxfId="472">
      <formula>(ISNUMBER(SEARCH("CMW",D133)))=TRUE</formula>
    </cfRule>
  </conditionalFormatting>
  <conditionalFormatting sqref="D150">
    <cfRule type="containsText" priority="196" operator="containsText" dxfId="164" text="CANOPY TYPE">
      <formula>NOT(ISERROR(SEARCH("CANOPY TYPE",D150)))</formula>
    </cfRule>
  </conditionalFormatting>
  <conditionalFormatting sqref="D151">
    <cfRule type="expression" priority="181" dxfId="206">
      <formula>(C151="LIGHT SELECTION")</formula>
    </cfRule>
  </conditionalFormatting>
  <conditionalFormatting sqref="D152:D154">
    <cfRule type="expression" priority="27" dxfId="206">
      <formula>($C152="SELECT WORKS")</formula>
    </cfRule>
  </conditionalFormatting>
  <conditionalFormatting sqref="D155">
    <cfRule type="expression" priority="180" dxfId="206">
      <formula>$C155="SELECT CLADDING"</formula>
    </cfRule>
  </conditionalFormatting>
  <conditionalFormatting sqref="D158:D159">
    <cfRule type="expression" priority="165" dxfId="358">
      <formula>($D$14="CANOPY TYPE")</formula>
    </cfRule>
  </conditionalFormatting>
  <conditionalFormatting sqref="D160">
    <cfRule type="expression" priority="208" dxfId="474">
      <formula>ISNUMBER(SEARCH("UV",D150))</formula>
    </cfRule>
  </conditionalFormatting>
  <conditionalFormatting sqref="D161">
    <cfRule type="expression" priority="188" dxfId="358">
      <formula>($D$14="CANOPY TYPE")</formula>
    </cfRule>
  </conditionalFormatting>
  <conditionalFormatting sqref="D162">
    <cfRule type="expression" priority="191" dxfId="472">
      <formula>(ISNUMBER(SEARCH("CMW",D150)))=TRUE</formula>
    </cfRule>
  </conditionalFormatting>
  <conditionalFormatting sqref="D167">
    <cfRule type="containsText" priority="145" operator="containsText" dxfId="164" text="CANOPY TYPE">
      <formula>NOT(ISERROR(SEARCH("CANOPY TYPE",D167)))</formula>
    </cfRule>
  </conditionalFormatting>
  <conditionalFormatting sqref="D168">
    <cfRule type="expression" priority="130" dxfId="206">
      <formula>(C168="LIGHT SELECTION")</formula>
    </cfRule>
  </conditionalFormatting>
  <conditionalFormatting sqref="D169:D171">
    <cfRule type="expression" priority="13" dxfId="206">
      <formula>($C169="SELECT WORKS")</formula>
    </cfRule>
  </conditionalFormatting>
  <conditionalFormatting sqref="D172">
    <cfRule type="expression" priority="129" dxfId="206">
      <formula>$C172="SELECT CLADDING"</formula>
    </cfRule>
  </conditionalFormatting>
  <conditionalFormatting sqref="D175:D176">
    <cfRule type="expression" priority="114" dxfId="358">
      <formula>($D$14="CANOPY TYPE")</formula>
    </cfRule>
  </conditionalFormatting>
  <conditionalFormatting sqref="D177">
    <cfRule type="expression" priority="157" dxfId="474">
      <formula>ISNUMBER(SEARCH("UV",D167))</formula>
    </cfRule>
  </conditionalFormatting>
  <conditionalFormatting sqref="D178">
    <cfRule type="expression" priority="137" dxfId="358">
      <formula>($D$14="CANOPY TYPE")</formula>
    </cfRule>
  </conditionalFormatting>
  <conditionalFormatting sqref="D179">
    <cfRule type="expression" priority="140" dxfId="472">
      <formula>(ISNUMBER(SEARCH("CMW",D167)))=TRUE</formula>
    </cfRule>
  </conditionalFormatting>
  <conditionalFormatting sqref="E12">
    <cfRule type="cellIs" priority="684" operator="greaterThan" dxfId="204">
      <formula>2000</formula>
    </cfRule>
    <cfRule type="expression" priority="683" dxfId="387">
      <formula>ISNUMBER(SEARCH("I-MUAP",$D$14))</formula>
    </cfRule>
    <cfRule type="expression" priority="682" dxfId="386">
      <formula>AND((ISNUMBER(SEARCH("I-MUAP",$D$14))),E12&lt;2500)</formula>
    </cfRule>
  </conditionalFormatting>
  <conditionalFormatting sqref="E15">
    <cfRule type="expression" priority="423" dxfId="315">
      <formula>(C15="LIGHT SELECTION")</formula>
    </cfRule>
  </conditionalFormatting>
  <conditionalFormatting sqref="E16:E18">
    <cfRule type="expression" priority="113" dxfId="381">
      <formula>$C16="SELECT WORKS"</formula>
    </cfRule>
  </conditionalFormatting>
  <conditionalFormatting sqref="E22:E23">
    <cfRule type="expression" priority="665" dxfId="384">
      <formula>D22="WW PODS"</formula>
    </cfRule>
    <cfRule type="expression" priority="666" dxfId="383">
      <formula>D22="FILTER TYPE"</formula>
    </cfRule>
    <cfRule type="expression" priority="667" dxfId="382">
      <formula>D22="KSA"</formula>
    </cfRule>
    <cfRule type="expression" priority="687" dxfId="381">
      <formula>(D14="CANOPY TYPE")</formula>
    </cfRule>
  </conditionalFormatting>
  <conditionalFormatting sqref="E24">
    <cfRule type="containsText" priority="674" operator="containsText" dxfId="380" text="LONG ">
      <formula>NOT(ISERROR(SEARCH("LONG ",E24)))</formula>
    </cfRule>
  </conditionalFormatting>
  <conditionalFormatting sqref="E29">
    <cfRule type="expression" priority="604" dxfId="386">
      <formula>AND((ISNUMBER(SEARCH("I-MUAP",$D$14))),E29&lt;2500)</formula>
    </cfRule>
    <cfRule type="expression" priority="605" dxfId="387">
      <formula>ISNUMBER(SEARCH("I-MUAP",$D$14))</formula>
    </cfRule>
    <cfRule type="cellIs" priority="606" operator="greaterThan" dxfId="204">
      <formula>2000</formula>
    </cfRule>
  </conditionalFormatting>
  <conditionalFormatting sqref="E33:E34">
    <cfRule type="expression" priority="587" dxfId="381">
      <formula>$C33="SELECT WORKS"</formula>
    </cfRule>
  </conditionalFormatting>
  <conditionalFormatting sqref="E39:E40">
    <cfRule type="expression" priority="397" dxfId="382">
      <formula>D39="KSA"</formula>
    </cfRule>
    <cfRule type="expression" priority="398" dxfId="381">
      <formula>(D31="CANOPY TYPE")</formula>
    </cfRule>
    <cfRule type="expression" priority="396" dxfId="383">
      <formula>D39="FILTER TYPE"</formula>
    </cfRule>
    <cfRule type="expression" priority="395" dxfId="384">
      <formula>D39="WW PODS"</formula>
    </cfRule>
  </conditionalFormatting>
  <conditionalFormatting sqref="E41">
    <cfRule type="containsText" priority="597" operator="containsText" dxfId="380" text="LONG ">
      <formula>NOT(ISERROR(SEARCH("LONG ",E41)))</formula>
    </cfRule>
  </conditionalFormatting>
  <conditionalFormatting sqref="E46">
    <cfRule type="cellIs" priority="574" operator="greaterThan" dxfId="204">
      <formula>2000</formula>
    </cfRule>
    <cfRule type="expression" priority="573" dxfId="387">
      <formula>ISNUMBER(SEARCH("I-MUAP",$D$14))</formula>
    </cfRule>
    <cfRule type="expression" priority="572" dxfId="386">
      <formula>AND((ISNUMBER(SEARCH("I-MUAP",$D$14))),E46&lt;2500)</formula>
    </cfRule>
  </conditionalFormatting>
  <conditionalFormatting sqref="E49">
    <cfRule type="expression" priority="437" dxfId="315">
      <formula>(C49="LIGHT SELECTION")</formula>
    </cfRule>
  </conditionalFormatting>
  <conditionalFormatting sqref="E50:E52">
    <cfRule type="expression" priority="110" dxfId="381">
      <formula>$C50="SELECT WORKS"</formula>
    </cfRule>
  </conditionalFormatting>
  <conditionalFormatting sqref="E56:E57">
    <cfRule type="expression" priority="369" dxfId="384">
      <formula>D56="WW PODS"</formula>
    </cfRule>
    <cfRule type="expression" priority="370" dxfId="383">
      <formula>D56="FILTER TYPE"</formula>
    </cfRule>
    <cfRule type="expression" priority="372" dxfId="381">
      <formula>(D48="CANOPY TYPE")</formula>
    </cfRule>
    <cfRule type="expression" priority="371" dxfId="382">
      <formula>D56="KSA"</formula>
    </cfRule>
  </conditionalFormatting>
  <conditionalFormatting sqref="E58">
    <cfRule type="containsText" priority="565" operator="containsText" dxfId="380" text="LONG ">
      <formula>NOT(ISERROR(SEARCH("LONG ",E58)))</formula>
    </cfRule>
  </conditionalFormatting>
  <conditionalFormatting sqref="E63">
    <cfRule type="cellIs" priority="547" operator="greaterThan" dxfId="204">
      <formula>2000</formula>
    </cfRule>
    <cfRule type="expression" priority="546" dxfId="387">
      <formula>ISNUMBER(SEARCH("I-MUAP",$D$14))</formula>
    </cfRule>
    <cfRule type="expression" priority="545" dxfId="386">
      <formula>AND((ISNUMBER(SEARCH("I-MUAP",$D$14))),E63&lt;2500)</formula>
    </cfRule>
  </conditionalFormatting>
  <conditionalFormatting sqref="E67:E69">
    <cfRule type="expression" priority="96" dxfId="381">
      <formula>$C67="SELECT WORKS"</formula>
    </cfRule>
  </conditionalFormatting>
  <conditionalFormatting sqref="E73:E74">
    <cfRule type="expression" priority="354" dxfId="384">
      <formula>D73="WW PODS"</formula>
    </cfRule>
    <cfRule type="expression" priority="356" dxfId="382">
      <formula>D73="KSA"</formula>
    </cfRule>
    <cfRule type="expression" priority="357" dxfId="381">
      <formula>(D65="CANOPY TYPE")</formula>
    </cfRule>
    <cfRule type="expression" priority="355" dxfId="383">
      <formula>D73="FILTER TYPE"</formula>
    </cfRule>
  </conditionalFormatting>
  <conditionalFormatting sqref="E75">
    <cfRule type="containsText" priority="538" operator="containsText" dxfId="380" text="LONG ">
      <formula>NOT(ISERROR(SEARCH("LONG ",E75)))</formula>
    </cfRule>
  </conditionalFormatting>
  <conditionalFormatting sqref="E80">
    <cfRule type="cellIs" priority="519" operator="greaterThan" dxfId="204">
      <formula>2000</formula>
    </cfRule>
    <cfRule type="expression" priority="517" dxfId="386">
      <formula>AND((ISNUMBER(SEARCH("I-MUAP",$D$14))),E80&lt;2500)</formula>
    </cfRule>
    <cfRule type="expression" priority="518" dxfId="387">
      <formula>ISNUMBER(SEARCH("I-MUAP",$D$14))</formula>
    </cfRule>
  </conditionalFormatting>
  <conditionalFormatting sqref="E84:E86">
    <cfRule type="expression" priority="82" dxfId="381">
      <formula>$C84="SELECT WORKS"</formula>
    </cfRule>
  </conditionalFormatting>
  <conditionalFormatting sqref="E90:E91">
    <cfRule type="expression" priority="342" dxfId="381">
      <formula>(D82="CANOPY TYPE")</formula>
    </cfRule>
    <cfRule type="expression" priority="339" dxfId="384">
      <formula>D90="WW PODS"</formula>
    </cfRule>
    <cfRule type="expression" priority="340" dxfId="383">
      <formula>D90="FILTER TYPE"</formula>
    </cfRule>
    <cfRule type="expression" priority="341" dxfId="382">
      <formula>D90="KSA"</formula>
    </cfRule>
  </conditionalFormatting>
  <conditionalFormatting sqref="E92">
    <cfRule type="containsText" priority="510" operator="containsText" dxfId="380" text="LONG ">
      <formula>NOT(ISERROR(SEARCH("LONG ",E92)))</formula>
    </cfRule>
  </conditionalFormatting>
  <conditionalFormatting sqref="E97">
    <cfRule type="expression" priority="489" dxfId="387">
      <formula>ISNUMBER(SEARCH("I-MUAP",$D$14))</formula>
    </cfRule>
    <cfRule type="cellIs" priority="490" operator="greaterThan" dxfId="204">
      <formula>2000</formula>
    </cfRule>
    <cfRule type="expression" priority="488" dxfId="386">
      <formula>AND((ISNUMBER(SEARCH("I-MUAP",$D$14))),E97&lt;2500)</formula>
    </cfRule>
  </conditionalFormatting>
  <conditionalFormatting sqref="E101:E103">
    <cfRule type="expression" priority="68" dxfId="381">
      <formula>$C101="SELECT WORKS"</formula>
    </cfRule>
  </conditionalFormatting>
  <conditionalFormatting sqref="E107:E108">
    <cfRule type="expression" priority="324" dxfId="384">
      <formula>D107="WW PODS"</formula>
    </cfRule>
    <cfRule type="expression" priority="325" dxfId="383">
      <formula>D107="FILTER TYPE"</formula>
    </cfRule>
    <cfRule type="expression" priority="326" dxfId="382">
      <formula>D107="KSA"</formula>
    </cfRule>
    <cfRule type="expression" priority="327" dxfId="381">
      <formula>(D99="CANOPY TYPE")</formula>
    </cfRule>
  </conditionalFormatting>
  <conditionalFormatting sqref="E109">
    <cfRule type="containsText" priority="481" operator="containsText" dxfId="380" text="LONG ">
      <formula>NOT(ISERROR(SEARCH("LONG ",E109)))</formula>
    </cfRule>
  </conditionalFormatting>
  <conditionalFormatting sqref="E114">
    <cfRule type="cellIs" priority="313" operator="greaterThan" dxfId="204">
      <formula>2000</formula>
    </cfRule>
    <cfRule type="expression" priority="312" dxfId="387">
      <formula>ISNUMBER(SEARCH("I-MUAP",$D$14))</formula>
    </cfRule>
    <cfRule type="expression" priority="311" dxfId="386">
      <formula>AND((ISNUMBER(SEARCH("I-MUAP",$D$14))),E114&lt;2500)</formula>
    </cfRule>
  </conditionalFormatting>
  <conditionalFormatting sqref="E118:E120">
    <cfRule type="expression" priority="54" dxfId="381">
      <formula>$C118="SELECT WORKS"</formula>
    </cfRule>
  </conditionalFormatting>
  <conditionalFormatting sqref="E124:E125">
    <cfRule type="expression" priority="273" dxfId="384">
      <formula>D124="WW PODS"</formula>
    </cfRule>
    <cfRule type="expression" priority="276" dxfId="381">
      <formula>(D116="CANOPY TYPE")</formula>
    </cfRule>
    <cfRule type="expression" priority="275" dxfId="382">
      <formula>D124="KSA"</formula>
    </cfRule>
    <cfRule type="expression" priority="274" dxfId="383">
      <formula>D124="FILTER TYPE"</formula>
    </cfRule>
  </conditionalFormatting>
  <conditionalFormatting sqref="E126">
    <cfRule type="containsText" priority="304" operator="containsText" dxfId="380" text="LONG ">
      <formula>NOT(ISERROR(SEARCH("LONG ",E126)))</formula>
    </cfRule>
  </conditionalFormatting>
  <conditionalFormatting sqref="E131">
    <cfRule type="expression" priority="257" dxfId="387">
      <formula>ISNUMBER(SEARCH("I-MUAP",$D$14))</formula>
    </cfRule>
    <cfRule type="cellIs" priority="258" operator="greaterThan" dxfId="204">
      <formula>2000</formula>
    </cfRule>
    <cfRule type="expression" priority="256" dxfId="386">
      <formula>AND((ISNUMBER(SEARCH("I-MUAP",$D$14))),E131&lt;2500)</formula>
    </cfRule>
  </conditionalFormatting>
  <conditionalFormatting sqref="E135:E137">
    <cfRule type="expression" priority="40" dxfId="381">
      <formula>$C135="SELECT WORKS"</formula>
    </cfRule>
  </conditionalFormatting>
  <conditionalFormatting sqref="E141:E142">
    <cfRule type="expression" priority="221" dxfId="381">
      <formula>(D133="CANOPY TYPE")</formula>
    </cfRule>
    <cfRule type="expression" priority="220" dxfId="382">
      <formula>D141="KSA"</formula>
    </cfRule>
    <cfRule type="expression" priority="218" dxfId="384">
      <formula>D141="WW PODS"</formula>
    </cfRule>
    <cfRule type="expression" priority="219" dxfId="383">
      <formula>D141="FILTER TYPE"</formula>
    </cfRule>
  </conditionalFormatting>
  <conditionalFormatting sqref="E143">
    <cfRule type="containsText" priority="249" operator="containsText" dxfId="380" text="LONG ">
      <formula>NOT(ISERROR(SEARCH("LONG ",E143)))</formula>
    </cfRule>
  </conditionalFormatting>
  <conditionalFormatting sqref="E148">
    <cfRule type="cellIs" priority="207" operator="greaterThan" dxfId="204">
      <formula>2000</formula>
    </cfRule>
    <cfRule type="expression" priority="206" dxfId="387">
      <formula>ISNUMBER(SEARCH("I-MUAP",$D$14))</formula>
    </cfRule>
    <cfRule type="expression" priority="205" dxfId="386">
      <formula>AND((ISNUMBER(SEARCH("I-MUAP",$D$14))),E148&lt;2500)</formula>
    </cfRule>
  </conditionalFormatting>
  <conditionalFormatting sqref="E152:E154">
    <cfRule type="expression" priority="26" dxfId="381">
      <formula>$C152="SELECT WORKS"</formula>
    </cfRule>
  </conditionalFormatting>
  <conditionalFormatting sqref="E158:E159">
    <cfRule type="expression" priority="169" dxfId="382">
      <formula>D158="KSA"</formula>
    </cfRule>
    <cfRule type="expression" priority="167" dxfId="384">
      <formula>D158="WW PODS"</formula>
    </cfRule>
    <cfRule type="expression" priority="168" dxfId="383">
      <formula>D158="FILTER TYPE"</formula>
    </cfRule>
    <cfRule type="expression" priority="170" dxfId="381">
      <formula>(D150="CANOPY TYPE")</formula>
    </cfRule>
  </conditionalFormatting>
  <conditionalFormatting sqref="E160">
    <cfRule type="containsText" priority="198" operator="containsText" dxfId="380" text="LONG ">
      <formula>NOT(ISERROR(SEARCH("LONG ",E160)))</formula>
    </cfRule>
  </conditionalFormatting>
  <conditionalFormatting sqref="E165">
    <cfRule type="cellIs" priority="156" operator="greaterThan" dxfId="204">
      <formula>2000</formula>
    </cfRule>
    <cfRule type="expression" priority="155" dxfId="387">
      <formula>ISNUMBER(SEARCH("I-MUAP",$D$14))</formula>
    </cfRule>
    <cfRule type="expression" priority="154" dxfId="386">
      <formula>AND((ISNUMBER(SEARCH("I-MUAP",$D$14))),E165&lt;2500)</formula>
    </cfRule>
  </conditionalFormatting>
  <conditionalFormatting sqref="E169:E171">
    <cfRule type="expression" priority="12" dxfId="381">
      <formula>$C169="SELECT WORKS"</formula>
    </cfRule>
  </conditionalFormatting>
  <conditionalFormatting sqref="E175:E176">
    <cfRule type="expression" priority="116" dxfId="384">
      <formula>D175="WW PODS"</formula>
    </cfRule>
    <cfRule type="expression" priority="117" dxfId="383">
      <formula>D175="FILTER TYPE"</formula>
    </cfRule>
    <cfRule type="expression" priority="118" dxfId="382">
      <formula>D175="KSA"</formula>
    </cfRule>
    <cfRule type="expression" priority="119" dxfId="381">
      <formula>(D167="CANOPY TYPE")</formula>
    </cfRule>
  </conditionalFormatting>
  <conditionalFormatting sqref="E177">
    <cfRule type="containsText" priority="147" operator="containsText" dxfId="380" text="LONG ">
      <formula>NOT(ISERROR(SEARCH("LONG ",E177)))</formula>
    </cfRule>
  </conditionalFormatting>
  <conditionalFormatting sqref="E12:F12">
    <cfRule type="cellIs" priority="678" operator="lessThan" dxfId="204">
      <formula>1000</formula>
    </cfRule>
  </conditionalFormatting>
  <conditionalFormatting sqref="E14:F14">
    <cfRule type="cellIs" priority="675" operator="lessThan" dxfId="164">
      <formula>1000</formula>
    </cfRule>
  </conditionalFormatting>
  <conditionalFormatting sqref="E25:F27">
    <cfRule type="expression" priority="614" dxfId="358">
      <formula>($D$14="CANOPY TYPE")</formula>
    </cfRule>
  </conditionalFormatting>
  <conditionalFormatting sqref="E29:F29">
    <cfRule type="cellIs" priority="601" operator="lessThan" dxfId="204">
      <formula>1000</formula>
    </cfRule>
  </conditionalFormatting>
  <conditionalFormatting sqref="E31:F31">
    <cfRule type="cellIs" priority="598" operator="lessThan" dxfId="164">
      <formula>1000</formula>
    </cfRule>
  </conditionalFormatting>
  <conditionalFormatting sqref="E32:F32">
    <cfRule type="expression" priority="461" dxfId="315">
      <formula>(C32="LIGHT SELECTION")</formula>
    </cfRule>
  </conditionalFormatting>
  <conditionalFormatting sqref="E42:F44">
    <cfRule type="expression" priority="582" dxfId="358">
      <formula>($D$14="CANOPY TYPE")</formula>
    </cfRule>
  </conditionalFormatting>
  <conditionalFormatting sqref="E46:F46">
    <cfRule type="cellIs" priority="569" operator="lessThan" dxfId="204">
      <formula>1000</formula>
    </cfRule>
  </conditionalFormatting>
  <conditionalFormatting sqref="E48:F48">
    <cfRule type="cellIs" priority="566" operator="lessThan" dxfId="164">
      <formula>1000</formula>
    </cfRule>
  </conditionalFormatting>
  <conditionalFormatting sqref="E59:F61">
    <cfRule type="expression" priority="555" dxfId="358">
      <formula>($D$14="CANOPY TYPE")</formula>
    </cfRule>
  </conditionalFormatting>
  <conditionalFormatting sqref="E63:F63">
    <cfRule type="cellIs" priority="542" operator="lessThan" dxfId="204">
      <formula>1000</formula>
    </cfRule>
  </conditionalFormatting>
  <conditionalFormatting sqref="E65:F65">
    <cfRule type="cellIs" priority="539" operator="lessThan" dxfId="164">
      <formula>1000</formula>
    </cfRule>
  </conditionalFormatting>
  <conditionalFormatting sqref="E66:F66">
    <cfRule type="expression" priority="454" dxfId="315">
      <formula>(C66="LIGHT SELECTION")</formula>
    </cfRule>
  </conditionalFormatting>
  <conditionalFormatting sqref="E76:F78">
    <cfRule type="expression" priority="527" dxfId="358">
      <formula>($D$14="CANOPY TYPE")</formula>
    </cfRule>
  </conditionalFormatting>
  <conditionalFormatting sqref="E80:F80">
    <cfRule type="cellIs" priority="514" operator="lessThan" dxfId="204">
      <formula>1000</formula>
    </cfRule>
  </conditionalFormatting>
  <conditionalFormatting sqref="E82:F82">
    <cfRule type="cellIs" priority="511" operator="lessThan" dxfId="164">
      <formula>1000</formula>
    </cfRule>
  </conditionalFormatting>
  <conditionalFormatting sqref="E83:F83">
    <cfRule type="expression" priority="450" dxfId="315">
      <formula>(C83="LIGHT SELECTION")</formula>
    </cfRule>
  </conditionalFormatting>
  <conditionalFormatting sqref="E93:F95">
    <cfRule type="expression" priority="498" dxfId="358">
      <formula>($D$14="CANOPY TYPE")</formula>
    </cfRule>
  </conditionalFormatting>
  <conditionalFormatting sqref="E97:F97">
    <cfRule type="cellIs" priority="485" operator="lessThan" dxfId="204">
      <formula>1000</formula>
    </cfRule>
  </conditionalFormatting>
  <conditionalFormatting sqref="E99:F99">
    <cfRule type="cellIs" priority="482" operator="lessThan" dxfId="164">
      <formula>1000</formula>
    </cfRule>
  </conditionalFormatting>
  <conditionalFormatting sqref="E100:F100">
    <cfRule type="expression" priority="446" dxfId="315">
      <formula>(C100="LIGHT SELECTION")</formula>
    </cfRule>
  </conditionalFormatting>
  <conditionalFormatting sqref="E110:F112 E127:F129 E144:F146 E161:F163 E178:F180">
    <cfRule type="expression" priority="470" dxfId="358">
      <formula>($D$14="CANOPY TYPE")</formula>
    </cfRule>
  </conditionalFormatting>
  <conditionalFormatting sqref="E114:F114">
    <cfRule type="cellIs" priority="308" operator="lessThan" dxfId="204">
      <formula>1000</formula>
    </cfRule>
  </conditionalFormatting>
  <conditionalFormatting sqref="E116:F116">
    <cfRule type="cellIs" priority="305" operator="lessThan" dxfId="164">
      <formula>1000</formula>
    </cfRule>
  </conditionalFormatting>
  <conditionalFormatting sqref="E117:F117">
    <cfRule type="expression" priority="291" dxfId="315">
      <formula>(C117="LIGHT SELECTION")</formula>
    </cfRule>
  </conditionalFormatting>
  <conditionalFormatting sqref="E131:F131">
    <cfRule type="cellIs" priority="253" operator="lessThan" dxfId="204">
      <formula>1000</formula>
    </cfRule>
  </conditionalFormatting>
  <conditionalFormatting sqref="E133:F133">
    <cfRule type="cellIs" priority="250" operator="lessThan" dxfId="164">
      <formula>1000</formula>
    </cfRule>
  </conditionalFormatting>
  <conditionalFormatting sqref="E134:F134">
    <cfRule type="expression" priority="236" dxfId="315">
      <formula>(C134="LIGHT SELECTION")</formula>
    </cfRule>
  </conditionalFormatting>
  <conditionalFormatting sqref="E148:F148">
    <cfRule type="cellIs" priority="202" operator="lessThan" dxfId="204">
      <formula>1000</formula>
    </cfRule>
  </conditionalFormatting>
  <conditionalFormatting sqref="E150:F150">
    <cfRule type="cellIs" priority="199" operator="lessThan" dxfId="164">
      <formula>1000</formula>
    </cfRule>
  </conditionalFormatting>
  <conditionalFormatting sqref="E151:F151">
    <cfRule type="expression" priority="185" dxfId="315">
      <formula>(C151="LIGHT SELECTION")</formula>
    </cfRule>
  </conditionalFormatting>
  <conditionalFormatting sqref="E165:F165">
    <cfRule type="cellIs" priority="151" operator="lessThan" dxfId="204">
      <formula>1000</formula>
    </cfRule>
  </conditionalFormatting>
  <conditionalFormatting sqref="E167:F167">
    <cfRule type="cellIs" priority="148" operator="lessThan" dxfId="164">
      <formula>1000</formula>
    </cfRule>
  </conditionalFormatting>
  <conditionalFormatting sqref="E168:F168">
    <cfRule type="expression" priority="134" dxfId="315">
      <formula>(C168="LIGHT SELECTION")</formula>
    </cfRule>
  </conditionalFormatting>
  <conditionalFormatting sqref="F12">
    <cfRule type="cellIs" priority="679" operator="greaterThan" dxfId="204">
      <formula>3001</formula>
    </cfRule>
  </conditionalFormatting>
  <conditionalFormatting sqref="F15">
    <cfRule type="expression" priority="668" dxfId="215">
      <formula>(C15="LIGHT SELECTION")</formula>
    </cfRule>
    <cfRule type="expression" priority="670" dxfId="216">
      <formula>(C15="FLO")</formula>
    </cfRule>
    <cfRule type="expression" priority="463" dxfId="214">
      <formula>(C15="LED STRIP")</formula>
    </cfRule>
    <cfRule type="expression" priority="701" dxfId="315">
      <formula>(D49="LIGHT SELECTION")</formula>
    </cfRule>
  </conditionalFormatting>
  <conditionalFormatting sqref="F22:F23">
    <cfRule type="expression" priority="700" dxfId="205">
      <formula>D22="KSA"</formula>
    </cfRule>
    <cfRule type="expression" priority="692" dxfId="206">
      <formula>D22="NF"</formula>
    </cfRule>
    <cfRule type="expression" priority="693" dxfId="208">
      <formula>D22="WW PODS"</formula>
    </cfRule>
    <cfRule type="expression" priority="694" dxfId="206">
      <formula>D22="GRILLE"</formula>
    </cfRule>
    <cfRule type="expression" priority="695" dxfId="206">
      <formula>D22="CENTREX"</formula>
    </cfRule>
    <cfRule type="expression" priority="696" dxfId="206" stopIfTrue="1">
      <formula>D14="canopy type"</formula>
    </cfRule>
    <cfRule type="expression" priority="697" dxfId="207">
      <formula>(((I14*3600)/(C22*I11))^2+20)&gt;300</formula>
    </cfRule>
    <cfRule type="expression" priority="698" dxfId="205" stopIfTrue="1">
      <formula>(ISNUMBER(SEARCH("UV",D14)))</formula>
    </cfRule>
    <cfRule type="expression" priority="699" dxfId="207">
      <formula>(((I14*3600)/(C22*I11))^2+20)&gt;180</formula>
    </cfRule>
  </conditionalFormatting>
  <conditionalFormatting sqref="F24">
    <cfRule type="cellIs" priority="673" operator="lessThan" dxfId="204">
      <formula>2100</formula>
    </cfRule>
  </conditionalFormatting>
  <conditionalFormatting sqref="F29">
    <cfRule type="cellIs" priority="602" operator="greaterThan" dxfId="204">
      <formula>3001</formula>
    </cfRule>
  </conditionalFormatting>
  <conditionalFormatting sqref="F32">
    <cfRule type="expression" priority="462" dxfId="216">
      <formula>(C32="FLO")</formula>
    </cfRule>
    <cfRule type="expression" priority="460" dxfId="215">
      <formula>(C32="LIGHT SELECTION")</formula>
    </cfRule>
    <cfRule type="expression" priority="459" dxfId="214">
      <formula>(C32="LED STRIP")</formula>
    </cfRule>
  </conditionalFormatting>
  <conditionalFormatting sqref="F39:F40">
    <cfRule type="expression" priority="406" dxfId="207">
      <formula>(((I31*3600)/(C39*I28))^2+20)&gt;180</formula>
    </cfRule>
    <cfRule type="expression" priority="407" dxfId="205">
      <formula>D39="KSA"</formula>
    </cfRule>
    <cfRule type="expression" priority="399" dxfId="206">
      <formula>D39="NF"</formula>
    </cfRule>
    <cfRule type="expression" priority="400" dxfId="208">
      <formula>D39="WW PODS"</formula>
    </cfRule>
    <cfRule type="expression" priority="401" dxfId="206">
      <formula>D39="GRILLE"</formula>
    </cfRule>
    <cfRule type="expression" priority="402" dxfId="206">
      <formula>D39="CENTREX"</formula>
    </cfRule>
    <cfRule type="expression" priority="403" dxfId="206" stopIfTrue="1">
      <formula>D31="canopy type"</formula>
    </cfRule>
    <cfRule type="expression" priority="404" dxfId="207">
      <formula>(((I31*3600)/(C39*I28))^2+20)&gt;300</formula>
    </cfRule>
    <cfRule type="expression" priority="405" dxfId="205" stopIfTrue="1">
      <formula>(ISNUMBER(SEARCH("UV",D31)))</formula>
    </cfRule>
  </conditionalFormatting>
  <conditionalFormatting sqref="F41">
    <cfRule type="cellIs" priority="596" operator="lessThan" dxfId="204">
      <formula>2100</formula>
    </cfRule>
  </conditionalFormatting>
  <conditionalFormatting sqref="F46">
    <cfRule type="cellIs" priority="570" operator="greaterThan" dxfId="204">
      <formula>3001</formula>
    </cfRule>
  </conditionalFormatting>
  <conditionalFormatting sqref="F49">
    <cfRule type="expression" priority="702" dxfId="315">
      <formula>(#REF!="LIGHT SELECTION")</formula>
    </cfRule>
    <cfRule type="expression" priority="458" dxfId="216">
      <formula>(C49="FLO")</formula>
    </cfRule>
    <cfRule type="expression" priority="457" dxfId="215">
      <formula>(C49="LIGHT SELECTION")</formula>
    </cfRule>
    <cfRule type="expression" priority="456" dxfId="214">
      <formula>(C49="LED STRIP")</formula>
    </cfRule>
  </conditionalFormatting>
  <conditionalFormatting sqref="F56:F57">
    <cfRule type="expression" priority="379" dxfId="205" stopIfTrue="1">
      <formula>(ISNUMBER(SEARCH("UV",D48)))</formula>
    </cfRule>
    <cfRule type="expression" priority="380" dxfId="207">
      <formula>(((I48*3600)/(C56*I45))^2+20)&gt;180</formula>
    </cfRule>
    <cfRule type="expression" priority="378" dxfId="207">
      <formula>(((I48*3600)/(C56*I45))^2+20)&gt;300</formula>
    </cfRule>
    <cfRule type="expression" priority="377" dxfId="206" stopIfTrue="1">
      <formula>D48="canopy type"</formula>
    </cfRule>
    <cfRule type="expression" priority="376" dxfId="206">
      <formula>D56="CENTREX"</formula>
    </cfRule>
    <cfRule type="expression" priority="375" dxfId="206">
      <formula>D56="GRILLE"</formula>
    </cfRule>
    <cfRule type="expression" priority="374" dxfId="208">
      <formula>D56="WW PODS"</formula>
    </cfRule>
    <cfRule type="expression" priority="373" dxfId="206">
      <formula>D56="NF"</formula>
    </cfRule>
    <cfRule type="expression" priority="381" dxfId="205">
      <formula>D56="KSA"</formula>
    </cfRule>
  </conditionalFormatting>
  <conditionalFormatting sqref="F58">
    <cfRule type="cellIs" priority="564" operator="lessThan" dxfId="204">
      <formula>2100</formula>
    </cfRule>
  </conditionalFormatting>
  <conditionalFormatting sqref="F63">
    <cfRule type="cellIs" priority="543" operator="greaterThan" dxfId="204">
      <formula>3001</formula>
    </cfRule>
  </conditionalFormatting>
  <conditionalFormatting sqref="F66">
    <cfRule type="expression" priority="452" dxfId="214">
      <formula>(C66="LED STRIP")</formula>
    </cfRule>
    <cfRule type="expression" priority="453" dxfId="215">
      <formula>(C66="LIGHT SELECTION")</formula>
    </cfRule>
    <cfRule type="expression" priority="455" dxfId="216">
      <formula>(C66="FLO")</formula>
    </cfRule>
  </conditionalFormatting>
  <conditionalFormatting sqref="F73:F74">
    <cfRule type="expression" priority="358" dxfId="206">
      <formula>D73="NF"</formula>
    </cfRule>
    <cfRule type="expression" priority="359" dxfId="208">
      <formula>D73="WW PODS"</formula>
    </cfRule>
    <cfRule type="expression" priority="360" dxfId="206">
      <formula>D73="GRILLE"</formula>
    </cfRule>
    <cfRule type="expression" priority="361" dxfId="206">
      <formula>D73="CENTREX"</formula>
    </cfRule>
    <cfRule type="expression" priority="362" dxfId="206" stopIfTrue="1">
      <formula>D65="canopy type"</formula>
    </cfRule>
    <cfRule type="expression" priority="363" dxfId="207">
      <formula>(((I65*3600)/(C73*I62))^2+20)&gt;300</formula>
    </cfRule>
    <cfRule type="expression" priority="364" dxfId="205" stopIfTrue="1">
      <formula>(ISNUMBER(SEARCH("UV",D65)))</formula>
    </cfRule>
    <cfRule type="expression" priority="365" dxfId="207">
      <formula>(((I65*3600)/(C73*I62))^2+20)&gt;180</formula>
    </cfRule>
    <cfRule type="expression" priority="366" dxfId="205">
      <formula>D73="KSA"</formula>
    </cfRule>
  </conditionalFormatting>
  <conditionalFormatting sqref="F75">
    <cfRule type="cellIs" priority="537" operator="lessThan" dxfId="204">
      <formula>2100</formula>
    </cfRule>
  </conditionalFormatting>
  <conditionalFormatting sqref="F80">
    <cfRule type="cellIs" priority="515" operator="greaterThan" dxfId="204">
      <formula>3001</formula>
    </cfRule>
  </conditionalFormatting>
  <conditionalFormatting sqref="F83">
    <cfRule type="expression" priority="448" dxfId="214">
      <formula>(C83="LED STRIP")</formula>
    </cfRule>
    <cfRule type="expression" priority="451" dxfId="216">
      <formula>(C83="FLO")</formula>
    </cfRule>
    <cfRule type="expression" priority="449" dxfId="215">
      <formula>(C83="LIGHT SELECTION")</formula>
    </cfRule>
  </conditionalFormatting>
  <conditionalFormatting sqref="F90:F91">
    <cfRule type="expression" priority="343" dxfId="206">
      <formula>D90="NF"</formula>
    </cfRule>
    <cfRule type="expression" priority="344" dxfId="208">
      <formula>D90="WW PODS"</formula>
    </cfRule>
    <cfRule type="expression" priority="345" dxfId="206">
      <formula>D90="GRILLE"</formula>
    </cfRule>
    <cfRule type="expression" priority="346" dxfId="206">
      <formula>D90="CENTREX"</formula>
    </cfRule>
    <cfRule type="expression" priority="347" dxfId="206" stopIfTrue="1">
      <formula>D82="canopy type"</formula>
    </cfRule>
    <cfRule type="expression" priority="348" dxfId="207">
      <formula>(((I82*3600)/(C90*I79))^2+20)&gt;300</formula>
    </cfRule>
    <cfRule type="expression" priority="349" dxfId="205" stopIfTrue="1">
      <formula>(ISNUMBER(SEARCH("UV",D82)))</formula>
    </cfRule>
    <cfRule type="expression" priority="351" dxfId="205">
      <formula>D90="KSA"</formula>
    </cfRule>
    <cfRule type="expression" priority="350" dxfId="207">
      <formula>(((I82*3600)/(C90*I79))^2+20)&gt;180</formula>
    </cfRule>
  </conditionalFormatting>
  <conditionalFormatting sqref="F92">
    <cfRule type="cellIs" priority="509" operator="lessThan" dxfId="204">
      <formula>2100</formula>
    </cfRule>
  </conditionalFormatting>
  <conditionalFormatting sqref="F97">
    <cfRule type="cellIs" priority="486" operator="greaterThan" dxfId="204">
      <formula>3001</formula>
    </cfRule>
  </conditionalFormatting>
  <conditionalFormatting sqref="F100">
    <cfRule type="expression" priority="447" dxfId="216">
      <formula>(C100="FLO")</formula>
    </cfRule>
    <cfRule type="expression" priority="444" dxfId="214">
      <formula>(C100="LED STRIP")</formula>
    </cfRule>
    <cfRule type="expression" priority="445" dxfId="215">
      <formula>(C100="LIGHT SELECTION")</formula>
    </cfRule>
  </conditionalFormatting>
  <conditionalFormatting sqref="F107:F108">
    <cfRule type="expression" priority="329" dxfId="208">
      <formula>D107="WW PODS"</formula>
    </cfRule>
    <cfRule type="expression" priority="330" dxfId="206">
      <formula>D107="GRILLE"</formula>
    </cfRule>
    <cfRule type="expression" priority="334" dxfId="205" stopIfTrue="1">
      <formula>(ISNUMBER(SEARCH("UV",D99)))</formula>
    </cfRule>
    <cfRule type="expression" priority="333" dxfId="207">
      <formula>(((I99*3600)/(C107*I96))^2+20)&gt;300</formula>
    </cfRule>
    <cfRule type="expression" priority="335" dxfId="207">
      <formula>(((I99*3600)/(C107*I96))^2+20)&gt;180</formula>
    </cfRule>
    <cfRule type="expression" priority="332" dxfId="206" stopIfTrue="1">
      <formula>D99="canopy type"</formula>
    </cfRule>
    <cfRule type="expression" priority="331" dxfId="206">
      <formula>D107="CENTREX"</formula>
    </cfRule>
    <cfRule type="expression" priority="336" dxfId="205">
      <formula>D107="KSA"</formula>
    </cfRule>
    <cfRule type="expression" priority="328" dxfId="206">
      <formula>D107="NF"</formula>
    </cfRule>
  </conditionalFormatting>
  <conditionalFormatting sqref="F109">
    <cfRule type="cellIs" priority="480" operator="lessThan" dxfId="204">
      <formula>2100</formula>
    </cfRule>
  </conditionalFormatting>
  <conditionalFormatting sqref="F114">
    <cfRule type="cellIs" priority="309" operator="greaterThan" dxfId="204">
      <formula>3001</formula>
    </cfRule>
  </conditionalFormatting>
  <conditionalFormatting sqref="F117">
    <cfRule type="expression" priority="292" dxfId="216">
      <formula>(C117="FLO")</formula>
    </cfRule>
    <cfRule type="expression" priority="290" dxfId="215">
      <formula>(C117="LIGHT SELECTION")</formula>
    </cfRule>
    <cfRule type="expression" priority="289" dxfId="214">
      <formula>(C117="LED STRIP")</formula>
    </cfRule>
  </conditionalFormatting>
  <conditionalFormatting sqref="F124:F125">
    <cfRule type="expression" priority="279" dxfId="206">
      <formula>D124="GRILLE"</formula>
    </cfRule>
    <cfRule type="expression" priority="278" dxfId="208">
      <formula>D124="WW PODS"</formula>
    </cfRule>
    <cfRule type="expression" priority="277" dxfId="206">
      <formula>D124="NF"</formula>
    </cfRule>
    <cfRule type="expression" priority="281" dxfId="206" stopIfTrue="1">
      <formula>D116="canopy type"</formula>
    </cfRule>
    <cfRule type="expression" priority="282" dxfId="207">
      <formula>(((I116*3600)/(C124*I113))^2+20)&gt;300</formula>
    </cfRule>
    <cfRule type="expression" priority="283" dxfId="205" stopIfTrue="1">
      <formula>(ISNUMBER(SEARCH("UV",D116)))</formula>
    </cfRule>
    <cfRule type="expression" priority="284" dxfId="207">
      <formula>(((I116*3600)/(C124*I113))^2+20)&gt;180</formula>
    </cfRule>
    <cfRule type="expression" priority="285" dxfId="205">
      <formula>D124="KSA"</formula>
    </cfRule>
    <cfRule type="expression" priority="280" dxfId="206">
      <formula>D124="CENTREX"</formula>
    </cfRule>
  </conditionalFormatting>
  <conditionalFormatting sqref="F126">
    <cfRule type="cellIs" priority="303" operator="lessThan" dxfId="204">
      <formula>2100</formula>
    </cfRule>
  </conditionalFormatting>
  <conditionalFormatting sqref="F131">
    <cfRule type="cellIs" priority="254" operator="greaterThan" dxfId="204">
      <formula>3001</formula>
    </cfRule>
  </conditionalFormatting>
  <conditionalFormatting sqref="F134">
    <cfRule type="expression" priority="234" dxfId="214">
      <formula>(C134="LED STRIP")</formula>
    </cfRule>
    <cfRule type="expression" priority="237" dxfId="216">
      <formula>(C134="FLO")</formula>
    </cfRule>
    <cfRule type="expression" priority="235" dxfId="215">
      <formula>(C134="LIGHT SELECTION")</formula>
    </cfRule>
  </conditionalFormatting>
  <conditionalFormatting sqref="F141:F142">
    <cfRule type="expression" priority="223" dxfId="208">
      <formula>D141="WW PODS"</formula>
    </cfRule>
    <cfRule type="expression" priority="224" dxfId="206">
      <formula>D141="GRILLE"</formula>
    </cfRule>
    <cfRule type="expression" priority="225" dxfId="206">
      <formula>D141="CENTREX"</formula>
    </cfRule>
    <cfRule type="expression" priority="222" dxfId="206">
      <formula>D141="NF"</formula>
    </cfRule>
    <cfRule type="expression" priority="226" dxfId="206" stopIfTrue="1">
      <formula>D133="canopy type"</formula>
    </cfRule>
    <cfRule type="expression" priority="227" dxfId="207">
      <formula>(((I133*3600)/(C141*I130))^2+20)&gt;300</formula>
    </cfRule>
    <cfRule type="expression" priority="228" dxfId="205" stopIfTrue="1">
      <formula>(ISNUMBER(SEARCH("UV",D133)))</formula>
    </cfRule>
    <cfRule type="expression" priority="229" dxfId="207">
      <formula>(((I133*3600)/(C141*I130))^2+20)&gt;180</formula>
    </cfRule>
    <cfRule type="expression" priority="230" dxfId="205">
      <formula>D141="KSA"</formula>
    </cfRule>
  </conditionalFormatting>
  <conditionalFormatting sqref="F143">
    <cfRule type="cellIs" priority="248" operator="lessThan" dxfId="204">
      <formula>2100</formula>
    </cfRule>
  </conditionalFormatting>
  <conditionalFormatting sqref="F148">
    <cfRule type="cellIs" priority="203" operator="greaterThan" dxfId="204">
      <formula>3001</formula>
    </cfRule>
  </conditionalFormatting>
  <conditionalFormatting sqref="F151">
    <cfRule type="expression" priority="183" dxfId="214">
      <formula>(C151="LED STRIP")</formula>
    </cfRule>
    <cfRule type="expression" priority="184" dxfId="215">
      <formula>(C151="LIGHT SELECTION")</formula>
    </cfRule>
    <cfRule type="expression" priority="186" dxfId="216">
      <formula>(C151="FLO")</formula>
    </cfRule>
  </conditionalFormatting>
  <conditionalFormatting sqref="F158:F159">
    <cfRule type="expression" priority="178" dxfId="207">
      <formula>(((I150*3600)/(C158*I147))^2+20)&gt;180</formula>
    </cfRule>
    <cfRule type="expression" priority="171" dxfId="206">
      <formula>D158="NF"</formula>
    </cfRule>
    <cfRule type="expression" priority="172" dxfId="208">
      <formula>D158="WW PODS"</formula>
    </cfRule>
    <cfRule type="expression" priority="173" dxfId="206">
      <formula>D158="GRILLE"</formula>
    </cfRule>
    <cfRule type="expression" priority="174" dxfId="206">
      <formula>D158="CENTREX"</formula>
    </cfRule>
    <cfRule type="expression" priority="175" dxfId="206" stopIfTrue="1">
      <formula>D150="canopy type"</formula>
    </cfRule>
    <cfRule type="expression" priority="176" dxfId="207">
      <formula>(((I150*3600)/(C158*I147))^2+20)&gt;300</formula>
    </cfRule>
    <cfRule type="expression" priority="179" dxfId="205">
      <formula>D158="KSA"</formula>
    </cfRule>
    <cfRule type="expression" priority="177" dxfId="205" stopIfTrue="1">
      <formula>(ISNUMBER(SEARCH("UV",D150)))</formula>
    </cfRule>
  </conditionalFormatting>
  <conditionalFormatting sqref="F160">
    <cfRule type="cellIs" priority="197" operator="lessThan" dxfId="204">
      <formula>2100</formula>
    </cfRule>
  </conditionalFormatting>
  <conditionalFormatting sqref="F165">
    <cfRule type="cellIs" priority="152" operator="greaterThan" dxfId="204">
      <formula>3001</formula>
    </cfRule>
  </conditionalFormatting>
  <conditionalFormatting sqref="F168">
    <cfRule type="expression" priority="135" dxfId="216">
      <formula>(C168="FLO")</formula>
    </cfRule>
    <cfRule type="expression" priority="133" dxfId="215">
      <formula>(C168="LIGHT SELECTION")</formula>
    </cfRule>
    <cfRule type="expression" priority="132" dxfId="214">
      <formula>(C168="LED STRIP")</formula>
    </cfRule>
  </conditionalFormatting>
  <conditionalFormatting sqref="F175:F176">
    <cfRule type="expression" priority="126" dxfId="205" stopIfTrue="1">
      <formula>(ISNUMBER(SEARCH("UV",D167)))</formula>
    </cfRule>
    <cfRule type="expression" priority="125" dxfId="207">
      <formula>(((I167*3600)/(C175*I164))^2+20)&gt;300</formula>
    </cfRule>
    <cfRule type="expression" priority="124" dxfId="206" stopIfTrue="1">
      <formula>D167="canopy type"</formula>
    </cfRule>
    <cfRule type="expression" priority="123" dxfId="206">
      <formula>D175="CENTREX"</formula>
    </cfRule>
    <cfRule type="expression" priority="122" dxfId="206">
      <formula>D175="GRILLE"</formula>
    </cfRule>
    <cfRule type="expression" priority="121" dxfId="208">
      <formula>D175="WW PODS"</formula>
    </cfRule>
    <cfRule type="expression" priority="127" dxfId="207">
      <formula>(((I167*3600)/(C175*I164))^2+20)&gt;180</formula>
    </cfRule>
    <cfRule type="expression" priority="120" dxfId="206">
      <formula>D175="NF"</formula>
    </cfRule>
    <cfRule type="expression" priority="128" dxfId="205">
      <formula>D175="KSA"</formula>
    </cfRule>
  </conditionalFormatting>
  <conditionalFormatting sqref="F177">
    <cfRule type="cellIs" priority="146" operator="lessThan" dxfId="204">
      <formula>2100</formula>
    </cfRule>
  </conditionalFormatting>
  <conditionalFormatting sqref="G11">
    <cfRule type="expression" priority="681" dxfId="176">
      <formula>((F14-50)/H14)&lt;950</formula>
    </cfRule>
  </conditionalFormatting>
  <conditionalFormatting sqref="G12">
    <cfRule type="expression" priority="680" dxfId="175">
      <formula>((F14-50)/H14)&lt;950</formula>
    </cfRule>
  </conditionalFormatting>
  <conditionalFormatting sqref="G14">
    <cfRule type="cellIs" priority="676" operator="lessThan" dxfId="164">
      <formula>400</formula>
    </cfRule>
  </conditionalFormatting>
  <conditionalFormatting sqref="G28">
    <cfRule type="expression" priority="625" dxfId="176">
      <formula>((F31-50)/H31)&lt;950</formula>
    </cfRule>
  </conditionalFormatting>
  <conditionalFormatting sqref="G29">
    <cfRule type="expression" priority="603" dxfId="175">
      <formula>((F31-50)/H31)&lt;950</formula>
    </cfRule>
  </conditionalFormatting>
  <conditionalFormatting sqref="G31">
    <cfRule type="cellIs" priority="599" operator="lessThan" dxfId="164">
      <formula>400</formula>
    </cfRule>
  </conditionalFormatting>
  <conditionalFormatting sqref="G45">
    <cfRule type="expression" priority="641" dxfId="176">
      <formula>((F48-50)/H48)&lt;950</formula>
    </cfRule>
  </conditionalFormatting>
  <conditionalFormatting sqref="G46">
    <cfRule type="expression" priority="571" dxfId="175">
      <formula>((F48-50)/H48)&lt;950</formula>
    </cfRule>
  </conditionalFormatting>
  <conditionalFormatting sqref="G48">
    <cfRule type="cellIs" priority="567" operator="lessThan" dxfId="164">
      <formula>400</formula>
    </cfRule>
  </conditionalFormatting>
  <conditionalFormatting sqref="G62">
    <cfRule type="expression" priority="642" dxfId="176">
      <formula>((F65-50)/H65)&lt;950</formula>
    </cfRule>
  </conditionalFormatting>
  <conditionalFormatting sqref="G63">
    <cfRule type="expression" priority="544" dxfId="175">
      <formula>((F65-50)/H65)&lt;950</formula>
    </cfRule>
  </conditionalFormatting>
  <conditionalFormatting sqref="G65">
    <cfRule type="cellIs" priority="540" operator="lessThan" dxfId="164">
      <formula>400</formula>
    </cfRule>
  </conditionalFormatting>
  <conditionalFormatting sqref="G79">
    <cfRule type="expression" priority="643" dxfId="176">
      <formula>((F82-50)/H82)&lt;950</formula>
    </cfRule>
  </conditionalFormatting>
  <conditionalFormatting sqref="G80">
    <cfRule type="expression" priority="516" dxfId="175">
      <formula>((F82-50)/H82)&lt;950</formula>
    </cfRule>
  </conditionalFormatting>
  <conditionalFormatting sqref="G82">
    <cfRule type="cellIs" priority="512" operator="lessThan" dxfId="164">
      <formula>400</formula>
    </cfRule>
  </conditionalFormatting>
  <conditionalFormatting sqref="G96">
    <cfRule type="expression" priority="653" dxfId="176">
      <formula>((F99-50)/H99)&lt;950</formula>
    </cfRule>
  </conditionalFormatting>
  <conditionalFormatting sqref="G97">
    <cfRule type="expression" priority="487" dxfId="175">
      <formula>((F99-50)/H99)&lt;950</formula>
    </cfRule>
  </conditionalFormatting>
  <conditionalFormatting sqref="G99">
    <cfRule type="cellIs" priority="483" operator="lessThan" dxfId="164">
      <formula>400</formula>
    </cfRule>
  </conditionalFormatting>
  <conditionalFormatting sqref="G113">
    <cfRule type="expression" priority="321" dxfId="176">
      <formula>((F116-50)/H116)&lt;950</formula>
    </cfRule>
  </conditionalFormatting>
  <conditionalFormatting sqref="G114">
    <cfRule type="expression" priority="310" dxfId="175">
      <formula>((F116-50)/H116)&lt;950</formula>
    </cfRule>
  </conditionalFormatting>
  <conditionalFormatting sqref="G116">
    <cfRule type="cellIs" priority="306" operator="lessThan" dxfId="164">
      <formula>400</formula>
    </cfRule>
  </conditionalFormatting>
  <conditionalFormatting sqref="G130">
    <cfRule type="expression" priority="266" dxfId="176">
      <formula>((F133-50)/H133)&lt;950</formula>
    </cfRule>
  </conditionalFormatting>
  <conditionalFormatting sqref="G131">
    <cfRule type="expression" priority="255" dxfId="175">
      <formula>((F133-50)/H133)&lt;950</formula>
    </cfRule>
  </conditionalFormatting>
  <conditionalFormatting sqref="G133">
    <cfRule type="cellIs" priority="251" operator="lessThan" dxfId="164">
      <formula>400</formula>
    </cfRule>
  </conditionalFormatting>
  <conditionalFormatting sqref="G147">
    <cfRule type="expression" priority="215" dxfId="176">
      <formula>((F150-50)/H150)&lt;950</formula>
    </cfRule>
  </conditionalFormatting>
  <conditionalFormatting sqref="G148">
    <cfRule type="expression" priority="204" dxfId="175">
      <formula>((F150-50)/H150)&lt;950</formula>
    </cfRule>
  </conditionalFormatting>
  <conditionalFormatting sqref="G150">
    <cfRule type="cellIs" priority="200" operator="lessThan" dxfId="164">
      <formula>400</formula>
    </cfRule>
  </conditionalFormatting>
  <conditionalFormatting sqref="G164">
    <cfRule type="expression" priority="164" dxfId="176">
      <formula>((F167-50)/H167)&lt;950</formula>
    </cfRule>
  </conditionalFormatting>
  <conditionalFormatting sqref="G165">
    <cfRule type="expression" priority="153" dxfId="175">
      <formula>((F167-50)/H167)&lt;950</formula>
    </cfRule>
  </conditionalFormatting>
  <conditionalFormatting sqref="G167">
    <cfRule type="cellIs" priority="149" operator="lessThan" dxfId="164">
      <formula>400</formula>
    </cfRule>
  </conditionalFormatting>
  <conditionalFormatting sqref="I14">
    <cfRule type="cellIs" priority="677" operator="lessThan" dxfId="164">
      <formula>0.1</formula>
    </cfRule>
  </conditionalFormatting>
  <conditionalFormatting sqref="I31">
    <cfRule type="cellIs" priority="600" operator="lessThan" dxfId="164">
      <formula>0.1</formula>
    </cfRule>
  </conditionalFormatting>
  <conditionalFormatting sqref="I48">
    <cfRule type="cellIs" priority="568" operator="lessThan" dxfId="164">
      <formula>0.1</formula>
    </cfRule>
  </conditionalFormatting>
  <conditionalFormatting sqref="I65">
    <cfRule type="cellIs" priority="541" operator="lessThan" dxfId="164">
      <formula>0.1</formula>
    </cfRule>
  </conditionalFormatting>
  <conditionalFormatting sqref="I82">
    <cfRule type="cellIs" priority="513" operator="lessThan" dxfId="164">
      <formula>0.1</formula>
    </cfRule>
  </conditionalFormatting>
  <conditionalFormatting sqref="I99">
    <cfRule type="cellIs" priority="484" operator="lessThan" dxfId="164">
      <formula>0.1</formula>
    </cfRule>
  </conditionalFormatting>
  <conditionalFormatting sqref="I116">
    <cfRule type="cellIs" priority="307" operator="lessThan" dxfId="164">
      <formula>0.1</formula>
    </cfRule>
  </conditionalFormatting>
  <conditionalFormatting sqref="I133">
    <cfRule type="cellIs" priority="252" operator="lessThan" dxfId="164">
      <formula>0.1</formula>
    </cfRule>
  </conditionalFormatting>
  <conditionalFormatting sqref="I150">
    <cfRule type="cellIs" priority="201" operator="lessThan" dxfId="164">
      <formula>0.1</formula>
    </cfRule>
  </conditionalFormatting>
  <conditionalFormatting sqref="I167">
    <cfRule type="cellIs" priority="150" operator="lessThan" dxfId="164">
      <formula>0.1</formula>
    </cfRule>
  </conditionalFormatting>
  <conditionalFormatting sqref="J14:J27">
    <cfRule type="cellIs" priority="410" operator="greaterThan" dxfId="153">
      <formula>0</formula>
    </cfRule>
  </conditionalFormatting>
  <conditionalFormatting sqref="J31:J44">
    <cfRule type="cellIs" priority="383" operator="greaterThan" dxfId="153">
      <formula>0</formula>
    </cfRule>
  </conditionalFormatting>
  <conditionalFormatting sqref="J48:J61">
    <cfRule type="cellIs" priority="99" operator="greaterThan" dxfId="153">
      <formula>0</formula>
    </cfRule>
  </conditionalFormatting>
  <conditionalFormatting sqref="J65:J78">
    <cfRule type="cellIs" priority="85" operator="greaterThan" dxfId="153">
      <formula>0</formula>
    </cfRule>
  </conditionalFormatting>
  <conditionalFormatting sqref="J82:J95">
    <cfRule type="cellIs" priority="71" operator="greaterThan" dxfId="153">
      <formula>0</formula>
    </cfRule>
  </conditionalFormatting>
  <conditionalFormatting sqref="J99:J112">
    <cfRule type="cellIs" priority="57" operator="greaterThan" dxfId="153">
      <formula>0</formula>
    </cfRule>
  </conditionalFormatting>
  <conditionalFormatting sqref="J116:J129">
    <cfRule type="cellIs" priority="43" operator="greaterThan" dxfId="153">
      <formula>0</formula>
    </cfRule>
  </conditionalFormatting>
  <conditionalFormatting sqref="J133:J146">
    <cfRule type="cellIs" priority="29" operator="greaterThan" dxfId="153">
      <formula>0</formula>
    </cfRule>
  </conditionalFormatting>
  <conditionalFormatting sqref="J150:J163">
    <cfRule type="cellIs" priority="15" operator="greaterThan" dxfId="153">
      <formula>0</formula>
    </cfRule>
  </conditionalFormatting>
  <conditionalFormatting sqref="J167:J180">
    <cfRule type="cellIs" priority="1" operator="greaterThan" dxfId="153">
      <formula>0</formula>
    </cfRule>
  </conditionalFormatting>
  <conditionalFormatting sqref="J183:J197">
    <cfRule type="expression" priority="267" dxfId="153">
      <formula>C183&gt;0</formula>
    </cfRule>
  </conditionalFormatting>
  <conditionalFormatting sqref="J199">
    <cfRule type="expression" priority="658" dxfId="2">
      <formula>#REF!="EURO"</formula>
    </cfRule>
  </conditionalFormatting>
  <conditionalFormatting sqref="K14:K27">
    <cfRule type="cellIs" priority="424" operator="greaterThan" dxfId="141">
      <formula>0</formula>
    </cfRule>
  </conditionalFormatting>
  <conditionalFormatting sqref="K31:K44">
    <cfRule type="cellIs" priority="386" operator="greaterThan" dxfId="141">
      <formula>0</formula>
    </cfRule>
  </conditionalFormatting>
  <conditionalFormatting sqref="K48:K61">
    <cfRule type="cellIs" priority="102" operator="greaterThan" dxfId="141">
      <formula>0</formula>
    </cfRule>
  </conditionalFormatting>
  <conditionalFormatting sqref="K65:K78">
    <cfRule type="cellIs" priority="88" operator="greaterThan" dxfId="141">
      <formula>0</formula>
    </cfRule>
  </conditionalFormatting>
  <conditionalFormatting sqref="K82:K95">
    <cfRule type="cellIs" priority="74" operator="greaterThan" dxfId="141">
      <formula>0</formula>
    </cfRule>
  </conditionalFormatting>
  <conditionalFormatting sqref="K99:K112">
    <cfRule type="cellIs" priority="60" operator="greaterThan" dxfId="141">
      <formula>0</formula>
    </cfRule>
  </conditionalFormatting>
  <conditionalFormatting sqref="K116:K129">
    <cfRule type="cellIs" priority="46" operator="greaterThan" dxfId="141">
      <formula>0</formula>
    </cfRule>
  </conditionalFormatting>
  <conditionalFormatting sqref="K133:K146">
    <cfRule type="cellIs" priority="32" operator="greaterThan" dxfId="141">
      <formula>0</formula>
    </cfRule>
  </conditionalFormatting>
  <conditionalFormatting sqref="K150:K163">
    <cfRule type="cellIs" priority="18" operator="greaterThan" dxfId="141">
      <formula>0</formula>
    </cfRule>
  </conditionalFormatting>
  <conditionalFormatting sqref="K167:K180">
    <cfRule type="cellIs" priority="4" operator="greaterThan" dxfId="141">
      <formula>0</formula>
    </cfRule>
  </conditionalFormatting>
  <conditionalFormatting sqref="K183:K197">
    <cfRule type="cellIs" priority="268" operator="greaterThan" dxfId="141">
      <formula>0</formula>
    </cfRule>
  </conditionalFormatting>
  <conditionalFormatting sqref="K199">
    <cfRule type="expression" priority="657" dxfId="2">
      <formula>$B$9="EURO"</formula>
    </cfRule>
    <cfRule type="expression" priority="656" dxfId="3">
      <formula>$B$9="USD"</formula>
    </cfRule>
    <cfRule type="expression" priority="655" dxfId="0">
      <formula>$B$9="CZK"</formula>
    </cfRule>
    <cfRule type="expression" priority="654" dxfId="4">
      <formula>$B$9="PLN"</formula>
    </cfRule>
  </conditionalFormatting>
  <conditionalFormatting sqref="L14:L27">
    <cfRule type="expression" priority="421" dxfId="116">
      <formula>$C$9&lt;0</formula>
    </cfRule>
    <cfRule type="expression" priority="422" dxfId="115">
      <formula>$C$9&gt;0</formula>
    </cfRule>
  </conditionalFormatting>
  <conditionalFormatting sqref="L31:L44">
    <cfRule type="expression" priority="385" dxfId="115">
      <formula>$C$9&gt;0</formula>
    </cfRule>
    <cfRule type="expression" priority="384" dxfId="116">
      <formula>$C$9&lt;0</formula>
    </cfRule>
  </conditionalFormatting>
  <conditionalFormatting sqref="L48:L61">
    <cfRule type="expression" priority="100" dxfId="116">
      <formula>$C$9&lt;0</formula>
    </cfRule>
    <cfRule type="expression" priority="101" dxfId="115">
      <formula>$C$9&gt;0</formula>
    </cfRule>
  </conditionalFormatting>
  <conditionalFormatting sqref="L65:L78">
    <cfRule type="expression" priority="86" dxfId="116">
      <formula>$C$9&lt;0</formula>
    </cfRule>
    <cfRule type="expression" priority="87" dxfId="115">
      <formula>$C$9&gt;0</formula>
    </cfRule>
  </conditionalFormatting>
  <conditionalFormatting sqref="L82:L95">
    <cfRule type="expression" priority="72" dxfId="116">
      <formula>$C$9&lt;0</formula>
    </cfRule>
    <cfRule type="expression" priority="73" dxfId="115">
      <formula>$C$9&gt;0</formula>
    </cfRule>
  </conditionalFormatting>
  <conditionalFormatting sqref="L99:L112">
    <cfRule type="expression" priority="58" dxfId="116">
      <formula>$C$9&lt;0</formula>
    </cfRule>
    <cfRule type="expression" priority="59" dxfId="115">
      <formula>$C$9&gt;0</formula>
    </cfRule>
  </conditionalFormatting>
  <conditionalFormatting sqref="L116:L129">
    <cfRule type="expression" priority="44" dxfId="116">
      <formula>$C$9&lt;0</formula>
    </cfRule>
    <cfRule type="expression" priority="45" dxfId="115">
      <formula>$C$9&gt;0</formula>
    </cfRule>
  </conditionalFormatting>
  <conditionalFormatting sqref="L133:L146">
    <cfRule type="expression" priority="31" dxfId="115">
      <formula>$C$9&gt;0</formula>
    </cfRule>
    <cfRule type="expression" priority="30" dxfId="116">
      <formula>$C$9&lt;0</formula>
    </cfRule>
  </conditionalFormatting>
  <conditionalFormatting sqref="L150:L163">
    <cfRule type="expression" priority="17" dxfId="115">
      <formula>$C$9&gt;0</formula>
    </cfRule>
    <cfRule type="expression" priority="16" dxfId="116">
      <formula>$C$9&lt;0</formula>
    </cfRule>
  </conditionalFormatting>
  <conditionalFormatting sqref="L167:L180">
    <cfRule type="expression" priority="3" dxfId="115">
      <formula>$C$9&gt;0</formula>
    </cfRule>
    <cfRule type="expression" priority="2" dxfId="116">
      <formula>$C$9&lt;0</formula>
    </cfRule>
  </conditionalFormatting>
  <conditionalFormatting sqref="L183:L197">
    <cfRule type="expression" priority="644" dxfId="116">
      <formula>$C$9&lt;0</formula>
    </cfRule>
    <cfRule type="expression" priority="645" dxfId="115">
      <formula>$C$9&gt;0</formula>
    </cfRule>
  </conditionalFormatting>
  <conditionalFormatting sqref="N9 N12">
    <cfRule type="expression" priority="688" dxfId="4">
      <formula>$B$9="PLN"</formula>
    </cfRule>
    <cfRule type="expression" priority="689" dxfId="0">
      <formula>$B$9="CZK"</formula>
    </cfRule>
    <cfRule type="expression" priority="690" dxfId="3">
      <formula>$B$9="USD"</formula>
    </cfRule>
    <cfRule type="expression" priority="691" dxfId="2">
      <formula>$B$9="EURO"</formula>
    </cfRule>
  </conditionalFormatting>
  <conditionalFormatting sqref="N14:N27">
    <cfRule type="expression" priority="630" dxfId="3">
      <formula>$B$9="USD"</formula>
    </cfRule>
    <cfRule type="expression" priority="629" dxfId="2">
      <formula>$B$9="EURO"</formula>
    </cfRule>
    <cfRule type="cellIs" priority="628" operator="greaterThan" dxfId="1">
      <formula>0</formula>
    </cfRule>
    <cfRule type="expression" priority="632" dxfId="0">
      <formula>$B$9="CZK"</formula>
    </cfRule>
    <cfRule type="expression" priority="631" dxfId="4">
      <formula>$B$9="PLN"</formula>
    </cfRule>
  </conditionalFormatting>
  <conditionalFormatting sqref="N29">
    <cfRule type="expression" priority="609" dxfId="4">
      <formula>$B$9="PLN"</formula>
    </cfRule>
    <cfRule type="expression" priority="612" dxfId="2">
      <formula>$B$9="EURO"</formula>
    </cfRule>
    <cfRule type="expression" priority="611" dxfId="3">
      <formula>$B$9="USD"</formula>
    </cfRule>
    <cfRule type="expression" priority="610" dxfId="0">
      <formula>$B$9="CZK"</formula>
    </cfRule>
  </conditionalFormatting>
  <conditionalFormatting sqref="N31:N44">
    <cfRule type="cellIs" priority="389" operator="greaterThan" dxfId="1">
      <formula>0</formula>
    </cfRule>
    <cfRule type="expression" priority="390" dxfId="2">
      <formula>$B$9="EURO"</formula>
    </cfRule>
    <cfRule type="expression" priority="391" dxfId="3">
      <formula>$B$9="USD"</formula>
    </cfRule>
    <cfRule type="expression" priority="392" dxfId="4">
      <formula>$B$9="PLN"</formula>
    </cfRule>
    <cfRule type="expression" priority="393" dxfId="0">
      <formula>$B$9="CZK"</formula>
    </cfRule>
  </conditionalFormatting>
  <conditionalFormatting sqref="N46">
    <cfRule type="expression" priority="577" dxfId="4">
      <formula>$B$9="PLN"</formula>
    </cfRule>
    <cfRule type="expression" priority="579" dxfId="3">
      <formula>$B$9="USD"</formula>
    </cfRule>
    <cfRule type="expression" priority="580" dxfId="2">
      <formula>$B$9="EURO"</formula>
    </cfRule>
    <cfRule type="expression" priority="578" dxfId="0">
      <formula>$B$9="CZK"</formula>
    </cfRule>
  </conditionalFormatting>
  <conditionalFormatting sqref="N48:N61">
    <cfRule type="expression" priority="105" dxfId="2">
      <formula>$B$9="EURO"</formula>
    </cfRule>
    <cfRule type="cellIs" priority="104" operator="greaterThan" dxfId="1">
      <formula>0</formula>
    </cfRule>
    <cfRule type="expression" priority="108" dxfId="0">
      <formula>$B$9="CZK"</formula>
    </cfRule>
    <cfRule type="expression" priority="107" dxfId="4">
      <formula>$B$9="PLN"</formula>
    </cfRule>
    <cfRule type="expression" priority="106" dxfId="3">
      <formula>$B$9="USD"</formula>
    </cfRule>
  </conditionalFormatting>
  <conditionalFormatting sqref="N63">
    <cfRule type="expression" priority="550" dxfId="4">
      <formula>$B$9="PLN"</formula>
    </cfRule>
    <cfRule type="expression" priority="551" dxfId="0">
      <formula>$B$9="CZK"</formula>
    </cfRule>
    <cfRule type="expression" priority="552" dxfId="3">
      <formula>$B$9="USD"</formula>
    </cfRule>
    <cfRule type="expression" priority="553" dxfId="2">
      <formula>$B$9="EURO"</formula>
    </cfRule>
  </conditionalFormatting>
  <conditionalFormatting sqref="N65:N78">
    <cfRule type="expression" priority="93" dxfId="4">
      <formula>$B$9="PLN"</formula>
    </cfRule>
    <cfRule type="expression" priority="94" dxfId="0">
      <formula>$B$9="CZK"</formula>
    </cfRule>
    <cfRule type="expression" priority="92" dxfId="3">
      <formula>$B$9="USD"</formula>
    </cfRule>
    <cfRule type="expression" priority="91" dxfId="2">
      <formula>$B$9="EURO"</formula>
    </cfRule>
    <cfRule type="cellIs" priority="90" operator="greaterThan" dxfId="1">
      <formula>0</formula>
    </cfRule>
  </conditionalFormatting>
  <conditionalFormatting sqref="N80">
    <cfRule type="expression" priority="523" dxfId="0">
      <formula>$B$9="CZK"</formula>
    </cfRule>
    <cfRule type="expression" priority="524" dxfId="3">
      <formula>$B$9="USD"</formula>
    </cfRule>
    <cfRule type="expression" priority="522" dxfId="4">
      <formula>$B$9="PLN"</formula>
    </cfRule>
    <cfRule type="expression" priority="525" dxfId="2">
      <formula>$B$9="EURO"</formula>
    </cfRule>
  </conditionalFormatting>
  <conditionalFormatting sqref="N82:N95">
    <cfRule type="expression" priority="79" dxfId="4">
      <formula>$B$9="PLN"</formula>
    </cfRule>
    <cfRule type="expression" priority="78" dxfId="3">
      <formula>$B$9="USD"</formula>
    </cfRule>
    <cfRule type="expression" priority="80" dxfId="0">
      <formula>$B$9="CZK"</formula>
    </cfRule>
    <cfRule type="cellIs" priority="76" operator="greaterThan" dxfId="1">
      <formula>0</formula>
    </cfRule>
    <cfRule type="expression" priority="77" dxfId="2">
      <formula>$B$9="EURO"</formula>
    </cfRule>
  </conditionalFormatting>
  <conditionalFormatting sqref="N97">
    <cfRule type="expression" priority="494" dxfId="0">
      <formula>$B$9="CZK"</formula>
    </cfRule>
    <cfRule type="expression" priority="493" dxfId="4">
      <formula>$B$9="PLN"</formula>
    </cfRule>
    <cfRule type="expression" priority="496" dxfId="2">
      <formula>$B$9="EURO"</formula>
    </cfRule>
    <cfRule type="expression" priority="495" dxfId="3">
      <formula>$B$9="USD"</formula>
    </cfRule>
  </conditionalFormatting>
  <conditionalFormatting sqref="N99:N112">
    <cfRule type="cellIs" priority="62" operator="greaterThan" dxfId="1">
      <formula>0</formula>
    </cfRule>
    <cfRule type="expression" priority="63" dxfId="2">
      <formula>$B$9="EURO"</formula>
    </cfRule>
    <cfRule type="expression" priority="64" dxfId="3">
      <formula>$B$9="USD"</formula>
    </cfRule>
    <cfRule type="expression" priority="65" dxfId="4">
      <formula>$B$9="PLN"</formula>
    </cfRule>
    <cfRule type="expression" priority="66" dxfId="0">
      <formula>$B$9="CZK"</formula>
    </cfRule>
  </conditionalFormatting>
  <conditionalFormatting sqref="N114">
    <cfRule type="expression" priority="317" dxfId="0">
      <formula>$B$9="CZK"</formula>
    </cfRule>
    <cfRule type="expression" priority="318" dxfId="3">
      <formula>$B$9="USD"</formula>
    </cfRule>
    <cfRule type="expression" priority="319" dxfId="2">
      <formula>$B$9="EURO"</formula>
    </cfRule>
    <cfRule type="expression" priority="316" dxfId="4">
      <formula>$B$9="PLN"</formula>
    </cfRule>
  </conditionalFormatting>
  <conditionalFormatting sqref="N116:N129">
    <cfRule type="cellIs" priority="48" operator="greaterThan" dxfId="1">
      <formula>0</formula>
    </cfRule>
    <cfRule type="expression" priority="52" dxfId="0">
      <formula>$B$9="CZK"</formula>
    </cfRule>
    <cfRule type="expression" priority="51" dxfId="4">
      <formula>$B$9="PLN"</formula>
    </cfRule>
    <cfRule type="expression" priority="50" dxfId="3">
      <formula>$B$9="USD"</formula>
    </cfRule>
    <cfRule type="expression" priority="49" dxfId="2">
      <formula>$B$9="EURO"</formula>
    </cfRule>
  </conditionalFormatting>
  <conditionalFormatting sqref="N131">
    <cfRule type="expression" priority="261" dxfId="4">
      <formula>$B$9="PLN"</formula>
    </cfRule>
    <cfRule type="expression" priority="262" dxfId="0">
      <formula>$B$9="CZK"</formula>
    </cfRule>
    <cfRule type="expression" priority="263" dxfId="3">
      <formula>$B$9="USD"</formula>
    </cfRule>
    <cfRule type="expression" priority="264" dxfId="2">
      <formula>$B$9="EURO"</formula>
    </cfRule>
  </conditionalFormatting>
  <conditionalFormatting sqref="N133:N146">
    <cfRule type="expression" priority="37" dxfId="4">
      <formula>$B$9="PLN"</formula>
    </cfRule>
    <cfRule type="expression" priority="36" dxfId="3">
      <formula>$B$9="USD"</formula>
    </cfRule>
    <cfRule type="expression" priority="38" dxfId="0">
      <formula>$B$9="CZK"</formula>
    </cfRule>
    <cfRule type="expression" priority="35" dxfId="2">
      <formula>$B$9="EURO"</formula>
    </cfRule>
    <cfRule type="cellIs" priority="34" operator="greaterThan" dxfId="1">
      <formula>0</formula>
    </cfRule>
  </conditionalFormatting>
  <conditionalFormatting sqref="N148">
    <cfRule type="expression" priority="213" dxfId="2">
      <formula>$B$9="EURO"</formula>
    </cfRule>
    <cfRule type="expression" priority="211" dxfId="0">
      <formula>$B$9="CZK"</formula>
    </cfRule>
    <cfRule type="expression" priority="210" dxfId="4">
      <formula>$B$9="PLN"</formula>
    </cfRule>
    <cfRule type="expression" priority="212" dxfId="3">
      <formula>$B$9="USD"</formula>
    </cfRule>
  </conditionalFormatting>
  <conditionalFormatting sqref="N150:N163">
    <cfRule type="expression" priority="22" dxfId="3">
      <formula>$B$9="USD"</formula>
    </cfRule>
    <cfRule type="cellIs" priority="20" operator="greaterThan" dxfId="1">
      <formula>0</formula>
    </cfRule>
    <cfRule type="expression" priority="21" dxfId="2">
      <formula>$B$9="EURO"</formula>
    </cfRule>
    <cfRule type="expression" priority="24" dxfId="0">
      <formula>$B$9="CZK"</formula>
    </cfRule>
    <cfRule type="expression" priority="23" dxfId="4">
      <formula>$B$9="PLN"</formula>
    </cfRule>
  </conditionalFormatting>
  <conditionalFormatting sqref="N165">
    <cfRule type="expression" priority="161" dxfId="3">
      <formula>$B$9="USD"</formula>
    </cfRule>
    <cfRule type="expression" priority="160" dxfId="0">
      <formula>$B$9="CZK"</formula>
    </cfRule>
    <cfRule type="expression" priority="162" dxfId="2">
      <formula>$B$9="EURO"</formula>
    </cfRule>
    <cfRule type="expression" priority="159" dxfId="4">
      <formula>$B$9="PLN"</formula>
    </cfRule>
  </conditionalFormatting>
  <conditionalFormatting sqref="N167:N180">
    <cfRule type="expression" priority="10" dxfId="0">
      <formula>$B$9="CZK"</formula>
    </cfRule>
    <cfRule type="expression" priority="7" dxfId="2">
      <formula>$B$9="EURO"</formula>
    </cfRule>
    <cfRule type="cellIs" priority="6" operator="greaterThan" dxfId="1">
      <formula>0</formula>
    </cfRule>
    <cfRule type="expression" priority="8" dxfId="3">
      <formula>$B$9="USD"</formula>
    </cfRule>
    <cfRule type="expression" priority="9" dxfId="4">
      <formula>$B$9="PLN"</formula>
    </cfRule>
  </conditionalFormatting>
  <conditionalFormatting sqref="N183:N197">
    <cfRule type="expression" priority="640" dxfId="0">
      <formula>$B$9="CZK"</formula>
    </cfRule>
    <cfRule type="expression" priority="639" dxfId="4">
      <formula>$B$9="PLN"</formula>
    </cfRule>
    <cfRule type="expression" priority="638" dxfId="3">
      <formula>$B$9="USD"</formula>
    </cfRule>
    <cfRule type="expression" priority="637" dxfId="2">
      <formula>$B$9="EURO"</formula>
    </cfRule>
    <cfRule type="cellIs" priority="636" operator="greaterThan" dxfId="1">
      <formula>0</formula>
    </cfRule>
  </conditionalFormatting>
  <conditionalFormatting sqref="N182:O182">
    <cfRule type="expression" priority="647" dxfId="0">
      <formula>$B$9="CZK"</formula>
    </cfRule>
    <cfRule type="expression" priority="646" dxfId="4">
      <formula>$B$9="PLN"</formula>
    </cfRule>
    <cfRule type="expression" priority="649" dxfId="2">
      <formula>$B$9="EURO"</formula>
    </cfRule>
    <cfRule type="expression" priority="648" dxfId="3">
      <formula>$B$9="USD"</formula>
    </cfRule>
  </conditionalFormatting>
  <conditionalFormatting sqref="O14:O27">
    <cfRule type="cellIs" priority="633" operator="greaterThan" dxfId="5">
      <formula>0</formula>
    </cfRule>
  </conditionalFormatting>
  <conditionalFormatting sqref="O31:O44">
    <cfRule type="cellIs" priority="394" operator="greaterThan" dxfId="5">
      <formula>0</formula>
    </cfRule>
  </conditionalFormatting>
  <conditionalFormatting sqref="O48:O61">
    <cfRule type="cellIs" priority="109" operator="greaterThan" dxfId="5">
      <formula>0</formula>
    </cfRule>
  </conditionalFormatting>
  <conditionalFormatting sqref="O65:O78">
    <cfRule type="cellIs" priority="95" operator="greaterThan" dxfId="5">
      <formula>0</formula>
    </cfRule>
  </conditionalFormatting>
  <conditionalFormatting sqref="O82:O95">
    <cfRule type="cellIs" priority="81" operator="greaterThan" dxfId="5">
      <formula>0</formula>
    </cfRule>
  </conditionalFormatting>
  <conditionalFormatting sqref="O99:O112">
    <cfRule type="cellIs" priority="67" operator="greaterThan" dxfId="5">
      <formula>0</formula>
    </cfRule>
  </conditionalFormatting>
  <conditionalFormatting sqref="O116:O129">
    <cfRule type="cellIs" priority="53" operator="greaterThan" dxfId="5">
      <formula>0</formula>
    </cfRule>
  </conditionalFormatting>
  <conditionalFormatting sqref="O133:O146">
    <cfRule type="cellIs" priority="39" operator="greaterThan" dxfId="5">
      <formula>0</formula>
    </cfRule>
  </conditionalFormatting>
  <conditionalFormatting sqref="O150:O163">
    <cfRule type="cellIs" priority="25" operator="greaterThan" dxfId="5">
      <formula>0</formula>
    </cfRule>
  </conditionalFormatting>
  <conditionalFormatting sqref="O167:O180">
    <cfRule type="cellIs" priority="11" operator="greaterThan" dxfId="5">
      <formula>0</formula>
    </cfRule>
  </conditionalFormatting>
  <conditionalFormatting sqref="O183:O197">
    <cfRule type="cellIs" priority="659" operator="greaterThan" dxfId="5">
      <formula>0</formula>
    </cfRule>
  </conditionalFormatting>
  <conditionalFormatting sqref="Q16">
    <cfRule type="expression" priority="414" dxfId="4">
      <formula>$B$9="PLN"</formula>
    </cfRule>
    <cfRule type="expression" priority="413" dxfId="3">
      <formula>$B$9="USD"</formula>
    </cfRule>
    <cfRule type="expression" priority="412" dxfId="2">
      <formula>$B$9="EURO"</formula>
    </cfRule>
    <cfRule type="cellIs" priority="411" operator="greaterThan" dxfId="1">
      <formula>0</formula>
    </cfRule>
    <cfRule type="expression" priority="415" dxfId="0">
      <formula>$B$9="CZK"</formula>
    </cfRule>
  </conditionalFormatting>
  <dataValidations count="16">
    <dataValidation sqref="C27 C44 C61 C78 C95 C112 C129 C146 C163 C180" showDropDown="0" showInputMessage="1" showErrorMessage="1" allowBlank="1" type="list">
      <formula1>"0,0.5,1,1.5,2,2.5,3,3.5,4,4.5,5"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0:C21 C37:C38 C54:C55 C71:C72 C88:C89 C105:C106 C122:C123 C139:C140 C156:C157 C173:C174" showDropDown="0" showInputMessage="1" showErrorMessage="1" allowBlank="1" type="list">
      <formula1>"0,1,2,3,4,5,6,7,8,9,10,11,12,13,14,15,16,17,18,19,20"</formula1>
    </dataValidation>
    <dataValidation sqref="E14 E31 E48 E65 E82 E99 E116 E133 E150 E167" showDropDown="0" showInputMessage="1" showErrorMessage="1" allowBlank="1" operator="greaterThan"/>
    <dataValidation sqref="C14 C31 C48 C65 C82 C99 C116 C133 C150 C167" showDropDown="0" showInputMessage="1" showErrorMessage="1" allowBlank="1" type="list">
      <formula1>"WALL, ISLAND"</formula1>
    </dataValidation>
    <dataValidation sqref="G181" showDropDown="0" showInputMessage="1" showErrorMessage="1" allowBlank="1" type="list">
      <formula1>#REF!</formula1>
    </dataValidation>
    <dataValidation sqref="D26 D43 D60 D77 D94 D111 D128 D145 D162 D179" showDropDown="0" showInputMessage="1" showErrorMessage="1" allowBlank="1" type="list">
      <formula1>"0,1,2,3,4,5,6,7,8,9,10"</formula1>
    </dataValidation>
    <dataValidation sqref="C15 C32 C49 C66 C83 C100 C117 C134 C151 C168 C185 C202 C219 C236 C253 C270 C287 C304" showDropDown="0" showInputMessage="0" showErrorMessage="0" allowBlank="1" type="list">
      <formula1>Lists!$A$1:$A$5</formula1>
    </dataValidation>
    <dataValidation sqref="C16 C33 C50 C67 C84 C101 C118 C135 C152 C169 C186 C203 C220 C237 C254 C271 C288 C305" showDropDown="0" showInputMessage="0" showErrorMessage="0" allowBlank="1" type="list">
      <formula1>Lists!$B$1:$B$17</formula1>
    </dataValidation>
    <dataValidation sqref="C17 C34 C51 C68 C85 C102 C119 C136 C153 C170 C187 C204 C221 C238 C255 C272 C289 C306" showDropDown="0" showInputMessage="0" showErrorMessage="0" allowBlank="1" type="list">
      <formula1>Lists!$B$1:$B$18</formula1>
    </dataValidation>
    <dataValidation sqref="C19 C36 C53 C70 C87 C104 C121 C138 C155 C172 C189 C206 C223 C240 C257 C274 C291 C308" showDropDown="0" showInputMessage="0" showErrorMessage="0" allowBlank="1" type="list">
      <formula1>Lists!$C$1:$C$2</formula1>
    </dataValidation>
    <dataValidation sqref="C25 C42 C59 C76 C93 C110 C127 C144 C161 C178 C195 C212 C229 C246 C263 C280 C297" showDropDown="0" showInputMessage="0" showErrorMessage="0" allowBlank="1" type="list">
      <formula1>Lists!$D$1:$D$4</formula1>
    </dataValidation>
    <dataValidation sqref="C26 C43 C60 C77 C94 C111 C128 C145 C162 C179 C196 C213 C230 C247 C264 C281 C298" showDropDown="0" showInputMessage="0" showErrorMessage="0" allowBlank="1" type="list">
      <formula1>Lists!$E$1:$E$10</formula1>
    </dataValidation>
    <dataValidation sqref="D183" showDropDown="0" showInputMessage="0" showErrorMessage="0" allowBlank="1" type="list">
      <formula1>Lists!$F$1:$F$193</formula1>
    </dataValidation>
    <dataValidation sqref="D184" showDropDown="0" showInputMessage="0" showErrorMessage="0" allowBlank="1" type="list">
      <formula1>Lists!$G$1:$G$12</formula1>
    </dataValidation>
    <dataValidation sqref="D185" showDropDown="0" showInputMessage="0" showErrorMessage="0" allowBlank="1" type="list">
      <formula1>Lists!$G$1:$G$12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1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 codeName="Sheet11">
    <tabColor theme="8" tint="0.7999816888943144"/>
    <outlinePr summaryBelow="1" summaryRight="1"/>
    <pageSetUpPr fitToPage="1"/>
  </sheetPr>
  <dimension ref="A1:Z310"/>
  <sheetViews>
    <sheetView showGridLines="0" topLeftCell="D63" zoomScale="106" zoomScaleNormal="80" zoomScaleSheetLayoutView="50" workbookViewId="0">
      <selection activeCell="P183" sqref="P183"/>
    </sheetView>
  </sheetViews>
  <sheetFormatPr baseColWidth="10" defaultColWidth="8.83203125" defaultRowHeight="15" customHeight="1" outlineLevelRow="1"/>
  <cols>
    <col width="2" customWidth="1" style="666" min="1" max="1"/>
    <col width="29.6640625" customWidth="1" style="1095" min="2" max="2"/>
    <col width="24.6640625" customWidth="1" style="1095" min="3" max="3"/>
    <col width="27.1640625" customWidth="1" style="1095" min="4" max="4"/>
    <col width="26.6640625" customWidth="1" style="1095" min="5" max="5"/>
    <col width="18.83203125" customWidth="1" style="1095" min="6" max="6"/>
    <col width="22.6640625" customWidth="1" style="1095" min="7" max="7"/>
    <col width="10" bestFit="1" customWidth="1" style="1096" min="8" max="8"/>
    <col width="11.6640625" bestFit="1" customWidth="1" style="1096" min="9" max="9"/>
    <col width="12.33203125" customWidth="1" style="1097" min="10" max="10"/>
    <col width="15" customWidth="1" style="1098" min="11" max="11"/>
    <col width="7.6640625" bestFit="1" customWidth="1" style="1098" min="12" max="12"/>
    <col hidden="1" width="12.33203125" customWidth="1" style="1099" min="13" max="13"/>
    <col width="12.8320312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8"/>
    <col width="8.83203125" customWidth="1" style="1095" min="99" max="16384"/>
  </cols>
  <sheetData>
    <row r="1" ht="15" customHeight="1" s="1085">
      <c r="B1" s="1116" t="inlineStr">
        <is>
          <t>F24 - 19  CANOPY COST SHEET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 t="n"/>
      <c r="F3" s="690" t="inlineStr">
        <is>
          <t>Project Name</t>
        </is>
      </c>
      <c r="G3" s="1071" t="n"/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 t="n"/>
      <c r="F5" s="690" t="inlineStr">
        <is>
          <t>Location</t>
        </is>
      </c>
      <c r="G5" s="1071" t="n"/>
      <c r="M5" s="684" t="n"/>
      <c r="N5" s="685" t="n"/>
      <c r="P5" s="1118" t="inlineStr">
        <is>
          <t>RECO CANOPIES MUST HAVE COALESCERS</t>
        </is>
      </c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 t="n"/>
      <c r="F7" s="690" t="inlineStr">
        <is>
          <t>Date</t>
        </is>
      </c>
      <c r="G7" s="1075" t="n"/>
      <c r="N7" s="699" t="inlineStr">
        <is>
          <t>Revision No</t>
        </is>
      </c>
      <c r="O7" s="809" t="inlineStr">
        <is>
          <t>B</t>
        </is>
      </c>
      <c r="P7" s="1091" t="inlineStr">
        <is>
          <t>GP SHOULD BE MINIMUM 44%</t>
        </is>
      </c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47" t="n"/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8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 xml:space="preserve">ITEM 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68">
        <f>N12-N19</f>
        <v/>
      </c>
      <c r="Q12" s="1095" t="n"/>
      <c r="R12" s="1095" t="n"/>
      <c r="S12" s="713" t="n"/>
      <c r="T12" s="1095" t="n"/>
      <c r="X12" s="1095" t="n"/>
      <c r="Y12" s="1095" t="n"/>
      <c r="Z12" s="1095" t="n"/>
    </row>
    <row r="13" hidden="1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hidden="1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CANOPY TYPE</t>
        </is>
      </c>
      <c r="E14" s="734" t="n"/>
      <c r="F14" s="734" t="n"/>
      <c r="G14" s="734" t="n"/>
      <c r="H14" s="735" t="n"/>
      <c r="I14" s="734" t="n"/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hidden="1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LIGHT SELECTION</t>
        </is>
      </c>
      <c r="D15" s="741" t="n"/>
      <c r="E15" s="848" t="n"/>
      <c r="F15" s="743" t="n"/>
      <c r="G15" s="744" t="n"/>
      <c r="H15" s="668" t="n"/>
      <c r="I15" s="668" t="n"/>
      <c r="J15" s="736">
        <f>IF(ISNA(C12),0,IF(D15=0,0,IF(C15="FLO",VLOOKUP(E15,'Base Costs'!$M$4:$N$14,2,FALSE),IF(C15="LED STRIP",VLOOKUP(E15,'Base Costs'!$M$4:$N$14,2,FALSE),(VLOOKUP(C15,'Base Costs'!$M$4:$N$14,2,FALSE))))))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hidden="1" outlineLevel="1" ht="15" customHeight="1" s="1085">
      <c r="A16" s="666" t="n">
        <v>234</v>
      </c>
      <c r="B16" s="269" t="inlineStr">
        <is>
          <t>SPECIAL WORKS</t>
        </is>
      </c>
      <c r="C16" s="33" t="inlineStr">
        <is>
          <t>SELECT WORKS</t>
        </is>
      </c>
      <c r="D16" s="735" t="n"/>
      <c r="E16" s="753">
        <f>IF(C16="","",VLOOKUP(C16,CCBASE!$A$53:$D$73,4,FALSE))</f>
        <v/>
      </c>
      <c r="F16" s="754" t="n"/>
      <c r="G16" s="749" t="n"/>
      <c r="H16" s="750" t="n"/>
      <c r="I16" s="755" t="n"/>
      <c r="J16" s="736">
        <f>IF(C16="",0,VLOOKUP(C16,CCBASE!$A$53:$C$73,2,FALSE))</f>
        <v/>
      </c>
      <c r="K16" s="737">
        <f>J16*D16</f>
        <v/>
      </c>
      <c r="L16" s="738" t="n">
        <v>0.44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hidden="1" outlineLevel="1" ht="15" customHeight="1" s="1085">
      <c r="B17" s="269" t="inlineStr">
        <is>
          <t>SPECIAL WORKS</t>
        </is>
      </c>
      <c r="C17" s="752" t="inlineStr">
        <is>
          <t>SELECT WORKS</t>
        </is>
      </c>
      <c r="D17" s="735" t="n"/>
      <c r="E17" s="753">
        <f>IF(C17="","",VLOOKUP(C17,CCBASE!$A$53:$D$73,4,FALSE))</f>
        <v/>
      </c>
      <c r="F17" s="754" t="n"/>
      <c r="G17" s="749" t="n"/>
      <c r="H17" s="750" t="n"/>
      <c r="I17" s="755" t="n"/>
      <c r="J17" s="736">
        <f>IF(C17="",0,VLOOKUP(C17,CCBASE!$A$53:$C$73,2,FALSE))</f>
        <v/>
      </c>
      <c r="K17" s="737">
        <f>J17*D17</f>
        <v/>
      </c>
      <c r="L17" s="738" t="n">
        <v>0.44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hidden="1" outlineLevel="1" ht="15" customHeight="1" s="1085">
      <c r="B18" s="978" t="inlineStr">
        <is>
          <t>SPECIAL WORKS</t>
        </is>
      </c>
      <c r="C18" s="979" t="inlineStr">
        <is>
          <t>BIM/ REVIT per CANOPY</t>
        </is>
      </c>
      <c r="D18" s="980" t="n">
        <v>1</v>
      </c>
      <c r="E18" s="981">
        <f>IF(C18="","",VLOOKUP(C18,CCBASE!$A$53:$D$73,4,FALSE))</f>
        <v/>
      </c>
      <c r="F18" s="982" t="n"/>
      <c r="G18" s="977" t="n"/>
      <c r="H18" s="983" t="n"/>
      <c r="I18" s="984" t="n"/>
      <c r="J18" s="985">
        <f>IF(C18="",0,VLOOKUP(C18,CCBASE!$A$53:$C$73,2,FALSE))</f>
        <v/>
      </c>
      <c r="K18" s="986">
        <f>J18*D18</f>
        <v/>
      </c>
      <c r="L18" s="987" t="n">
        <v>0.44</v>
      </c>
      <c r="M18" s="988">
        <f>K18/(1-L18)*(1+$C$9)</f>
        <v/>
      </c>
      <c r="N18" s="986">
        <f>M18*VLOOKUP($B$9,'Base Costs'!$A$32:$B$37,2,FALSE)</f>
        <v/>
      </c>
      <c r="O18" s="989">
        <f>M18-K18</f>
        <v/>
      </c>
      <c r="P18" s="990" t="inlineStr">
        <is>
          <t>always include</t>
        </is>
      </c>
      <c r="S18" s="694" t="n"/>
      <c r="Y18" s="1095" t="n"/>
    </row>
    <row r="19" hidden="1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SELECT CLADDING</t>
        </is>
      </c>
      <c r="D19" s="756">
        <f>IF(NOT(ISBLANK(C19)), ROUNDUP($F14/1000,0), 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S19" s="694" t="n"/>
      <c r="Y19" s="1095" t="n"/>
    </row>
    <row r="20" hidden="1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hidden="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hidden="1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S22" s="694" t="n"/>
      <c r="Y22" s="1095" t="n"/>
    </row>
    <row r="23" hidden="1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>
        <f>IF(ISNA(D23),0,(VLOOKUP(D23,'Base Costs'!$Q$4:$R$14,2,FALSE)))</f>
        <v/>
      </c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hidden="1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hidden="1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hidden="1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hidden="1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collapsed="1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 xml:space="preserve">ITEM 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68">
        <f>N29-N36</f>
        <v/>
      </c>
      <c r="Q29" s="1095" t="n"/>
      <c r="R29" s="1095" t="n"/>
      <c r="S29" s="713" t="n"/>
      <c r="T29" s="1095" t="n"/>
      <c r="X29" s="1095" t="n"/>
      <c r="Y29" s="1095" t="n"/>
      <c r="Z29" s="1095" t="n"/>
    </row>
    <row r="30" hidden="1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hidden="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hidden="1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hidden="1" outlineLevel="1" ht="15" customHeight="1" s="1085">
      <c r="A33" s="666" t="n">
        <v>234</v>
      </c>
      <c r="B33" s="731" t="inlineStr">
        <is>
          <t>SPECIAL WORKS</t>
        </is>
      </c>
      <c r="C33" s="752" t="inlineStr">
        <is>
          <t>SELECT WORKS</t>
        </is>
      </c>
      <c r="D33" s="735" t="n"/>
      <c r="E33" s="753">
        <f>IF(C33="","",VLOOKUP(C33,CCBASE!$A$53:$D$73,4,FALSE))</f>
        <v/>
      </c>
      <c r="F33" s="754" t="n"/>
      <c r="G33" s="749" t="n"/>
      <c r="H33" s="750" t="n"/>
      <c r="I33" s="755" t="n"/>
      <c r="J33" s="736">
        <f>IF(C33="",0,VLOOKUP(C33,CCBASE!$A$53:$C$73,2,FALSE))</f>
        <v/>
      </c>
      <c r="K33" s="737">
        <f>J33*D33</f>
        <v/>
      </c>
      <c r="L33" s="738" t="n">
        <v>0.44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hidden="1" outlineLevel="1" ht="15" customHeight="1" s="1085">
      <c r="B34" s="731" t="inlineStr">
        <is>
          <t>SPECIAL WORKS</t>
        </is>
      </c>
      <c r="C34" s="752" t="inlineStr">
        <is>
          <t>SELECT WORKS</t>
        </is>
      </c>
      <c r="D34" s="735" t="n"/>
      <c r="E34" s="753">
        <f>IF(C34="","",VLOOKUP(C34,CCBASE!$A$53:$D$73,4,FALSE))</f>
        <v/>
      </c>
      <c r="F34" s="754" t="n"/>
      <c r="G34" s="749" t="n"/>
      <c r="H34" s="750" t="n"/>
      <c r="I34" s="755" t="n"/>
      <c r="J34" s="736">
        <f>IF(C34="",0,VLOOKUP(C34,CCBASE!$A$53:$C$73,2,FALSE))</f>
        <v/>
      </c>
      <c r="K34" s="737">
        <f>J34*D34</f>
        <v/>
      </c>
      <c r="L34" s="738" t="n">
        <v>0.44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hidden="1" outlineLevel="1" ht="15" customHeight="1" s="1085">
      <c r="B35" s="978" t="inlineStr">
        <is>
          <t>SPECIAL WORKS</t>
        </is>
      </c>
      <c r="C35" s="979" t="inlineStr">
        <is>
          <t>BIM/ REVIT per CANOPY</t>
        </is>
      </c>
      <c r="D35" s="980" t="n"/>
      <c r="E35" s="1111" t="n"/>
      <c r="G35" s="977" t="n"/>
      <c r="H35" s="983" t="n"/>
      <c r="I35" s="984" t="n"/>
      <c r="J35" s="985">
        <f>IF(C35="",0,VLOOKUP(C35,CCBASE!$A$53:$C$73,2,FALSE))</f>
        <v/>
      </c>
      <c r="K35" s="986">
        <f>J35*D35</f>
        <v/>
      </c>
      <c r="L35" s="987" t="n">
        <v>0.44</v>
      </c>
      <c r="M35" s="988">
        <f>K35/(1-L35)*(1+$C$9)</f>
        <v/>
      </c>
      <c r="N35" s="986">
        <f>M35*VLOOKUP($B$9,'Base Costs'!$A$32:$B$37,2,FALSE)</f>
        <v/>
      </c>
      <c r="O35" s="989">
        <f>M35-K35</f>
        <v/>
      </c>
      <c r="P35" s="990" t="inlineStr">
        <is>
          <t>always include</t>
        </is>
      </c>
      <c r="S35" s="694" t="n"/>
      <c r="Y35" s="1095" t="n"/>
    </row>
    <row r="36" hidden="1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SELECT CLADDING</t>
        </is>
      </c>
      <c r="D36" s="756">
        <f>IF(NOT(ISBLANK(C36)), ROUNDUP($F31/1000,0), 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Y36" s="1095" t="n"/>
    </row>
    <row r="37" hidden="1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hidden="1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hidden="1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S39" s="694" t="n"/>
      <c r="Y39" s="1095" t="n"/>
    </row>
    <row r="40" hidden="1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>
        <f>IF(ISNA(D40),0,(VLOOKUP(D40,'Base Costs'!$Q$4:$R$13,2,FALSE)))</f>
        <v/>
      </c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hidden="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hidden="1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hidden="1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hidden="1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collapsed="1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68">
        <f>N46-N53</f>
        <v/>
      </c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731" t="inlineStr">
        <is>
          <t>SPECIAL WORKS</t>
        </is>
      </c>
      <c r="C50" s="752" t="inlineStr">
        <is>
          <t>SELECT WORKS</t>
        </is>
      </c>
      <c r="D50" s="735" t="n"/>
      <c r="E50" s="753">
        <f>IF(C50="","",VLOOKUP(C50,CCBASE!$A$53:$D$73,4,FALSE))</f>
        <v/>
      </c>
      <c r="F50" s="754" t="n"/>
      <c r="G50" s="749" t="n"/>
      <c r="H50" s="750" t="n"/>
      <c r="I50" s="755" t="n"/>
      <c r="J50" s="736">
        <f>IF(C50="",0,VLOOKUP(C50,CCBASE!$A$53:$C$73,2,FALSE))</f>
        <v/>
      </c>
      <c r="K50" s="737">
        <f>J50*D50</f>
        <v/>
      </c>
      <c r="L50" s="738" t="n">
        <v>0.44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731" t="inlineStr">
        <is>
          <t>SPECIAL WORKS</t>
        </is>
      </c>
      <c r="C51" s="752" t="inlineStr">
        <is>
          <t>SELECT WORKS</t>
        </is>
      </c>
      <c r="D51" s="735" t="n"/>
      <c r="E51" s="753">
        <f>IF(C51="","",VLOOKUP(C51,CCBASE!$A$53:$D$73,4,FALSE))</f>
        <v/>
      </c>
      <c r="F51" s="754" t="n"/>
      <c r="G51" s="749" t="n"/>
      <c r="H51" s="750" t="n"/>
      <c r="I51" s="755" t="n"/>
      <c r="J51" s="736">
        <f>IF(C51="",0,VLOOKUP(C51,CCBASE!$A$53:$C$73,2,FALSE))</f>
        <v/>
      </c>
      <c r="K51" s="737">
        <f>J51*D51</f>
        <v/>
      </c>
      <c r="L51" s="738" t="n">
        <v>0.44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978" t="inlineStr">
        <is>
          <t>SPECIAL WORKS</t>
        </is>
      </c>
      <c r="C52" s="979" t="inlineStr">
        <is>
          <t>BIM/ REVIT per CANOPY</t>
        </is>
      </c>
      <c r="D52" s="980" t="n"/>
      <c r="E52" s="981">
        <f>IF(C52="","",VLOOKUP(C52,CCBASE!$A$53:$D$73,4,FALSE))</f>
        <v/>
      </c>
      <c r="F52" s="982" t="n"/>
      <c r="G52" s="977" t="n"/>
      <c r="H52" s="983" t="n"/>
      <c r="I52" s="984" t="n"/>
      <c r="J52" s="985">
        <f>IF(C52="",0,VLOOKUP(C52,CCBASE!$A$53:$C$73,2,FALSE))</f>
        <v/>
      </c>
      <c r="K52" s="986">
        <f>J52*D52</f>
        <v/>
      </c>
      <c r="L52" s="987" t="n">
        <v>0.44</v>
      </c>
      <c r="M52" s="988">
        <f>K52/(1-L52)*(1+$C$9)</f>
        <v/>
      </c>
      <c r="N52" s="986">
        <f>M52*VLOOKUP($B$9,'Base Costs'!$A$32:$B$37,2,FALSE)</f>
        <v/>
      </c>
      <c r="O52" s="989">
        <f>M52-K52</f>
        <v/>
      </c>
      <c r="P52" s="990" t="inlineStr">
        <is>
          <t>always include</t>
        </is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SELECT CLADDING</t>
        </is>
      </c>
      <c r="D53" s="756">
        <f>IF(NOT(ISBLANK(C53)), ROUNDUP($F48/1000,0), 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>
        <f>IF(ISNA(D57),0,(VLOOKUP(D57,'Base Costs'!$Q$4:$R$13,2,FALSE)))</f>
        <v/>
      </c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68">
        <f>N63-N70</f>
        <v/>
      </c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731" t="inlineStr">
        <is>
          <t>SPECIAL WORKS</t>
        </is>
      </c>
      <c r="C67" s="752" t="inlineStr">
        <is>
          <t>SELECT WORKS</t>
        </is>
      </c>
      <c r="D67" s="735" t="n"/>
      <c r="E67" s="753">
        <f>IF(C67="","",VLOOKUP(C67,CCBASE!$A$53:$D$73,4,FALSE))</f>
        <v/>
      </c>
      <c r="F67" s="754" t="n"/>
      <c r="G67" s="749" t="n"/>
      <c r="H67" s="750" t="n"/>
      <c r="I67" s="755" t="n"/>
      <c r="J67" s="736">
        <f>IF(C67="",0,VLOOKUP(C67,CCBASE!$A$53:$C$73,2,FALSE))</f>
        <v/>
      </c>
      <c r="K67" s="737">
        <f>J67*D67</f>
        <v/>
      </c>
      <c r="L67" s="738" t="n">
        <v>0.44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731" t="inlineStr">
        <is>
          <t>SPECIAL WORKS</t>
        </is>
      </c>
      <c r="C68" s="752" t="inlineStr">
        <is>
          <t>SELECT WORKS</t>
        </is>
      </c>
      <c r="D68" s="735" t="n"/>
      <c r="E68" s="753">
        <f>IF(C68="","",VLOOKUP(C68,CCBASE!$A$53:$D$73,4,FALSE))</f>
        <v/>
      </c>
      <c r="F68" s="754" t="n"/>
      <c r="G68" s="749" t="n"/>
      <c r="H68" s="750" t="n"/>
      <c r="I68" s="755" t="n"/>
      <c r="J68" s="736">
        <f>IF(C68="",0,VLOOKUP(C68,CCBASE!$A$53:$C$73,2,FALSE))</f>
        <v/>
      </c>
      <c r="K68" s="737">
        <f>J68*D68</f>
        <v/>
      </c>
      <c r="L68" s="738" t="n">
        <v>0.44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978" t="inlineStr">
        <is>
          <t>SPECIAL WORKS</t>
        </is>
      </c>
      <c r="C69" s="979" t="inlineStr">
        <is>
          <t>BIM/ REVIT per CANOPY</t>
        </is>
      </c>
      <c r="D69" s="980" t="n"/>
      <c r="E69" s="981">
        <f>IF(C69="","",VLOOKUP(C69,CCBASE!$A$53:$D$73,4,FALSE))</f>
        <v/>
      </c>
      <c r="F69" s="982" t="n"/>
      <c r="G69" s="977" t="n"/>
      <c r="H69" s="983" t="n"/>
      <c r="I69" s="984" t="n"/>
      <c r="J69" s="985">
        <f>IF(C69="",0,VLOOKUP(C69,CCBASE!$A$53:$C$73,2,FALSE))</f>
        <v/>
      </c>
      <c r="K69" s="986">
        <f>J69*D69</f>
        <v/>
      </c>
      <c r="L69" s="987" t="n">
        <v>0.44</v>
      </c>
      <c r="M69" s="988">
        <f>K69/(1-L69)*(1+$C$9)</f>
        <v/>
      </c>
      <c r="N69" s="986">
        <f>M69*VLOOKUP($B$9,'Base Costs'!$A$32:$B$37,2,FALSE)</f>
        <v/>
      </c>
      <c r="O69" s="989">
        <f>M69-K69</f>
        <v/>
      </c>
      <c r="P69" s="990" t="inlineStr">
        <is>
          <t>always include</t>
        </is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IF(NOT(ISBLANK(C70)), ROUNDUP(F65/1000,0), 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>
        <f>IF(ISNA(D74),0,(VLOOKUP(D74,'Base Costs'!$Q$4:$R$13,2,FALSE)))</f>
        <v/>
      </c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68">
        <f>N80-N87</f>
        <v/>
      </c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731" t="inlineStr">
        <is>
          <t>SPECIAL WORKS</t>
        </is>
      </c>
      <c r="C84" s="752" t="inlineStr">
        <is>
          <t>SELECT WORKS</t>
        </is>
      </c>
      <c r="D84" s="735" t="n"/>
      <c r="E84" s="753">
        <f>IF(C84="","",VLOOKUP(C84,CCBASE!$A$53:$D$73,4,FALSE))</f>
        <v/>
      </c>
      <c r="F84" s="754" t="n"/>
      <c r="G84" s="749" t="n"/>
      <c r="H84" s="750" t="n"/>
      <c r="I84" s="755" t="n"/>
      <c r="J84" s="736">
        <f>IF(C84="",0,VLOOKUP(C84,CCBASE!$A$53:$C$73,2,FALSE))</f>
        <v/>
      </c>
      <c r="K84" s="737">
        <f>J84*D84</f>
        <v/>
      </c>
      <c r="L84" s="738" t="n">
        <v>0.44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SPECIAL WORKS</t>
        </is>
      </c>
      <c r="C85" s="752" t="inlineStr">
        <is>
          <t>SELECT WORKS</t>
        </is>
      </c>
      <c r="D85" s="735" t="n"/>
      <c r="E85" s="753">
        <f>IF(C85="","",VLOOKUP(C85,CCBASE!$A$53:$D$73,4,FALSE))</f>
        <v/>
      </c>
      <c r="F85" s="754" t="n"/>
      <c r="G85" s="749" t="n"/>
      <c r="H85" s="750" t="n"/>
      <c r="I85" s="755" t="n"/>
      <c r="J85" s="736">
        <f>IF(C85="",0,VLOOKUP(C85,CCBASE!$A$53:$C$73,2,FALSE))</f>
        <v/>
      </c>
      <c r="K85" s="737">
        <f>J85*D85</f>
        <v/>
      </c>
      <c r="L85" s="738" t="n">
        <v>0.44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978" t="inlineStr">
        <is>
          <t>SPECIAL WORKS</t>
        </is>
      </c>
      <c r="C86" s="979" t="inlineStr">
        <is>
          <t>BIM/ REVIT per CANOPY</t>
        </is>
      </c>
      <c r="D86" s="980" t="n"/>
      <c r="E86" s="981">
        <f>IF(C86="","",VLOOKUP(C86,CCBASE!$A$53:$D$73,4,FALSE))</f>
        <v/>
      </c>
      <c r="F86" s="982" t="n"/>
      <c r="G86" s="977" t="n"/>
      <c r="H86" s="983" t="n"/>
      <c r="I86" s="984" t="n"/>
      <c r="J86" s="985">
        <f>IF(C86="",0,VLOOKUP(C86,CCBASE!$A$53:$C$73,2,FALSE))</f>
        <v/>
      </c>
      <c r="K86" s="986">
        <f>J86*D86</f>
        <v/>
      </c>
      <c r="L86" s="987" t="n">
        <v>0.44</v>
      </c>
      <c r="M86" s="988">
        <f>K86/(1-L86)*(1+$C$9)</f>
        <v/>
      </c>
      <c r="N86" s="986">
        <f>M86*VLOOKUP($B$9,'Base Costs'!$A$32:$B$37,2,FALSE)</f>
        <v/>
      </c>
      <c r="O86" s="989">
        <f>M86-K86</f>
        <v/>
      </c>
      <c r="P86" s="990" t="inlineStr">
        <is>
          <t>always include</t>
        </is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IF(NOT(ISBLANK(C87)), ROUNDUP(F82/1000,0), 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>
        <f>IF(ISNA(D91),0,(VLOOKUP(D91,'Base Costs'!$Q$4:$R$13,2,FALSE)))</f>
        <v/>
      </c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IF(ISNUMBER(SEARCH("UV",D99)),49.7,71.75)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68">
        <f>N97-N104</f>
        <v/>
      </c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731" t="inlineStr">
        <is>
          <t>SPECIAL WORKS</t>
        </is>
      </c>
      <c r="C101" s="752" t="inlineStr">
        <is>
          <t>SELECT WORKS</t>
        </is>
      </c>
      <c r="D101" s="735" t="n"/>
      <c r="E101" s="753">
        <f>IF(C101="","",VLOOKUP(C101,CCBASE!$A$53:$D$73,4,FALSE))</f>
        <v/>
      </c>
      <c r="F101" s="754" t="n"/>
      <c r="G101" s="749" t="n"/>
      <c r="H101" s="750" t="n"/>
      <c r="I101" s="755" t="n"/>
      <c r="J101" s="736">
        <f>IF(C101="",0,VLOOKUP(C101,CCBASE!$A$53:$C$73,2,FALSE))</f>
        <v/>
      </c>
      <c r="K101" s="737">
        <f>J101*D101</f>
        <v/>
      </c>
      <c r="L101" s="738" t="n">
        <v>0.44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584" t="inlineStr">
        <is>
          <t>SPECIAL WORKS</t>
        </is>
      </c>
      <c r="C102" s="33" t="inlineStr">
        <is>
          <t>SELECT WORKS</t>
        </is>
      </c>
      <c r="D102" s="735" t="n"/>
      <c r="E102" s="753">
        <f>IF(C102="","",VLOOKUP(C102,CCBASE!$A$53:$D$73,4,FALSE))</f>
        <v/>
      </c>
      <c r="F102" s="754" t="n"/>
      <c r="G102" s="749" t="n"/>
      <c r="H102" s="750" t="n"/>
      <c r="I102" s="755" t="n"/>
      <c r="J102" s="736">
        <f>IF(C102="",0,VLOOKUP(C102,CCBASE!$A$53:$C$73,2,FALSE))</f>
        <v/>
      </c>
      <c r="K102" s="737">
        <f>J102*D102</f>
        <v/>
      </c>
      <c r="L102" s="738" t="n">
        <v>0.44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991" t="inlineStr">
        <is>
          <t>SPECIAL WORKS</t>
        </is>
      </c>
      <c r="C103" s="992" t="inlineStr">
        <is>
          <t>BIM/ REVIT per CANOPY</t>
        </is>
      </c>
      <c r="D103" s="980" t="n"/>
      <c r="E103" s="981">
        <f>IF(C103="","",VLOOKUP(C103,CCBASE!$A$53:$D$73,4,FALSE))</f>
        <v/>
      </c>
      <c r="F103" s="982" t="n"/>
      <c r="G103" s="977" t="n"/>
      <c r="H103" s="983" t="n"/>
      <c r="I103" s="984" t="n"/>
      <c r="J103" s="985">
        <f>IF(C103="",0,VLOOKUP(C103,CCBASE!$A$53:$C$73,2,FALSE))</f>
        <v/>
      </c>
      <c r="K103" s="986">
        <f>J103*D103</f>
        <v/>
      </c>
      <c r="L103" s="987" t="n">
        <v>0.44</v>
      </c>
      <c r="M103" s="988">
        <f>K103/(1-L103)*(1+$C$9)</f>
        <v/>
      </c>
      <c r="N103" s="986">
        <f>M103*VLOOKUP($B$9,'Base Costs'!$A$32:$B$37,2,FALSE)</f>
        <v/>
      </c>
      <c r="O103" s="989">
        <f>M103-K103</f>
        <v/>
      </c>
      <c r="P103" s="990" t="inlineStr">
        <is>
          <t>always include</t>
        </is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IF(NOT(ISBLANK(C104)), ROUNDUP(F99/1000,0), 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>
        <f>IF(ISNA(D108),0,(VLOOKUP(D108,'Base Costs'!$Q$4:$R$13,2,FALSE)))</f>
        <v/>
      </c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IF(ISNUMBER(SEARCH("UV",D116)),49.7,71.75)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68">
        <f>N114-N121</f>
        <v/>
      </c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731" t="inlineStr">
        <is>
          <t>SPECIAL WORKS</t>
        </is>
      </c>
      <c r="C118" s="752" t="inlineStr">
        <is>
          <t>SELECT WORKS</t>
        </is>
      </c>
      <c r="D118" s="735" t="n"/>
      <c r="E118" s="753">
        <f>IF(C118="","",VLOOKUP(C118,CCBASE!$A$53:$D$73,4,FALSE))</f>
        <v/>
      </c>
      <c r="F118" s="754" t="n"/>
      <c r="G118" s="749" t="n"/>
      <c r="H118" s="750" t="n"/>
      <c r="I118" s="755" t="n"/>
      <c r="J118" s="736">
        <f>IF(C118="",0,VLOOKUP(C118,CCBASE!$A$53:$C$73,2,FALSE))</f>
        <v/>
      </c>
      <c r="K118" s="737">
        <f>J118*D118</f>
        <v/>
      </c>
      <c r="L118" s="738" t="n">
        <v>0.44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584" t="inlineStr">
        <is>
          <t>SPECIAL WORKS</t>
        </is>
      </c>
      <c r="C119" s="33" t="inlineStr">
        <is>
          <t>SELECT WORKS</t>
        </is>
      </c>
      <c r="D119" s="735" t="n"/>
      <c r="E119" s="753">
        <f>IF(C119="","",VLOOKUP(C119,CCBASE!$A$53:$D$73,4,FALSE))</f>
        <v/>
      </c>
      <c r="F119" s="754" t="n"/>
      <c r="G119" s="749" t="n"/>
      <c r="H119" s="750" t="n"/>
      <c r="I119" s="755" t="n"/>
      <c r="J119" s="736">
        <f>IF(C119="",0,VLOOKUP(C119,CCBASE!$A$53:$C$73,2,FALSE))</f>
        <v/>
      </c>
      <c r="K119" s="737">
        <f>J119*D119</f>
        <v/>
      </c>
      <c r="L119" s="738" t="n">
        <v>0.44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991" t="inlineStr">
        <is>
          <t>SPECIAL WORKS</t>
        </is>
      </c>
      <c r="C120" s="992" t="inlineStr">
        <is>
          <t>BIM/ REVIT per CANOPY</t>
        </is>
      </c>
      <c r="D120" s="980" t="n"/>
      <c r="E120" s="981">
        <f>IF(C120="","",VLOOKUP(C120,CCBASE!$A$53:$D$73,4,FALSE))</f>
        <v/>
      </c>
      <c r="F120" s="982" t="n"/>
      <c r="G120" s="977" t="n"/>
      <c r="H120" s="983" t="n"/>
      <c r="I120" s="984" t="n"/>
      <c r="J120" s="985">
        <f>IF(C120="",0,VLOOKUP(C120,CCBASE!$A$53:$C$73,2,FALSE))</f>
        <v/>
      </c>
      <c r="K120" s="986">
        <f>J120*D120</f>
        <v/>
      </c>
      <c r="L120" s="987" t="n">
        <v>0.44</v>
      </c>
      <c r="M120" s="988">
        <f>K120/(1-L120)*(1+$C$9)</f>
        <v/>
      </c>
      <c r="N120" s="986">
        <f>M120*VLOOKUP($B$9,'Base Costs'!$A$32:$B$37,2,FALSE)</f>
        <v/>
      </c>
      <c r="O120" s="989">
        <f>M120-K120</f>
        <v/>
      </c>
      <c r="P120" s="990" t="inlineStr">
        <is>
          <t>always include</t>
        </is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IF(NOT(ISBLANK(C121)), ROUNDUP(F116/1000,0), 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>
        <f>IF(ISNA(D125),0,(VLOOKUP(D125,'Base Costs'!$Q$4:$R$13,2,FALSE)))</f>
        <v/>
      </c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68">
        <f>N131-N138</f>
        <v/>
      </c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733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731" t="inlineStr">
        <is>
          <t>SPECIAL WORKS</t>
        </is>
      </c>
      <c r="C135" s="752" t="inlineStr">
        <is>
          <t>SELECT WORKS</t>
        </is>
      </c>
      <c r="D135" s="735" t="n"/>
      <c r="E135" s="753">
        <f>IF(C135="","",VLOOKUP(C135,CCBASE!$A$53:$D$73,4,FALSE))</f>
        <v/>
      </c>
      <c r="F135" s="754" t="n"/>
      <c r="G135" s="749" t="n"/>
      <c r="H135" s="750" t="n"/>
      <c r="I135" s="755" t="n"/>
      <c r="J135" s="736">
        <f>IF(C135="",0,VLOOKUP(C135,CCBASE!$A$53:$C$73,2,FALSE))</f>
        <v/>
      </c>
      <c r="K135" s="737">
        <f>J135*D135</f>
        <v/>
      </c>
      <c r="L135" s="738" t="n">
        <v>0.44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584" t="inlineStr">
        <is>
          <t>SPECIAL WORKS</t>
        </is>
      </c>
      <c r="C136" s="33" t="inlineStr">
        <is>
          <t>SELECT WORKS</t>
        </is>
      </c>
      <c r="D136" s="735" t="n"/>
      <c r="E136" s="753">
        <f>IF(C136="","",VLOOKUP(C136,CCBASE!$A$53:$D$73,4,FALSE))</f>
        <v/>
      </c>
      <c r="F136" s="754" t="n"/>
      <c r="G136" s="749" t="n"/>
      <c r="H136" s="750" t="n"/>
      <c r="I136" s="755" t="n"/>
      <c r="J136" s="736">
        <f>IF(C136="",0,VLOOKUP(C136,CCBASE!$A$53:$C$73,2,FALSE))</f>
        <v/>
      </c>
      <c r="K136" s="737">
        <f>J136*D136</f>
        <v/>
      </c>
      <c r="L136" s="738" t="n">
        <v>0.44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991" t="inlineStr">
        <is>
          <t>SPECIAL WORKS</t>
        </is>
      </c>
      <c r="C137" s="992" t="inlineStr">
        <is>
          <t>BIM/ REVIT per CANOPY</t>
        </is>
      </c>
      <c r="D137" s="980" t="n"/>
      <c r="E137" s="981">
        <f>IF(C137="","",VLOOKUP(C137,CCBASE!$A$53:$D$73,4,FALSE))</f>
        <v/>
      </c>
      <c r="F137" s="982" t="n"/>
      <c r="G137" s="977" t="n"/>
      <c r="H137" s="983" t="n"/>
      <c r="I137" s="984" t="n"/>
      <c r="J137" s="985">
        <f>IF(C137="",0,VLOOKUP(C137,CCBASE!$A$53:$C$73,2,FALSE))</f>
        <v/>
      </c>
      <c r="K137" s="986">
        <f>J137*D137</f>
        <v/>
      </c>
      <c r="L137" s="987" t="n">
        <v>0.44</v>
      </c>
      <c r="M137" s="988">
        <f>K137/(1-L137)*(1+$C$9)</f>
        <v/>
      </c>
      <c r="N137" s="986">
        <f>M137*VLOOKUP($B$9,'Base Costs'!$A$32:$B$37,2,FALSE)</f>
        <v/>
      </c>
      <c r="O137" s="989">
        <f>M137-K137</f>
        <v/>
      </c>
      <c r="P137" s="990" t="inlineStr">
        <is>
          <t>always include</t>
        </is>
      </c>
      <c r="S137" s="694" t="n"/>
      <c r="Y137" s="1095" t="n"/>
    </row>
    <row r="138" hidden="1" outlineLevel="1" ht="15" customHeight="1" s="1085">
      <c r="A138" s="666" t="n">
        <v>289</v>
      </c>
      <c r="B138" s="584" t="inlineStr">
        <is>
          <t>WALL CLADDING</t>
        </is>
      </c>
      <c r="C138" s="33" t="inlineStr">
        <is>
          <t>SELECT CLADDING</t>
        </is>
      </c>
      <c r="D138" s="756">
        <f>IF(NOT(ISBLANK(C138)), ROUNDUP(F133/1000,0), 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584" t="inlineStr">
        <is>
          <t>INFILL PANEL</t>
        </is>
      </c>
      <c r="C139" s="752" t="n"/>
      <c r="D139" s="742" t="inlineStr">
        <is>
          <t>m²</t>
        </is>
      </c>
      <c r="E139" s="749" t="n"/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>
        <f>IF(ISNA(D142),0,(VLOOKUP(D142,'Base Costs'!$Q$4:$R$13,2,FALSE)))</f>
        <v/>
      </c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IF(ISNUMBER(SEARCH("UV",D150)),49.7,71.75)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68">
        <f>N148-N155</f>
        <v/>
      </c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731" t="inlineStr">
        <is>
          <t>SPECIAL WORKS</t>
        </is>
      </c>
      <c r="C152" s="752" t="inlineStr">
        <is>
          <t>SELECT WORKS</t>
        </is>
      </c>
      <c r="D152" s="735" t="n"/>
      <c r="E152" s="753">
        <f>IF(C152="","",VLOOKUP(C152,CCBASE!$A$53:$D$73,4,FALSE))</f>
        <v/>
      </c>
      <c r="F152" s="754" t="n"/>
      <c r="G152" s="749" t="n"/>
      <c r="H152" s="750" t="n"/>
      <c r="I152" s="755" t="n"/>
      <c r="J152" s="736">
        <f>IF(C152="",0,VLOOKUP(C152,CCBASE!$A$53:$C$73,2,FALSE))</f>
        <v/>
      </c>
      <c r="K152" s="737">
        <f>J152*D152</f>
        <v/>
      </c>
      <c r="L152" s="738" t="n">
        <v>0.44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584" t="inlineStr">
        <is>
          <t>SPECIAL WORKS</t>
        </is>
      </c>
      <c r="C153" s="33" t="inlineStr">
        <is>
          <t>SELECT WORKS</t>
        </is>
      </c>
      <c r="D153" s="735" t="n"/>
      <c r="E153" s="753">
        <f>IF(C153="","",VLOOKUP(C153,CCBASE!$A$53:$D$73,4,FALSE))</f>
        <v/>
      </c>
      <c r="F153" s="754" t="n"/>
      <c r="G153" s="749" t="n"/>
      <c r="H153" s="750" t="n"/>
      <c r="I153" s="755" t="n"/>
      <c r="J153" s="736">
        <f>IF(C153="",0,VLOOKUP(C153,CCBASE!$A$53:$C$73,2,FALSE))</f>
        <v/>
      </c>
      <c r="K153" s="737">
        <f>J153*D153</f>
        <v/>
      </c>
      <c r="L153" s="738" t="n">
        <v>0.44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991" t="inlineStr">
        <is>
          <t>SPECIAL WORKS</t>
        </is>
      </c>
      <c r="C154" s="992" t="inlineStr">
        <is>
          <t>BIM/ REVIT per CANOPY</t>
        </is>
      </c>
      <c r="D154" s="980" t="n"/>
      <c r="E154" s="981">
        <f>IF(C154="","",VLOOKUP(C154,CCBASE!$A$53:$D$73,4,FALSE))</f>
        <v/>
      </c>
      <c r="F154" s="982" t="n"/>
      <c r="G154" s="977" t="n"/>
      <c r="H154" s="983" t="n"/>
      <c r="I154" s="984" t="n"/>
      <c r="J154" s="985">
        <f>IF(C154="",0,VLOOKUP(C154,CCBASE!$A$53:$C$73,2,FALSE))</f>
        <v/>
      </c>
      <c r="K154" s="986">
        <f>J154*D154</f>
        <v/>
      </c>
      <c r="L154" s="987" t="n">
        <v>0.44</v>
      </c>
      <c r="M154" s="988">
        <f>K154/(1-L154)*(1+$C$9)</f>
        <v/>
      </c>
      <c r="N154" s="986">
        <f>M154*VLOOKUP($B$9,'Base Costs'!$A$32:$B$37,2,FALSE)</f>
        <v/>
      </c>
      <c r="O154" s="989">
        <f>M154-K154</f>
        <v/>
      </c>
      <c r="P154" s="990" t="inlineStr">
        <is>
          <t>always include</t>
        </is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IF(NOT(ISBLANK(C155)), ROUNDUP(F150/1000,0), 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>
        <f>IF(ISNA(D159),0,(VLOOKUP(D159,'Base Costs'!$Q$4:$R$13,2,FALSE)))</f>
        <v/>
      </c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IF(ISNUMBER(SEARCH("UV",D167)),49.7,71.75)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68">
        <f>N165-N172</f>
        <v/>
      </c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731" t="inlineStr">
        <is>
          <t>SPECIAL WORKS</t>
        </is>
      </c>
      <c r="C169" s="752" t="inlineStr">
        <is>
          <t>SELECT WORKS</t>
        </is>
      </c>
      <c r="D169" s="735" t="n"/>
      <c r="E169" s="753">
        <f>IF(C169="","",VLOOKUP(C169,CCBASE!$A$53:$D$73,4,FALSE))</f>
        <v/>
      </c>
      <c r="F169" s="754" t="n"/>
      <c r="G169" s="749" t="n"/>
      <c r="H169" s="750" t="n"/>
      <c r="I169" s="755" t="n"/>
      <c r="J169" s="736">
        <f>IF(C169="",0,VLOOKUP(C169,CCBASE!$A$53:$C$73,2,FALSE))</f>
        <v/>
      </c>
      <c r="K169" s="737">
        <f>J169*D169</f>
        <v/>
      </c>
      <c r="L169" s="738" t="n">
        <v>0.44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584" t="inlineStr">
        <is>
          <t>SPECIAL WORKS</t>
        </is>
      </c>
      <c r="C170" s="33" t="inlineStr">
        <is>
          <t>SELECT WORKS</t>
        </is>
      </c>
      <c r="D170" s="735" t="n"/>
      <c r="E170" s="753">
        <f>IF(C170="","",VLOOKUP(C170,CCBASE!$A$53:$D$73,4,FALSE))</f>
        <v/>
      </c>
      <c r="F170" s="754" t="n"/>
      <c r="G170" s="749" t="n"/>
      <c r="H170" s="750" t="n"/>
      <c r="I170" s="755" t="n"/>
      <c r="J170" s="736">
        <f>IF(C170="",0,VLOOKUP(C170,CCBASE!$A$53:$C$73,2,FALSE))</f>
        <v/>
      </c>
      <c r="K170" s="737">
        <f>J170*D170</f>
        <v/>
      </c>
      <c r="L170" s="738" t="n">
        <v>0.44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991" t="inlineStr">
        <is>
          <t>SPECIAL WORKS</t>
        </is>
      </c>
      <c r="C171" s="992" t="inlineStr">
        <is>
          <t>BIM/ REVIT per CANOPY</t>
        </is>
      </c>
      <c r="D171" s="980" t="n"/>
      <c r="E171" s="981">
        <f>IF(C171="","",VLOOKUP(C171,CCBASE!$A$53:$D$73,4,FALSE))</f>
        <v/>
      </c>
      <c r="F171" s="982" t="n"/>
      <c r="G171" s="977" t="n"/>
      <c r="H171" s="983" t="n"/>
      <c r="I171" s="984" t="n"/>
      <c r="J171" s="985">
        <f>IF(C171="",0,VLOOKUP(C171,CCBASE!$A$53:$C$73,2,FALSE))</f>
        <v/>
      </c>
      <c r="K171" s="986">
        <f>J171*D171</f>
        <v/>
      </c>
      <c r="L171" s="987" t="n">
        <v>0.44</v>
      </c>
      <c r="M171" s="988">
        <f>K171/(1-L171)*(1+$C$9)</f>
        <v/>
      </c>
      <c r="N171" s="986">
        <f>M171*VLOOKUP($B$9,'Base Costs'!$A$32:$B$37,2,FALSE)</f>
        <v/>
      </c>
      <c r="O171" s="989">
        <f>M171-K171</f>
        <v/>
      </c>
      <c r="P171" s="990" t="inlineStr">
        <is>
          <t>always include</t>
        </is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IF(NOT(ISBLANK(C172)), ROUNDUP(F167/1000,0), 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>
        <f>IF(ISNA(D176),0,(VLOOKUP(D176,'Base Costs'!$Q$4:$R$13,2,FALSE)))</f>
        <v/>
      </c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10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P182" s="1068">
        <f>N182-N193</f>
        <v/>
      </c>
      <c r="S182" s="694" t="n"/>
    </row>
    <row r="183" ht="15" customHeight="1" s="1085">
      <c r="A183" s="666" t="n">
        <v>222</v>
      </c>
      <c r="B183" s="589" t="inlineStr">
        <is>
          <t>DELIVERY 1 x 7.5T TAIL LIFT 3200KGS</t>
        </is>
      </c>
      <c r="C183" s="774" t="n"/>
      <c r="D183" s="775" t="inlineStr">
        <is>
          <t>SELECT LOCATION…</t>
        </is>
      </c>
      <c r="E183" s="1111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Q183" s="745" t="n"/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/>
      <c r="D184" s="775" t="inlineStr">
        <is>
          <t>PLANT SELECTION (weekly)</t>
        </is>
      </c>
      <c r="E184" s="1108" t="inlineStr">
        <is>
          <t>Install of 6no Pieces of Canopy Max</t>
        </is>
      </c>
      <c r="G184" s="748" t="n"/>
      <c r="H184" s="748" t="n"/>
      <c r="I184" s="748" t="n"/>
      <c r="J184" s="776">
        <f>VLOOKUP(D184,'Base Costs'!$A$3:$B$15,2,FALSE)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269" t="inlineStr">
        <is>
          <t xml:space="preserve">PLANT HIRE </t>
        </is>
      </c>
      <c r="C185" s="777" t="n"/>
      <c r="D185" s="775" t="inlineStr">
        <is>
          <t>PLANT SELECTION (weekly)</t>
        </is>
      </c>
      <c r="E185" s="1108" t="inlineStr">
        <is>
          <t>Install of 6no Pieces of Canopy Max</t>
        </is>
      </c>
      <c r="G185" s="748" t="n"/>
      <c r="H185" s="748" t="n"/>
      <c r="I185" s="748" t="n"/>
      <c r="J185" s="776">
        <f>VLOOKUP(D185,'Base Costs'!$A$3:$B$15,2,FALSE)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S185" s="694" t="n"/>
    </row>
    <row r="186" ht="15" customHeight="1" s="1085">
      <c r="A186" s="666" t="n">
        <v>222</v>
      </c>
      <c r="B186" s="270" t="n"/>
      <c r="C186" s="946" t="n"/>
      <c r="D186" s="775" t="inlineStr">
        <is>
          <t>SELECT LOCATION…</t>
        </is>
      </c>
      <c r="E186" s="1109" t="n"/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610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>
        <f>ROUNDUP((IF(C14="WALL",(F14/1000),(F14/1000)*2)+IF(C31="WALL",(F31/1000),(F31/1000)*2)+IF(C48="WALL",(F48/1000),(F48/1000)*2)+IF(C65="WALL",(F65/1000),(F65/1000)*2)+IF(C82="WALL",(F82/1000),(F82/1000)*2)+IF(C99="WALL",(F99/1000),(F99/1000)*2)+IF(C116="WALL",(F116/1000),(F116/1000)*2)+IF(C133="WALL",(F133/1000),(F133/1000)*2)+IF(C150="WALL",(F150/1000),(F150/1000)*2)+IF(C167="WALL",(F167/1000),(F167/1000)*2)),0)</f>
        <v/>
      </c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731" t="inlineStr">
        <is>
          <t>INSTALLATION NORMAL HOURS</t>
        </is>
      </c>
      <c r="C189" s="777" t="n"/>
      <c r="D189" s="1102" t="inlineStr">
        <is>
          <t>2 Pieces = 1 Day, 4 Pieces = 1.5 Days, 6 Pieces = 2 Days, 8 Pieces = 2.5 Days (1 Section up to 3m long equals 2 Pieces) + logistics</t>
        </is>
      </c>
      <c r="J189" s="776" t="n">
        <v>610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S189" s="694" t="n"/>
    </row>
    <row r="190" ht="15" customHeight="1" s="1085">
      <c r="A190" s="666" t="n">
        <v>400</v>
      </c>
      <c r="B190" s="731" t="inlineStr">
        <is>
          <t>INSTALLATION AFTER HOURS</t>
        </is>
      </c>
      <c r="C190" s="777" t="n"/>
      <c r="D190" s="1102" t="inlineStr">
        <is>
          <t>2 Pieces = 1 Day, 4 Pieces = 1.5 Days, 6 Pieces = 2 Days, 8 Pieces = 2.5 Days (1 Section up to 3m long equals 2 Pieces) + logistics</t>
        </is>
      </c>
      <c r="J190" s="776" t="n">
        <v>1220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610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220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15" t="inlineStr">
        <is>
          <t>ONE Engineer,  1 day per 4no UV or W/W Sections of Canopy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9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09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20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2">
    <mergeCell ref="B203:O203"/>
    <mergeCell ref="H91:I91"/>
    <mergeCell ref="D189:I189"/>
    <mergeCell ref="E121:F121"/>
    <mergeCell ref="H38:I38"/>
    <mergeCell ref="H125:I125"/>
    <mergeCell ref="B200:O200"/>
    <mergeCell ref="D194:F194"/>
    <mergeCell ref="G186:I186"/>
    <mergeCell ref="C5:D5"/>
    <mergeCell ref="H55:I55"/>
    <mergeCell ref="D197:F197"/>
    <mergeCell ref="B182:G182"/>
    <mergeCell ref="B202:O202"/>
    <mergeCell ref="E185:F185"/>
    <mergeCell ref="H40:I40"/>
    <mergeCell ref="H74:I74"/>
    <mergeCell ref="H176:I176"/>
    <mergeCell ref="H56:I56"/>
    <mergeCell ref="P7:R7"/>
    <mergeCell ref="E35:F35"/>
    <mergeCell ref="H39:I39"/>
    <mergeCell ref="G9:J9"/>
    <mergeCell ref="E87:F87"/>
    <mergeCell ref="H21:I21"/>
    <mergeCell ref="H73:I73"/>
    <mergeCell ref="H157:I157"/>
    <mergeCell ref="D195:E195"/>
    <mergeCell ref="D193:F193"/>
    <mergeCell ref="E138:F138"/>
    <mergeCell ref="B204:O204"/>
    <mergeCell ref="E19:F19"/>
    <mergeCell ref="H142:I142"/>
    <mergeCell ref="E155:F155"/>
    <mergeCell ref="H89:I89"/>
    <mergeCell ref="H123:I123"/>
    <mergeCell ref="G5:J5"/>
    <mergeCell ref="B1:C1"/>
    <mergeCell ref="E9:F9"/>
    <mergeCell ref="H108:I108"/>
    <mergeCell ref="E186:F186"/>
    <mergeCell ref="H175:I175"/>
    <mergeCell ref="G183:I183"/>
    <mergeCell ref="E104:F104"/>
    <mergeCell ref="H72:I72"/>
    <mergeCell ref="H90:I90"/>
    <mergeCell ref="H174:I174"/>
    <mergeCell ref="B205:O205"/>
    <mergeCell ref="H57:I57"/>
    <mergeCell ref="E36:F36"/>
    <mergeCell ref="G7:J7"/>
    <mergeCell ref="H159:I159"/>
    <mergeCell ref="H22:I22"/>
    <mergeCell ref="E70:F70"/>
    <mergeCell ref="H140:I140"/>
    <mergeCell ref="H158:I158"/>
    <mergeCell ref="D196:E196"/>
    <mergeCell ref="E172:F172"/>
    <mergeCell ref="C7:D7"/>
    <mergeCell ref="D190:I190"/>
    <mergeCell ref="G3:J3"/>
    <mergeCell ref="E183:F183"/>
    <mergeCell ref="H124:I124"/>
    <mergeCell ref="B201:O201"/>
    <mergeCell ref="E53:F53"/>
    <mergeCell ref="H107:I107"/>
    <mergeCell ref="H23:I23"/>
    <mergeCell ref="H141:I141"/>
    <mergeCell ref="E184:F184"/>
    <mergeCell ref="C3:D3"/>
    <mergeCell ref="P5:T5"/>
    <mergeCell ref="H106:I106"/>
  </mergeCells>
  <conditionalFormatting sqref="B9">
    <cfRule type="containsText" priority="5644" operator="containsText" dxfId="680" text="SELECT">
      <formula>NOT(ISERROR(SEARCH("SELECT",B9)))</formula>
    </cfRule>
    <cfRule type="expression" priority="5645" dxfId="680">
      <formula>B9="CURRENCY"</formula>
    </cfRule>
  </conditionalFormatting>
  <conditionalFormatting sqref="B11">
    <cfRule type="expression" priority="2523" dxfId="637">
      <formula>$B11&lt;&gt;""</formula>
    </cfRule>
  </conditionalFormatting>
  <conditionalFormatting sqref="B14:B23">
    <cfRule type="expression" priority="1821" dxfId="633">
      <formula>$J14&gt;0</formula>
    </cfRule>
  </conditionalFormatting>
  <conditionalFormatting sqref="B24">
    <cfRule type="expression" priority="1364" dxfId="633">
      <formula>ISNUMBER(SEARCH("UV",$D14))</formula>
    </cfRule>
    <cfRule type="expression" priority="1365" dxfId="358">
      <formula>($D14="CANOPY TYPE")</formula>
    </cfRule>
  </conditionalFormatting>
  <conditionalFormatting sqref="B25:B27">
    <cfRule type="expression" priority="660" dxfId="633">
      <formula>$J25&gt;0</formula>
    </cfRule>
  </conditionalFormatting>
  <conditionalFormatting sqref="B28">
    <cfRule type="expression" priority="2431" dxfId="637">
      <formula>$B28&lt;&gt;""</formula>
    </cfRule>
  </conditionalFormatting>
  <conditionalFormatting sqref="B31:B40">
    <cfRule type="expression" priority="478" dxfId="633">
      <formula>$J31&gt;0</formula>
    </cfRule>
  </conditionalFormatting>
  <conditionalFormatting sqref="B41">
    <cfRule type="expression" priority="1237" dxfId="633">
      <formula>ISNUMBER(SEARCH("UV",$D31))</formula>
    </cfRule>
    <cfRule type="expression" priority="1238" dxfId="358">
      <formula>($D31="CANOPY TYPE")</formula>
    </cfRule>
  </conditionalFormatting>
  <conditionalFormatting sqref="B42:B44">
    <cfRule type="expression" priority="1239" dxfId="633">
      <formula>$J42&gt;0</formula>
    </cfRule>
  </conditionalFormatting>
  <conditionalFormatting sqref="B45">
    <cfRule type="expression" priority="2430" dxfId="637">
      <formula>$B45&lt;&gt;""</formula>
    </cfRule>
  </conditionalFormatting>
  <conditionalFormatting sqref="B48:B57">
    <cfRule type="expression" priority="103" dxfId="633">
      <formula>$J48&gt;0</formula>
    </cfRule>
  </conditionalFormatting>
  <conditionalFormatting sqref="B58">
    <cfRule type="expression" priority="1147" dxfId="358">
      <formula>($D48="CANOPY TYPE")</formula>
    </cfRule>
    <cfRule type="expression" priority="1146" dxfId="633">
      <formula>ISNUMBER(SEARCH("UV",$D48))</formula>
    </cfRule>
  </conditionalFormatting>
  <conditionalFormatting sqref="B59:B61">
    <cfRule type="expression" priority="659" dxfId="633">
      <formula>$J59&gt;0</formula>
    </cfRule>
  </conditionalFormatting>
  <conditionalFormatting sqref="B62">
    <cfRule type="expression" priority="2429" dxfId="637">
      <formula>$B62&lt;&gt;""</formula>
    </cfRule>
  </conditionalFormatting>
  <conditionalFormatting sqref="B65:B74">
    <cfRule type="expression" priority="89" dxfId="633">
      <formula>$J65&gt;0</formula>
    </cfRule>
  </conditionalFormatting>
  <conditionalFormatting sqref="B75">
    <cfRule type="expression" priority="1055" dxfId="633">
      <formula>ISNUMBER(SEARCH("UV",$D65))</formula>
    </cfRule>
    <cfRule type="expression" priority="1056" dxfId="358">
      <formula>($D65="CANOPY TYPE")</formula>
    </cfRule>
  </conditionalFormatting>
  <conditionalFormatting sqref="B76:B78">
    <cfRule type="expression" priority="658" dxfId="633">
      <formula>$J76&gt;0</formula>
    </cfRule>
  </conditionalFormatting>
  <conditionalFormatting sqref="B79">
    <cfRule type="expression" priority="2428" dxfId="637">
      <formula>$B79&lt;&gt;""</formula>
    </cfRule>
  </conditionalFormatting>
  <conditionalFormatting sqref="B82:B91">
    <cfRule type="expression" priority="75" dxfId="633">
      <formula>$J82&gt;0</formula>
    </cfRule>
  </conditionalFormatting>
  <conditionalFormatting sqref="B92">
    <cfRule type="expression" priority="964" dxfId="633">
      <formula>ISNUMBER(SEARCH("UV",$D82))</formula>
    </cfRule>
    <cfRule type="expression" priority="965" dxfId="358">
      <formula>($D82="CANOPY TYPE")</formula>
    </cfRule>
  </conditionalFormatting>
  <conditionalFormatting sqref="B93:B95">
    <cfRule type="expression" priority="657" dxfId="633">
      <formula>$J93&gt;0</formula>
    </cfRule>
  </conditionalFormatting>
  <conditionalFormatting sqref="B96">
    <cfRule type="expression" priority="2427" dxfId="637">
      <formula>$B96&lt;&gt;""</formula>
    </cfRule>
  </conditionalFormatting>
  <conditionalFormatting sqref="B99:B108">
    <cfRule type="expression" priority="61" dxfId="633">
      <formula>$J99&gt;0</formula>
    </cfRule>
  </conditionalFormatting>
  <conditionalFormatting sqref="B109">
    <cfRule type="expression" priority="874" dxfId="358">
      <formula>($D99="CANOPY TYPE")</formula>
    </cfRule>
    <cfRule type="expression" priority="873" dxfId="633">
      <formula>ISNUMBER(SEARCH("UV",$D99))</formula>
    </cfRule>
  </conditionalFormatting>
  <conditionalFormatting sqref="B110:B112 B127:B129 B144:B146 B161:B163 B178:B180">
    <cfRule type="expression" priority="655" dxfId="633">
      <formula>$J110&gt;0</formula>
    </cfRule>
  </conditionalFormatting>
  <conditionalFormatting sqref="B113">
    <cfRule type="expression" priority="366" dxfId="637">
      <formula>$B113&lt;&gt;""</formula>
    </cfRule>
  </conditionalFormatting>
  <conditionalFormatting sqref="B116:B125">
    <cfRule type="expression" priority="47" dxfId="633">
      <formula>$J116&gt;0</formula>
    </cfRule>
  </conditionalFormatting>
  <conditionalFormatting sqref="B126">
    <cfRule type="expression" priority="324" dxfId="633">
      <formula>ISNUMBER(SEARCH("UV",$D116))</formula>
    </cfRule>
    <cfRule type="expression" priority="325" dxfId="358">
      <formula>($D116="CANOPY TYPE")</formula>
    </cfRule>
  </conditionalFormatting>
  <conditionalFormatting sqref="B130">
    <cfRule type="expression" priority="280" dxfId="637">
      <formula>$B130&lt;&gt;""</formula>
    </cfRule>
  </conditionalFormatting>
  <conditionalFormatting sqref="B133:B142">
    <cfRule type="expression" priority="33" dxfId="633">
      <formula>$J133&gt;0</formula>
    </cfRule>
  </conditionalFormatting>
  <conditionalFormatting sqref="B143">
    <cfRule type="expression" priority="253" dxfId="358">
      <formula>($D133="CANOPY TYPE")</formula>
    </cfRule>
    <cfRule type="expression" priority="252" dxfId="633">
      <formula>ISNUMBER(SEARCH("UV",$D133))</formula>
    </cfRule>
  </conditionalFormatting>
  <conditionalFormatting sqref="B147">
    <cfRule type="expression" priority="224" dxfId="637">
      <formula>$B147&lt;&gt;""</formula>
    </cfRule>
  </conditionalFormatting>
  <conditionalFormatting sqref="B150:B159">
    <cfRule type="expression" priority="19" dxfId="633">
      <formula>$J150&gt;0</formula>
    </cfRule>
  </conditionalFormatting>
  <conditionalFormatting sqref="B160">
    <cfRule type="expression" priority="197" dxfId="358">
      <formula>($D150="CANOPY TYPE")</formula>
    </cfRule>
    <cfRule type="expression" priority="196" dxfId="633">
      <formula>ISNUMBER(SEARCH("UV",$D150))</formula>
    </cfRule>
  </conditionalFormatting>
  <conditionalFormatting sqref="B164">
    <cfRule type="expression" priority="168" dxfId="637">
      <formula>$B164&lt;&gt;""</formula>
    </cfRule>
  </conditionalFormatting>
  <conditionalFormatting sqref="B167:B176">
    <cfRule type="expression" priority="5" dxfId="633">
      <formula>$J167&gt;0</formula>
    </cfRule>
  </conditionalFormatting>
  <conditionalFormatting sqref="B177">
    <cfRule type="expression" priority="140" dxfId="633">
      <formula>ISNUMBER(SEARCH("UV",$D167))</formula>
    </cfRule>
    <cfRule type="expression" priority="141" dxfId="358">
      <formula>($D167="CANOPY TYPE")</formula>
    </cfRule>
  </conditionalFormatting>
  <conditionalFormatting sqref="B183:B197">
    <cfRule type="expression" priority="1815" dxfId="633">
      <formula>$C183&gt;0</formula>
    </cfRule>
  </conditionalFormatting>
  <conditionalFormatting sqref="C14">
    <cfRule type="containsText" priority="600" operator="containsText" dxfId="204" text="CONFIG">
      <formula>NOT(ISERROR(SEARCH("CONFIG",C14)))</formula>
    </cfRule>
  </conditionalFormatting>
  <conditionalFormatting sqref="C15">
    <cfRule type="containsText" priority="615" operator="containsText" dxfId="561" text="LIGHT SELECTION">
      <formula>NOT(ISERROR(SEARCH("LIGHT SELECTION",C15)))</formula>
    </cfRule>
  </conditionalFormatting>
  <conditionalFormatting sqref="C20:C21">
    <cfRule type="cellIs" priority="5698" operator="lessThan" dxfId="561">
      <formula>1</formula>
    </cfRule>
  </conditionalFormatting>
  <conditionalFormatting sqref="C22:C23">
    <cfRule type="expression" priority="501" dxfId="383">
      <formula>D22="WW PODS"</formula>
    </cfRule>
  </conditionalFormatting>
  <conditionalFormatting sqref="C24">
    <cfRule type="expression" priority="5724" dxfId="559">
      <formula>ISNUMBER(SEARCH("UV",D14))</formula>
    </cfRule>
  </conditionalFormatting>
  <conditionalFormatting sqref="C25">
    <cfRule type="expression" priority="5573" dxfId="472">
      <formula>(ISNUMBER(SEARCH("CMW",D14)))=TRUE</formula>
    </cfRule>
  </conditionalFormatting>
  <conditionalFormatting sqref="C26">
    <cfRule type="expression" priority="5572" dxfId="472">
      <formula>(ISNUMBER(SEARCH("CMW",D14)))=TRUE</formula>
    </cfRule>
  </conditionalFormatting>
  <conditionalFormatting sqref="C27">
    <cfRule type="expression" priority="2424" dxfId="472">
      <formula>(ISNUMBER(SEARCH("CMW",$D14)))=TRUE</formula>
    </cfRule>
  </conditionalFormatting>
  <conditionalFormatting sqref="C31">
    <cfRule type="containsText" priority="1292" operator="containsText" dxfId="204" text="CONFIG">
      <formula>NOT(ISERROR(SEARCH("CONFIG",C31)))</formula>
    </cfRule>
  </conditionalFormatting>
  <conditionalFormatting sqref="C32">
    <cfRule type="containsText" priority="634" operator="containsText" dxfId="561" text="LIGHT SELECTION">
      <formula>NOT(ISERROR(SEARCH("LIGHT SELECTION",C32)))</formula>
    </cfRule>
  </conditionalFormatting>
  <conditionalFormatting sqref="C37:C38">
    <cfRule type="cellIs" priority="1287" operator="lessThan" dxfId="561">
      <formula>1</formula>
    </cfRule>
  </conditionalFormatting>
  <conditionalFormatting sqref="C39:C40">
    <cfRule type="expression" priority="477" dxfId="383">
      <formula>D39="WW PODS"</formula>
    </cfRule>
  </conditionalFormatting>
  <conditionalFormatting sqref="C41">
    <cfRule type="expression" priority="1309" dxfId="559">
      <formula>ISNUMBER(SEARCH("UV",D31))</formula>
    </cfRule>
  </conditionalFormatting>
  <conditionalFormatting sqref="C42">
    <cfRule type="expression" priority="1278" dxfId="472">
      <formula>(ISNUMBER(SEARCH("CMW",D31)))=TRUE</formula>
    </cfRule>
  </conditionalFormatting>
  <conditionalFormatting sqref="C43">
    <cfRule type="expression" priority="855" dxfId="472">
      <formula>(ISNUMBER(SEARCH("CMW",D31)))=TRUE</formula>
    </cfRule>
  </conditionalFormatting>
  <conditionalFormatting sqref="C44">
    <cfRule type="expression" priority="1241" dxfId="472">
      <formula>(ISNUMBER(SEARCH("CMW",$D31)))=TRUE</formula>
    </cfRule>
  </conditionalFormatting>
  <conditionalFormatting sqref="C48">
    <cfRule type="containsText" priority="1201" operator="containsText" dxfId="204" text="CONFIG">
      <formula>NOT(ISERROR(SEARCH("CONFIG",C48)))</formula>
    </cfRule>
  </conditionalFormatting>
  <conditionalFormatting sqref="C49">
    <cfRule type="containsText" priority="613" operator="containsText" dxfId="561" text="LIGHT SELECTION">
      <formula>NOT(ISERROR(SEARCH("LIGHT SELECTION",C49)))</formula>
    </cfRule>
  </conditionalFormatting>
  <conditionalFormatting sqref="C54:C55">
    <cfRule type="cellIs" priority="1196" operator="lessThan" dxfId="561">
      <formula>1</formula>
    </cfRule>
  </conditionalFormatting>
  <conditionalFormatting sqref="C56:C57">
    <cfRule type="expression" priority="451" dxfId="383">
      <formula>D56="WW PODS"</formula>
    </cfRule>
  </conditionalFormatting>
  <conditionalFormatting sqref="C58">
    <cfRule type="expression" priority="1218" dxfId="559">
      <formula>ISNUMBER(SEARCH("UV",D48))</formula>
    </cfRule>
  </conditionalFormatting>
  <conditionalFormatting sqref="C59">
    <cfRule type="expression" priority="1187" dxfId="472">
      <formula>(ISNUMBER(SEARCH("CMW",D48)))=TRUE</formula>
    </cfRule>
  </conditionalFormatting>
  <conditionalFormatting sqref="C60">
    <cfRule type="expression" priority="853" dxfId="472">
      <formula>(ISNUMBER(SEARCH("CMW",D48)))=TRUE</formula>
    </cfRule>
  </conditionalFormatting>
  <conditionalFormatting sqref="C61">
    <cfRule type="expression" priority="1150" dxfId="472">
      <formula>(ISNUMBER(SEARCH("CMW",$D48)))=TRUE</formula>
    </cfRule>
  </conditionalFormatting>
  <conditionalFormatting sqref="C65">
    <cfRule type="containsText" priority="1110" operator="containsText" dxfId="204" text="CONFIG">
      <formula>NOT(ISERROR(SEARCH("CONFIG",C65)))</formula>
    </cfRule>
  </conditionalFormatting>
  <conditionalFormatting sqref="C66">
    <cfRule type="containsText" priority="612" operator="containsText" dxfId="561" text="LIGHT SELECTION">
      <formula>NOT(ISERROR(SEARCH("LIGHT SELECTION",C66)))</formula>
    </cfRule>
  </conditionalFormatting>
  <conditionalFormatting sqref="C71:C72">
    <cfRule type="cellIs" priority="1105" operator="lessThan" dxfId="561">
      <formula>1</formula>
    </cfRule>
  </conditionalFormatting>
  <conditionalFormatting sqref="C73:C74">
    <cfRule type="expression" priority="425" dxfId="383">
      <formula>D73="WW PODS"</formula>
    </cfRule>
  </conditionalFormatting>
  <conditionalFormatting sqref="C75">
    <cfRule type="expression" priority="1127" dxfId="559">
      <formula>ISNUMBER(SEARCH("UV",D65))</formula>
    </cfRule>
  </conditionalFormatting>
  <conditionalFormatting sqref="C76">
    <cfRule type="expression" priority="1096" dxfId="472">
      <formula>(ISNUMBER(SEARCH("CMW",D65)))=TRUE</formula>
    </cfRule>
  </conditionalFormatting>
  <conditionalFormatting sqref="C77">
    <cfRule type="expression" priority="851" dxfId="472">
      <formula>(ISNUMBER(SEARCH("CMW",D65)))=TRUE</formula>
    </cfRule>
  </conditionalFormatting>
  <conditionalFormatting sqref="C78">
    <cfRule type="expression" priority="1059" dxfId="472">
      <formula>(ISNUMBER(SEARCH("CMW",$D65)))=TRUE</formula>
    </cfRule>
  </conditionalFormatting>
  <conditionalFormatting sqref="C82">
    <cfRule type="containsText" priority="1019" operator="containsText" dxfId="204" text="CONFIG">
      <formula>NOT(ISERROR(SEARCH("CONFIG",C82)))</formula>
    </cfRule>
  </conditionalFormatting>
  <conditionalFormatting sqref="C83">
    <cfRule type="containsText" priority="610" operator="containsText" dxfId="561" text="LIGHT SELECTION">
      <formula>NOT(ISERROR(SEARCH("LIGHT SELECTION",C83)))</formula>
    </cfRule>
  </conditionalFormatting>
  <conditionalFormatting sqref="C88:C89">
    <cfRule type="cellIs" priority="1014" operator="lessThan" dxfId="561">
      <formula>1</formula>
    </cfRule>
  </conditionalFormatting>
  <conditionalFormatting sqref="C90:C91">
    <cfRule type="expression" priority="399" dxfId="383">
      <formula>D90="WW PODS"</formula>
    </cfRule>
  </conditionalFormatting>
  <conditionalFormatting sqref="C92">
    <cfRule type="expression" priority="1036" dxfId="559">
      <formula>ISNUMBER(SEARCH("UV",D82))</formula>
    </cfRule>
  </conditionalFormatting>
  <conditionalFormatting sqref="C93">
    <cfRule type="expression" priority="1005" dxfId="472">
      <formula>(ISNUMBER(SEARCH("CMW",D82)))=TRUE</formula>
    </cfRule>
  </conditionalFormatting>
  <conditionalFormatting sqref="C94">
    <cfRule type="expression" priority="850" dxfId="472">
      <formula>(ISNUMBER(SEARCH("CMW",D82)))=TRUE</formula>
    </cfRule>
  </conditionalFormatting>
  <conditionalFormatting sqref="C95">
    <cfRule type="expression" priority="968" dxfId="472">
      <formula>(ISNUMBER(SEARCH("CMW",$D82)))=TRUE</formula>
    </cfRule>
  </conditionalFormatting>
  <conditionalFormatting sqref="C99">
    <cfRule type="containsText" priority="928" operator="containsText" dxfId="204" text="CONFIG">
      <formula>NOT(ISERROR(SEARCH("CONFIG",C99)))</formula>
    </cfRule>
  </conditionalFormatting>
  <conditionalFormatting sqref="C100">
    <cfRule type="containsText" priority="609" operator="containsText" dxfId="561" text="LIGHT SELECTION">
      <formula>NOT(ISERROR(SEARCH("LIGHT SELECTION",C100)))</formula>
    </cfRule>
  </conditionalFormatting>
  <conditionalFormatting sqref="C105:C106">
    <cfRule type="cellIs" priority="923" operator="lessThan" dxfId="561">
      <formula>1</formula>
    </cfRule>
  </conditionalFormatting>
  <conditionalFormatting sqref="C107:C108">
    <cfRule type="expression" priority="373" dxfId="383">
      <formula>D107="WW PODS"</formula>
    </cfRule>
  </conditionalFormatting>
  <conditionalFormatting sqref="C109">
    <cfRule type="expression" priority="945" dxfId="559">
      <formula>ISNUMBER(SEARCH("UV",D99))</formula>
    </cfRule>
  </conditionalFormatting>
  <conditionalFormatting sqref="C110">
    <cfRule type="expression" priority="914" dxfId="472">
      <formula>(ISNUMBER(SEARCH("CMW",D99)))=TRUE</formula>
    </cfRule>
  </conditionalFormatting>
  <conditionalFormatting sqref="C111">
    <cfRule type="expression" priority="848" dxfId="472">
      <formula>(ISNUMBER(SEARCH("CMW",D99)))=TRUE</formula>
    </cfRule>
  </conditionalFormatting>
  <conditionalFormatting sqref="C112 C129 C146 C163 C180">
    <cfRule type="expression" priority="877" dxfId="472">
      <formula>(ISNUMBER(SEARCH("CMW",$D99)))=TRUE</formula>
    </cfRule>
  </conditionalFormatting>
  <conditionalFormatting sqref="C116">
    <cfRule type="containsText" priority="337" operator="containsText" dxfId="204" text="CONFIG">
      <formula>NOT(ISERROR(SEARCH("CONFIG",C116)))</formula>
    </cfRule>
  </conditionalFormatting>
  <conditionalFormatting sqref="C117">
    <cfRule type="containsText" priority="315" operator="containsText" dxfId="561" text="LIGHT SELECTION">
      <formula>NOT(ISERROR(SEARCH("LIGHT SELECTION",C117)))</formula>
    </cfRule>
  </conditionalFormatting>
  <conditionalFormatting sqref="C122:C123">
    <cfRule type="cellIs" priority="336" operator="lessThan" dxfId="561">
      <formula>1</formula>
    </cfRule>
  </conditionalFormatting>
  <conditionalFormatting sqref="C124:C125">
    <cfRule type="expression" priority="291" dxfId="383">
      <formula>D124="WW PODS"</formula>
    </cfRule>
  </conditionalFormatting>
  <conditionalFormatting sqref="C126">
    <cfRule type="expression" priority="351" dxfId="559">
      <formula>ISNUMBER(SEARCH("UV",D116))</formula>
    </cfRule>
  </conditionalFormatting>
  <conditionalFormatting sqref="C127">
    <cfRule type="expression" priority="331" dxfId="472">
      <formula>(ISNUMBER(SEARCH("CMW",D116)))=TRUE</formula>
    </cfRule>
  </conditionalFormatting>
  <conditionalFormatting sqref="C128">
    <cfRule type="expression" priority="321" dxfId="472">
      <formula>(ISNUMBER(SEARCH("CMW",D116)))=TRUE</formula>
    </cfRule>
  </conditionalFormatting>
  <conditionalFormatting sqref="C133">
    <cfRule type="containsText" priority="261" operator="containsText" dxfId="204" text="CONFIG">
      <formula>NOT(ISERROR(SEARCH("CONFIG",C133)))</formula>
    </cfRule>
  </conditionalFormatting>
  <conditionalFormatting sqref="C134">
    <cfRule type="containsText" priority="244" operator="containsText" dxfId="561" text="LIGHT SELECTION">
      <formula>NOT(ISERROR(SEARCH("LIGHT SELECTION",C134)))</formula>
    </cfRule>
  </conditionalFormatting>
  <conditionalFormatting sqref="C139:C140">
    <cfRule type="cellIs" priority="260" operator="lessThan" dxfId="561">
      <formula>1</formula>
    </cfRule>
  </conditionalFormatting>
  <conditionalFormatting sqref="C141:C142">
    <cfRule type="expression" priority="227" dxfId="383">
      <formula>D141="WW PODS"</formula>
    </cfRule>
  </conditionalFormatting>
  <conditionalFormatting sqref="C143">
    <cfRule type="expression" priority="275" dxfId="559">
      <formula>ISNUMBER(SEARCH("UV",D133))</formula>
    </cfRule>
  </conditionalFormatting>
  <conditionalFormatting sqref="C144">
    <cfRule type="expression" priority="258" dxfId="472">
      <formula>(ISNUMBER(SEARCH("CMW",D133)))=TRUE</formula>
    </cfRule>
  </conditionalFormatting>
  <conditionalFormatting sqref="C145">
    <cfRule type="expression" priority="249" dxfId="472">
      <formula>(ISNUMBER(SEARCH("CMW",D133)))=TRUE</formula>
    </cfRule>
  </conditionalFormatting>
  <conditionalFormatting sqref="C150">
    <cfRule type="containsText" priority="205" operator="containsText" dxfId="204" text="CONFIG">
      <formula>NOT(ISERROR(SEARCH("CONFIG",C150)))</formula>
    </cfRule>
  </conditionalFormatting>
  <conditionalFormatting sqref="C151">
    <cfRule type="containsText" priority="188" operator="containsText" dxfId="561" text="LIGHT SELECTION">
      <formula>NOT(ISERROR(SEARCH("LIGHT SELECTION",C151)))</formula>
    </cfRule>
  </conditionalFormatting>
  <conditionalFormatting sqref="C156:C157">
    <cfRule type="cellIs" priority="204" operator="lessThan" dxfId="561">
      <formula>1</formula>
    </cfRule>
  </conditionalFormatting>
  <conditionalFormatting sqref="C158:C159">
    <cfRule type="expression" priority="171" dxfId="383">
      <formula>D158="WW PODS"</formula>
    </cfRule>
  </conditionalFormatting>
  <conditionalFormatting sqref="C160">
    <cfRule type="expression" priority="219" dxfId="559">
      <formula>ISNUMBER(SEARCH("UV",D150))</formula>
    </cfRule>
  </conditionalFormatting>
  <conditionalFormatting sqref="C161">
    <cfRule type="expression" priority="202" dxfId="472">
      <formula>(ISNUMBER(SEARCH("CMW",D150)))=TRUE</formula>
    </cfRule>
  </conditionalFormatting>
  <conditionalFormatting sqref="C162">
    <cfRule type="expression" priority="193" dxfId="472">
      <formula>(ISNUMBER(SEARCH("CMW",D150)))=TRUE</formula>
    </cfRule>
  </conditionalFormatting>
  <conditionalFormatting sqref="C167">
    <cfRule type="containsText" priority="149" operator="containsText" dxfId="204" text="CONFIG">
      <formula>NOT(ISERROR(SEARCH("CONFIG",C167)))</formula>
    </cfRule>
  </conditionalFormatting>
  <conditionalFormatting sqref="C168">
    <cfRule type="containsText" priority="132" operator="containsText" dxfId="561" text="LIGHT SELECTION">
      <formula>NOT(ISERROR(SEARCH("LIGHT SELECTION",C168)))</formula>
    </cfRule>
  </conditionalFormatting>
  <conditionalFormatting sqref="C173:C174">
    <cfRule type="cellIs" priority="148" operator="lessThan" dxfId="561">
      <formula>1</formula>
    </cfRule>
  </conditionalFormatting>
  <conditionalFormatting sqref="C175:C176">
    <cfRule type="expression" priority="115" dxfId="383">
      <formula>D175="WW PODS"</formula>
    </cfRule>
  </conditionalFormatting>
  <conditionalFormatting sqref="C177">
    <cfRule type="expression" priority="163" dxfId="559">
      <formula>ISNUMBER(SEARCH("UV",D167))</formula>
    </cfRule>
  </conditionalFormatting>
  <conditionalFormatting sqref="C178">
    <cfRule type="expression" priority="146" dxfId="472">
      <formula>(ISNUMBER(SEARCH("CMW",D167)))=TRUE</formula>
    </cfRule>
  </conditionalFormatting>
  <conditionalFormatting sqref="C179">
    <cfRule type="expression" priority="137" dxfId="472">
      <formula>(ISNUMBER(SEARCH("CMW",D167)))=TRUE</formula>
    </cfRule>
  </conditionalFormatting>
  <conditionalFormatting sqref="C183:C184">
    <cfRule type="cellIs" priority="5703" operator="lessThan" dxfId="554">
      <formula>1</formula>
    </cfRule>
  </conditionalFormatting>
  <conditionalFormatting sqref="C185">
    <cfRule type="cellIs" priority="5624" operator="lessThan" dxfId="164">
      <formula>1</formula>
    </cfRule>
  </conditionalFormatting>
  <conditionalFormatting sqref="C186:C197">
    <cfRule type="cellIs" priority="285" operator="lessThan" dxfId="554">
      <formula>1</formula>
    </cfRule>
  </conditionalFormatting>
  <conditionalFormatting sqref="C9:D9">
    <cfRule type="cellIs" priority="5640" operator="lessThan" dxfId="207">
      <formula>0</formula>
    </cfRule>
    <cfRule type="cellIs" priority="5641" operator="greaterThan" dxfId="552">
      <formula>0</formula>
    </cfRule>
  </conditionalFormatting>
  <conditionalFormatting sqref="D14">
    <cfRule type="containsText" priority="5707" operator="containsText" dxfId="164" text="CANOPY TYPE">
      <formula>NOT(ISERROR(SEARCH("CANOPY TYPE",D14)))</formula>
    </cfRule>
  </conditionalFormatting>
  <conditionalFormatting sqref="D15">
    <cfRule type="expression" priority="593" dxfId="206">
      <formula>(C15="LIGHT SELECTION")</formula>
    </cfRule>
  </conditionalFormatting>
  <conditionalFormatting sqref="D16:D18">
    <cfRule type="expression" priority="3405" dxfId="206">
      <formula>($C16="SELECT WORKS")</formula>
    </cfRule>
  </conditionalFormatting>
  <conditionalFormatting sqref="D19">
    <cfRule type="expression" priority="284" dxfId="206">
      <formula>$C19="SELECT CLADDING"</formula>
    </cfRule>
  </conditionalFormatting>
  <conditionalFormatting sqref="D22:D23">
    <cfRule type="expression" priority="498" dxfId="358">
      <formula>($D$14="CANOPY TYPE")</formula>
    </cfRule>
  </conditionalFormatting>
  <conditionalFormatting sqref="D24">
    <cfRule type="expression" priority="5723" dxfId="474">
      <formula>ISNUMBER(SEARCH("UV",D14))</formula>
    </cfRule>
  </conditionalFormatting>
  <conditionalFormatting sqref="D25">
    <cfRule type="expression" priority="1331" dxfId="358">
      <formula>($D$14="CANOPY TYPE")</formula>
    </cfRule>
  </conditionalFormatting>
  <conditionalFormatting sqref="D26">
    <cfRule type="expression" priority="4928" dxfId="472">
      <formula>(ISNUMBER(SEARCH("CMW",D14)))=TRUE</formula>
    </cfRule>
  </conditionalFormatting>
  <conditionalFormatting sqref="D31">
    <cfRule type="containsText" priority="1294" operator="containsText" dxfId="164" text="CANOPY TYPE">
      <formula>NOT(ISERROR(SEARCH("CANOPY TYPE",D31)))</formula>
    </cfRule>
  </conditionalFormatting>
  <conditionalFormatting sqref="D32">
    <cfRule type="expression" priority="642" dxfId="206">
      <formula>(C32="LIGHT SELECTION")</formula>
    </cfRule>
  </conditionalFormatting>
  <conditionalFormatting sqref="D33:D35">
    <cfRule type="expression" priority="1243" dxfId="206">
      <formula>($C33="SELECT WORKS")</formula>
    </cfRule>
  </conditionalFormatting>
  <conditionalFormatting sqref="D36">
    <cfRule type="expression" priority="521" dxfId="206">
      <formula>$C36="SELECT CLADDING"</formula>
    </cfRule>
  </conditionalFormatting>
  <conditionalFormatting sqref="D39:D40">
    <cfRule type="expression" priority="472" dxfId="358">
      <formula>($D$14="CANOPY TYPE")</formula>
    </cfRule>
  </conditionalFormatting>
  <conditionalFormatting sqref="D41">
    <cfRule type="expression" priority="1308" dxfId="474">
      <formula>ISNUMBER(SEARCH("UV",D31))</formula>
    </cfRule>
  </conditionalFormatting>
  <conditionalFormatting sqref="D42">
    <cfRule type="expression" priority="1235" dxfId="358">
      <formula>($D$14="CANOPY TYPE")</formula>
    </cfRule>
  </conditionalFormatting>
  <conditionalFormatting sqref="D43">
    <cfRule type="expression" priority="1256" dxfId="472">
      <formula>(ISNUMBER(SEARCH("CMW",D31)))=TRUE</formula>
    </cfRule>
  </conditionalFormatting>
  <conditionalFormatting sqref="D48">
    <cfRule type="containsText" priority="564" operator="containsText" dxfId="164" text="CANOPY TYPE">
      <formula>NOT(ISERROR(SEARCH("CANOPY TYPE",D48)))</formula>
    </cfRule>
  </conditionalFormatting>
  <conditionalFormatting sqref="D49">
    <cfRule type="expression" priority="618" dxfId="206">
      <formula>(C15="LIGHT SELECTION")</formula>
    </cfRule>
  </conditionalFormatting>
  <conditionalFormatting sqref="D50:D52">
    <cfRule type="expression" priority="111" dxfId="206">
      <formula>($C50="SELECT WORKS")</formula>
    </cfRule>
  </conditionalFormatting>
  <conditionalFormatting sqref="D53">
    <cfRule type="expression" priority="522" dxfId="206">
      <formula>$C53="SELECT CLADDING"</formula>
    </cfRule>
  </conditionalFormatting>
  <conditionalFormatting sqref="D56:D57">
    <cfRule type="expression" priority="446" dxfId="358">
      <formula>($D$14="CANOPY TYPE")</formula>
    </cfRule>
  </conditionalFormatting>
  <conditionalFormatting sqref="D58">
    <cfRule type="expression" priority="1217" dxfId="474">
      <formula>ISNUMBER(SEARCH("UV",D48))</formula>
    </cfRule>
  </conditionalFormatting>
  <conditionalFormatting sqref="D59">
    <cfRule type="expression" priority="1144" dxfId="358">
      <formula>($D$14="CANOPY TYPE")</formula>
    </cfRule>
  </conditionalFormatting>
  <conditionalFormatting sqref="D60">
    <cfRule type="expression" priority="1165" dxfId="472">
      <formula>(ISNUMBER(SEARCH("CMW",D48)))=TRUE</formula>
    </cfRule>
  </conditionalFormatting>
  <conditionalFormatting sqref="D65">
    <cfRule type="containsText" priority="562" operator="containsText" dxfId="164" text="CANOPY TYPE">
      <formula>NOT(ISERROR(SEARCH("CANOPY TYPE",D65)))</formula>
    </cfRule>
  </conditionalFormatting>
  <conditionalFormatting sqref="D66">
    <cfRule type="expression" priority="599" dxfId="206">
      <formula>(C66="LIGHT SELECTION")</formula>
    </cfRule>
  </conditionalFormatting>
  <conditionalFormatting sqref="D67:D69">
    <cfRule type="expression" priority="97" dxfId="206">
      <formula>($C67="SELECT WORKS")</formula>
    </cfRule>
  </conditionalFormatting>
  <conditionalFormatting sqref="D70">
    <cfRule type="expression" priority="1097" dxfId="206">
      <formula>$C70="SELECT CLADDING"</formula>
    </cfRule>
  </conditionalFormatting>
  <conditionalFormatting sqref="D73:D74">
    <cfRule type="expression" priority="420" dxfId="358">
      <formula>($D$14="CANOPY TYPE")</formula>
    </cfRule>
  </conditionalFormatting>
  <conditionalFormatting sqref="D75">
    <cfRule type="expression" priority="1126" dxfId="474">
      <formula>ISNUMBER(SEARCH("UV",D65))</formula>
    </cfRule>
  </conditionalFormatting>
  <conditionalFormatting sqref="D76">
    <cfRule type="expression" priority="1053" dxfId="358">
      <formula>($D$14="CANOPY TYPE")</formula>
    </cfRule>
  </conditionalFormatting>
  <conditionalFormatting sqref="D77">
    <cfRule type="expression" priority="1074" dxfId="472">
      <formula>(ISNUMBER(SEARCH("CMW",D65)))=TRUE</formula>
    </cfRule>
  </conditionalFormatting>
  <conditionalFormatting sqref="D82">
    <cfRule type="containsText" priority="1021" operator="containsText" dxfId="164" text="CANOPY TYPE">
      <formula>NOT(ISERROR(SEARCH("CANOPY TYPE",D82)))</formula>
    </cfRule>
  </conditionalFormatting>
  <conditionalFormatting sqref="D83">
    <cfRule type="expression" priority="598" dxfId="206">
      <formula>(C83="LIGHT SELECTION")</formula>
    </cfRule>
  </conditionalFormatting>
  <conditionalFormatting sqref="D84:D86">
    <cfRule type="expression" priority="83" dxfId="206">
      <formula>($C84="SELECT WORKS")</formula>
    </cfRule>
  </conditionalFormatting>
  <conditionalFormatting sqref="D87">
    <cfRule type="expression" priority="1006" dxfId="206">
      <formula>$C87="SELECT CLADDING"</formula>
    </cfRule>
  </conditionalFormatting>
  <conditionalFormatting sqref="D90:D91">
    <cfRule type="expression" priority="394" dxfId="358">
      <formula>($D$14="CANOPY TYPE")</formula>
    </cfRule>
  </conditionalFormatting>
  <conditionalFormatting sqref="D92">
    <cfRule type="expression" priority="1035" dxfId="474">
      <formula>ISNUMBER(SEARCH("UV",D82))</formula>
    </cfRule>
  </conditionalFormatting>
  <conditionalFormatting sqref="D93">
    <cfRule type="expression" priority="962" dxfId="358">
      <formula>($D$14="CANOPY TYPE")</formula>
    </cfRule>
  </conditionalFormatting>
  <conditionalFormatting sqref="D94">
    <cfRule type="expression" priority="983" dxfId="472">
      <formula>(ISNUMBER(SEARCH("CMW",D82)))=TRUE</formula>
    </cfRule>
  </conditionalFormatting>
  <conditionalFormatting sqref="D99">
    <cfRule type="containsText" priority="930" operator="containsText" dxfId="164" text="CANOPY TYPE">
      <formula>NOT(ISERROR(SEARCH("CANOPY TYPE",D99)))</formula>
    </cfRule>
  </conditionalFormatting>
  <conditionalFormatting sqref="D100">
    <cfRule type="expression" priority="596" dxfId="206">
      <formula>(C100="LIGHT SELECTION")</formula>
    </cfRule>
  </conditionalFormatting>
  <conditionalFormatting sqref="D101:D103">
    <cfRule type="expression" priority="69" dxfId="206">
      <formula>($C101="SELECT WORKS")</formula>
    </cfRule>
  </conditionalFormatting>
  <conditionalFormatting sqref="D104">
    <cfRule type="expression" priority="519" dxfId="206">
      <formula>$C104="SELECT CLADDING"</formula>
    </cfRule>
  </conditionalFormatting>
  <conditionalFormatting sqref="D107:D108">
    <cfRule type="expression" priority="368" dxfId="358">
      <formula>($D$14="CANOPY TYPE")</formula>
    </cfRule>
  </conditionalFormatting>
  <conditionalFormatting sqref="D109">
    <cfRule type="expression" priority="944" dxfId="474">
      <formula>ISNUMBER(SEARCH("UV",D99))</formula>
    </cfRule>
  </conditionalFormatting>
  <conditionalFormatting sqref="D110">
    <cfRule type="expression" priority="871" dxfId="358">
      <formula>($D$14="CANOPY TYPE")</formula>
    </cfRule>
  </conditionalFormatting>
  <conditionalFormatting sqref="D111">
    <cfRule type="expression" priority="892" dxfId="472">
      <formula>(ISNUMBER(SEARCH("CMW",D99)))=TRUE</formula>
    </cfRule>
  </conditionalFormatting>
  <conditionalFormatting sqref="D116">
    <cfRule type="containsText" priority="338" operator="containsText" dxfId="164" text="CANOPY TYPE">
      <formula>NOT(ISERROR(SEARCH("CANOPY TYPE",D116)))</formula>
    </cfRule>
  </conditionalFormatting>
  <conditionalFormatting sqref="D117">
    <cfRule type="expression" priority="314" dxfId="206">
      <formula>(C117="LIGHT SELECTION")</formula>
    </cfRule>
  </conditionalFormatting>
  <conditionalFormatting sqref="D118:D120">
    <cfRule type="expression" priority="55" dxfId="206">
      <formula>($C118="SELECT WORKS")</formula>
    </cfRule>
  </conditionalFormatting>
  <conditionalFormatting sqref="D121">
    <cfRule type="expression" priority="312" dxfId="206">
      <formula>$C121="SELECT CLADDING"</formula>
    </cfRule>
  </conditionalFormatting>
  <conditionalFormatting sqref="D124:D125">
    <cfRule type="expression" priority="286" dxfId="358">
      <formula>($D$14="CANOPY TYPE")</formula>
    </cfRule>
  </conditionalFormatting>
  <conditionalFormatting sqref="D126">
    <cfRule type="expression" priority="350" dxfId="474">
      <formula>ISNUMBER(SEARCH("UV",D116))</formula>
    </cfRule>
  </conditionalFormatting>
  <conditionalFormatting sqref="D127">
    <cfRule type="expression" priority="323" dxfId="358">
      <formula>($D$14="CANOPY TYPE")</formula>
    </cfRule>
  </conditionalFormatting>
  <conditionalFormatting sqref="D128">
    <cfRule type="expression" priority="329" dxfId="472">
      <formula>(ISNUMBER(SEARCH("CMW",D116)))=TRUE</formula>
    </cfRule>
  </conditionalFormatting>
  <conditionalFormatting sqref="D133">
    <cfRule type="containsText" priority="262" operator="containsText" dxfId="164" text="CANOPY TYPE">
      <formula>NOT(ISERROR(SEARCH("CANOPY TYPE",D133)))</formula>
    </cfRule>
  </conditionalFormatting>
  <conditionalFormatting sqref="D134">
    <cfRule type="expression" priority="243" dxfId="206">
      <formula>(C134="LIGHT SELECTION")</formula>
    </cfRule>
  </conditionalFormatting>
  <conditionalFormatting sqref="D135:D137">
    <cfRule type="expression" priority="41" dxfId="206">
      <formula>($C135="SELECT WORKS")</formula>
    </cfRule>
  </conditionalFormatting>
  <conditionalFormatting sqref="D138">
    <cfRule type="expression" priority="242" dxfId="206">
      <formula>$C138="SELECT CLADDING"</formula>
    </cfRule>
  </conditionalFormatting>
  <conditionalFormatting sqref="D141:D142">
    <cfRule type="expression" priority="226" dxfId="358">
      <formula>($D$14="CANOPY TYPE")</formula>
    </cfRule>
  </conditionalFormatting>
  <conditionalFormatting sqref="D143">
    <cfRule type="expression" priority="274" dxfId="474">
      <formula>ISNUMBER(SEARCH("UV",D133))</formula>
    </cfRule>
  </conditionalFormatting>
  <conditionalFormatting sqref="D144">
    <cfRule type="expression" priority="251" dxfId="358">
      <formula>($D$14="CANOPY TYPE")</formula>
    </cfRule>
  </conditionalFormatting>
  <conditionalFormatting sqref="D145">
    <cfRule type="expression" priority="257" dxfId="472">
      <formula>(ISNUMBER(SEARCH("CMW",D133)))=TRUE</formula>
    </cfRule>
  </conditionalFormatting>
  <conditionalFormatting sqref="D150">
    <cfRule type="containsText" priority="206" operator="containsText" dxfId="164" text="CANOPY TYPE">
      <formula>NOT(ISERROR(SEARCH("CANOPY TYPE",D150)))</formula>
    </cfRule>
  </conditionalFormatting>
  <conditionalFormatting sqref="D151">
    <cfRule type="expression" priority="187" dxfId="206">
      <formula>(C151="LIGHT SELECTION")</formula>
    </cfRule>
  </conditionalFormatting>
  <conditionalFormatting sqref="D152:D154">
    <cfRule type="expression" priority="27" dxfId="206">
      <formula>($C152="SELECT WORKS")</formula>
    </cfRule>
  </conditionalFormatting>
  <conditionalFormatting sqref="D155">
    <cfRule type="expression" priority="186" dxfId="206">
      <formula>$C155="SELECT CLADDING"</formula>
    </cfRule>
  </conditionalFormatting>
  <conditionalFormatting sqref="D158:D159">
    <cfRule type="expression" priority="170" dxfId="358">
      <formula>($D$14="CANOPY TYPE")</formula>
    </cfRule>
  </conditionalFormatting>
  <conditionalFormatting sqref="D160">
    <cfRule type="expression" priority="218" dxfId="474">
      <formula>ISNUMBER(SEARCH("UV",D150))</formula>
    </cfRule>
  </conditionalFormatting>
  <conditionalFormatting sqref="D161">
    <cfRule type="expression" priority="195" dxfId="358">
      <formula>($D$14="CANOPY TYPE")</formula>
    </cfRule>
  </conditionalFormatting>
  <conditionalFormatting sqref="D162">
    <cfRule type="expression" priority="201" dxfId="472">
      <formula>(ISNUMBER(SEARCH("CMW",D150)))=TRUE</formula>
    </cfRule>
  </conditionalFormatting>
  <conditionalFormatting sqref="D167">
    <cfRule type="containsText" priority="150" operator="containsText" dxfId="164" text="CANOPY TYPE">
      <formula>NOT(ISERROR(SEARCH("CANOPY TYPE",D167)))</formula>
    </cfRule>
  </conditionalFormatting>
  <conditionalFormatting sqref="D168">
    <cfRule type="expression" priority="131" dxfId="206">
      <formula>(C168="LIGHT SELECTION")</formula>
    </cfRule>
  </conditionalFormatting>
  <conditionalFormatting sqref="D169:D171">
    <cfRule type="expression" priority="13" dxfId="206">
      <formula>($C169="SELECT WORKS")</formula>
    </cfRule>
  </conditionalFormatting>
  <conditionalFormatting sqref="D172">
    <cfRule type="expression" priority="130" dxfId="206">
      <formula>$C172="SELECT CLADDING"</formula>
    </cfRule>
  </conditionalFormatting>
  <conditionalFormatting sqref="D175:D176">
    <cfRule type="expression" priority="114" dxfId="358">
      <formula>($D$14="CANOPY TYPE")</formula>
    </cfRule>
  </conditionalFormatting>
  <conditionalFormatting sqref="D177">
    <cfRule type="expression" priority="162" dxfId="474">
      <formula>ISNUMBER(SEARCH("UV",D167))</formula>
    </cfRule>
  </conditionalFormatting>
  <conditionalFormatting sqref="D178">
    <cfRule type="expression" priority="139" dxfId="358">
      <formula>($D$14="CANOPY TYPE")</formula>
    </cfRule>
  </conditionalFormatting>
  <conditionalFormatting sqref="D179">
    <cfRule type="expression" priority="145" dxfId="472">
      <formula>(ISNUMBER(SEARCH("CMW",D167)))=TRUE</formula>
    </cfRule>
  </conditionalFormatting>
  <conditionalFormatting sqref="E12">
    <cfRule type="cellIs" priority="5721" operator="greaterThan" dxfId="204">
      <formula>2000</formula>
    </cfRule>
    <cfRule type="expression" priority="5720" dxfId="387">
      <formula>ISNUMBER(SEARCH("I-MUAP",$D$14))</formula>
    </cfRule>
    <cfRule type="expression" priority="5719" dxfId="386">
      <formula>AND((ISNUMBER(SEARCH("I-MUAP",$D$14))),E12&lt;2500)</formula>
    </cfRule>
  </conditionalFormatting>
  <conditionalFormatting sqref="E15">
    <cfRule type="expression" priority="586" dxfId="315">
      <formula>(C15="LIGHT SELECTION")</formula>
    </cfRule>
  </conditionalFormatting>
  <conditionalFormatting sqref="E16:E18">
    <cfRule type="expression" priority="113" dxfId="381">
      <formula>$C16="SELECT WORKS"</formula>
    </cfRule>
  </conditionalFormatting>
  <conditionalFormatting sqref="E22:E23">
    <cfRule type="expression" priority="5648" dxfId="384">
      <formula>D22="WW PODS"</formula>
    </cfRule>
    <cfRule type="expression" priority="5693" dxfId="383">
      <formula>D22="FILTER TYPE"</formula>
    </cfRule>
    <cfRule type="expression" priority="5694" dxfId="382">
      <formula>D22="KSA"</formula>
    </cfRule>
    <cfRule type="expression" priority="5725" dxfId="381">
      <formula>(D14="CANOPY TYPE")</formula>
    </cfRule>
  </conditionalFormatting>
  <conditionalFormatting sqref="E24">
    <cfRule type="containsText" priority="5709" operator="containsText" dxfId="380" text="LONG ">
      <formula>NOT(ISERROR(SEARCH("LONG ",E24)))</formula>
    </cfRule>
  </conditionalFormatting>
  <conditionalFormatting sqref="E29">
    <cfRule type="expression" priority="1305" dxfId="386">
      <formula>AND((ISNUMBER(SEARCH("I-MUAP",$D$14))),E29&lt;2500)</formula>
    </cfRule>
    <cfRule type="expression" priority="1306" dxfId="387">
      <formula>ISNUMBER(SEARCH("I-MUAP",$D$14))</formula>
    </cfRule>
    <cfRule type="cellIs" priority="1307" operator="greaterThan" dxfId="204">
      <formula>2000</formula>
    </cfRule>
  </conditionalFormatting>
  <conditionalFormatting sqref="E33:E34">
    <cfRule type="expression" priority="1242" dxfId="381">
      <formula>$C33="SELECT WORKS"</formula>
    </cfRule>
  </conditionalFormatting>
  <conditionalFormatting sqref="E39:E40">
    <cfRule type="expression" priority="487" dxfId="382">
      <formula>D39="KSA"</formula>
    </cfRule>
    <cfRule type="expression" priority="488" dxfId="381">
      <formula>(D31="CANOPY TYPE")</formula>
    </cfRule>
    <cfRule type="expression" priority="486" dxfId="383">
      <formula>D39="FILTER TYPE"</formula>
    </cfRule>
    <cfRule type="expression" priority="485" dxfId="384">
      <formula>D39="WW PODS"</formula>
    </cfRule>
  </conditionalFormatting>
  <conditionalFormatting sqref="E41">
    <cfRule type="containsText" priority="1296" operator="containsText" dxfId="380" text="LONG ">
      <formula>NOT(ISERROR(SEARCH("LONG ",E41)))</formula>
    </cfRule>
  </conditionalFormatting>
  <conditionalFormatting sqref="E46">
    <cfRule type="cellIs" priority="1216" operator="greaterThan" dxfId="204">
      <formula>2000</formula>
    </cfRule>
    <cfRule type="expression" priority="1215" dxfId="387">
      <formula>ISNUMBER(SEARCH("I-MUAP",$D$14))</formula>
    </cfRule>
    <cfRule type="expression" priority="1214" dxfId="386">
      <formula>AND((ISNUMBER(SEARCH("I-MUAP",$D$14))),E46&lt;2500)</formula>
    </cfRule>
  </conditionalFormatting>
  <conditionalFormatting sqref="E49">
    <cfRule type="expression" priority="635" dxfId="315">
      <formula>(C49="LIGHT SELECTION")</formula>
    </cfRule>
  </conditionalFormatting>
  <conditionalFormatting sqref="E50:E52">
    <cfRule type="expression" priority="110" dxfId="381">
      <formula>$C50="SELECT WORKS"</formula>
    </cfRule>
  </conditionalFormatting>
  <conditionalFormatting sqref="E56:E57">
    <cfRule type="expression" priority="459" dxfId="384">
      <formula>D56="WW PODS"</formula>
    </cfRule>
    <cfRule type="expression" priority="460" dxfId="383">
      <formula>D56="FILTER TYPE"</formula>
    </cfRule>
    <cfRule type="expression" priority="462" dxfId="381">
      <formula>(D48="CANOPY TYPE")</formula>
    </cfRule>
    <cfRule type="expression" priority="461" dxfId="382">
      <formula>D56="KSA"</formula>
    </cfRule>
  </conditionalFormatting>
  <conditionalFormatting sqref="E58">
    <cfRule type="containsText" priority="1205" operator="containsText" dxfId="380" text="LONG ">
      <formula>NOT(ISERROR(SEARCH("LONG ",E58)))</formula>
    </cfRule>
  </conditionalFormatting>
  <conditionalFormatting sqref="E63">
    <cfRule type="cellIs" priority="1125" operator="greaterThan" dxfId="204">
      <formula>2000</formula>
    </cfRule>
    <cfRule type="expression" priority="1124" dxfId="387">
      <formula>ISNUMBER(SEARCH("I-MUAP",$D$14))</formula>
    </cfRule>
    <cfRule type="expression" priority="1123" dxfId="386">
      <formula>AND((ISNUMBER(SEARCH("I-MUAP",$D$14))),E63&lt;2500)</formula>
    </cfRule>
  </conditionalFormatting>
  <conditionalFormatting sqref="E67:E69">
    <cfRule type="expression" priority="96" dxfId="381">
      <formula>$C67="SELECT WORKS"</formula>
    </cfRule>
  </conditionalFormatting>
  <conditionalFormatting sqref="E73:E74">
    <cfRule type="expression" priority="433" dxfId="384">
      <formula>D73="WW PODS"</formula>
    </cfRule>
    <cfRule type="expression" priority="435" dxfId="382">
      <formula>D73="KSA"</formula>
    </cfRule>
    <cfRule type="expression" priority="436" dxfId="381">
      <formula>(D65="CANOPY TYPE")</formula>
    </cfRule>
    <cfRule type="expression" priority="434" dxfId="383">
      <formula>D73="FILTER TYPE"</formula>
    </cfRule>
  </conditionalFormatting>
  <conditionalFormatting sqref="E75">
    <cfRule type="containsText" priority="1114" operator="containsText" dxfId="380" text="LONG ">
      <formula>NOT(ISERROR(SEARCH("LONG ",E75)))</formula>
    </cfRule>
  </conditionalFormatting>
  <conditionalFormatting sqref="E80">
    <cfRule type="cellIs" priority="1034" operator="greaterThan" dxfId="204">
      <formula>2000</formula>
    </cfRule>
    <cfRule type="expression" priority="1032" dxfId="386">
      <formula>AND((ISNUMBER(SEARCH("I-MUAP",$D$14))),E80&lt;2500)</formula>
    </cfRule>
    <cfRule type="expression" priority="1033" dxfId="387">
      <formula>ISNUMBER(SEARCH("I-MUAP",$D$14))</formula>
    </cfRule>
  </conditionalFormatting>
  <conditionalFormatting sqref="E84:E86">
    <cfRule type="expression" priority="82" dxfId="381">
      <formula>$C84="SELECT WORKS"</formula>
    </cfRule>
  </conditionalFormatting>
  <conditionalFormatting sqref="E90:E91">
    <cfRule type="expression" priority="410" dxfId="381">
      <formula>(D82="CANOPY TYPE")</formula>
    </cfRule>
    <cfRule type="expression" priority="407" dxfId="384">
      <formula>D90="WW PODS"</formula>
    </cfRule>
    <cfRule type="expression" priority="408" dxfId="383">
      <formula>D90="FILTER TYPE"</formula>
    </cfRule>
    <cfRule type="expression" priority="409" dxfId="382">
      <formula>D90="KSA"</formula>
    </cfRule>
  </conditionalFormatting>
  <conditionalFormatting sqref="E92">
    <cfRule type="containsText" priority="1023" operator="containsText" dxfId="380" text="LONG ">
      <formula>NOT(ISERROR(SEARCH("LONG ",E92)))</formula>
    </cfRule>
  </conditionalFormatting>
  <conditionalFormatting sqref="E97">
    <cfRule type="expression" priority="942" dxfId="387">
      <formula>ISNUMBER(SEARCH("I-MUAP",$D$14))</formula>
    </cfRule>
    <cfRule type="cellIs" priority="943" operator="greaterThan" dxfId="204">
      <formula>2000</formula>
    </cfRule>
    <cfRule type="expression" priority="941" dxfId="386">
      <formula>AND((ISNUMBER(SEARCH("I-MUAP",$D$14))),E97&lt;2500)</formula>
    </cfRule>
  </conditionalFormatting>
  <conditionalFormatting sqref="E101:E103">
    <cfRule type="expression" priority="68" dxfId="381">
      <formula>$C101="SELECT WORKS"</formula>
    </cfRule>
  </conditionalFormatting>
  <conditionalFormatting sqref="E107:E108">
    <cfRule type="expression" priority="381" dxfId="384">
      <formula>D107="WW PODS"</formula>
    </cfRule>
    <cfRule type="expression" priority="382" dxfId="383">
      <formula>D107="FILTER TYPE"</formula>
    </cfRule>
    <cfRule type="expression" priority="383" dxfId="382">
      <formula>D107="KSA"</formula>
    </cfRule>
    <cfRule type="expression" priority="384" dxfId="381">
      <formula>(D99="CANOPY TYPE")</formula>
    </cfRule>
  </conditionalFormatting>
  <conditionalFormatting sqref="E109">
    <cfRule type="containsText" priority="932" operator="containsText" dxfId="380" text="LONG ">
      <formula>NOT(ISERROR(SEARCH("LONG ",E109)))</formula>
    </cfRule>
  </conditionalFormatting>
  <conditionalFormatting sqref="E114">
    <cfRule type="cellIs" priority="349" operator="greaterThan" dxfId="204">
      <formula>2000</formula>
    </cfRule>
    <cfRule type="expression" priority="348" dxfId="387">
      <formula>ISNUMBER(SEARCH("I-MUAP",$D$14))</formula>
    </cfRule>
    <cfRule type="expression" priority="347" dxfId="386">
      <formula>AND((ISNUMBER(SEARCH("I-MUAP",$D$14))),E114&lt;2500)</formula>
    </cfRule>
  </conditionalFormatting>
  <conditionalFormatting sqref="E118:E120">
    <cfRule type="expression" priority="54" dxfId="381">
      <formula>$C118="SELECT WORKS"</formula>
    </cfRule>
  </conditionalFormatting>
  <conditionalFormatting sqref="E124:E125">
    <cfRule type="expression" priority="299" dxfId="384">
      <formula>D124="WW PODS"</formula>
    </cfRule>
    <cfRule type="expression" priority="302" dxfId="381">
      <formula>(D116="CANOPY TYPE")</formula>
    </cfRule>
    <cfRule type="expression" priority="301" dxfId="382">
      <formula>D124="KSA"</formula>
    </cfRule>
    <cfRule type="expression" priority="300" dxfId="383">
      <formula>D124="FILTER TYPE"</formula>
    </cfRule>
  </conditionalFormatting>
  <conditionalFormatting sqref="E126">
    <cfRule type="containsText" priority="340" operator="containsText" dxfId="380" text="LONG ">
      <formula>NOT(ISERROR(SEARCH("LONG ",E126)))</formula>
    </cfRule>
  </conditionalFormatting>
  <conditionalFormatting sqref="E131">
    <cfRule type="expression" priority="272" dxfId="387">
      <formula>ISNUMBER(SEARCH("I-MUAP",$D$14))</formula>
    </cfRule>
    <cfRule type="cellIs" priority="273" operator="greaterThan" dxfId="204">
      <formula>2000</formula>
    </cfRule>
    <cfRule type="expression" priority="271" dxfId="386">
      <formula>AND((ISNUMBER(SEARCH("I-MUAP",$D$14))),E131&lt;2500)</formula>
    </cfRule>
  </conditionalFormatting>
  <conditionalFormatting sqref="E135:E137">
    <cfRule type="expression" priority="40" dxfId="381">
      <formula>$C135="SELECT WORKS"</formula>
    </cfRule>
  </conditionalFormatting>
  <conditionalFormatting sqref="E141:E142">
    <cfRule type="expression" priority="232" dxfId="381">
      <formula>(D133="CANOPY TYPE")</formula>
    </cfRule>
    <cfRule type="expression" priority="231" dxfId="382">
      <formula>D141="KSA"</formula>
    </cfRule>
    <cfRule type="expression" priority="229" dxfId="384">
      <formula>D141="WW PODS"</formula>
    </cfRule>
    <cfRule type="expression" priority="230" dxfId="383">
      <formula>D141="FILTER TYPE"</formula>
    </cfRule>
  </conditionalFormatting>
  <conditionalFormatting sqref="E143">
    <cfRule type="containsText" priority="264" operator="containsText" dxfId="380" text="LONG ">
      <formula>NOT(ISERROR(SEARCH("LONG ",E143)))</formula>
    </cfRule>
  </conditionalFormatting>
  <conditionalFormatting sqref="E148">
    <cfRule type="cellIs" priority="217" operator="greaterThan" dxfId="204">
      <formula>2000</formula>
    </cfRule>
    <cfRule type="expression" priority="216" dxfId="387">
      <formula>ISNUMBER(SEARCH("I-MUAP",$D$14))</formula>
    </cfRule>
    <cfRule type="expression" priority="215" dxfId="386">
      <formula>AND((ISNUMBER(SEARCH("I-MUAP",$D$14))),E148&lt;2500)</formula>
    </cfRule>
  </conditionalFormatting>
  <conditionalFormatting sqref="E152:E154">
    <cfRule type="expression" priority="26" dxfId="381">
      <formula>$C152="SELECT WORKS"</formula>
    </cfRule>
  </conditionalFormatting>
  <conditionalFormatting sqref="E158:E159">
    <cfRule type="expression" priority="175" dxfId="382">
      <formula>D158="KSA"</formula>
    </cfRule>
    <cfRule type="expression" priority="173" dxfId="384">
      <formula>D158="WW PODS"</formula>
    </cfRule>
    <cfRule type="expression" priority="174" dxfId="383">
      <formula>D158="FILTER TYPE"</formula>
    </cfRule>
    <cfRule type="expression" priority="176" dxfId="381">
      <formula>(D150="CANOPY TYPE")</formula>
    </cfRule>
  </conditionalFormatting>
  <conditionalFormatting sqref="E160">
    <cfRule type="containsText" priority="208" operator="containsText" dxfId="380" text="LONG ">
      <formula>NOT(ISERROR(SEARCH("LONG ",E160)))</formula>
    </cfRule>
  </conditionalFormatting>
  <conditionalFormatting sqref="E165">
    <cfRule type="cellIs" priority="161" operator="greaterThan" dxfId="204">
      <formula>2000</formula>
    </cfRule>
    <cfRule type="expression" priority="160" dxfId="387">
      <formula>ISNUMBER(SEARCH("I-MUAP",$D$14))</formula>
    </cfRule>
    <cfRule type="expression" priority="159" dxfId="386">
      <formula>AND((ISNUMBER(SEARCH("I-MUAP",$D$14))),E165&lt;2500)</formula>
    </cfRule>
  </conditionalFormatting>
  <conditionalFormatting sqref="E169:E171">
    <cfRule type="expression" priority="12" dxfId="381">
      <formula>$C169="SELECT WORKS"</formula>
    </cfRule>
  </conditionalFormatting>
  <conditionalFormatting sqref="E175:E176">
    <cfRule type="expression" priority="117" dxfId="384">
      <formula>D175="WW PODS"</formula>
    </cfRule>
    <cfRule type="expression" priority="118" dxfId="383">
      <formula>D175="FILTER TYPE"</formula>
    </cfRule>
    <cfRule type="expression" priority="119" dxfId="382">
      <formula>D175="KSA"</formula>
    </cfRule>
    <cfRule type="expression" priority="120" dxfId="381">
      <formula>(D167="CANOPY TYPE")</formula>
    </cfRule>
  </conditionalFormatting>
  <conditionalFormatting sqref="E177">
    <cfRule type="containsText" priority="152" operator="containsText" dxfId="380" text="LONG ">
      <formula>NOT(ISERROR(SEARCH("LONG ",E177)))</formula>
    </cfRule>
  </conditionalFormatting>
  <conditionalFormatting sqref="E12:F12">
    <cfRule type="cellIs" priority="5714" operator="lessThan" dxfId="204">
      <formula>1000</formula>
    </cfRule>
  </conditionalFormatting>
  <conditionalFormatting sqref="E14:F14">
    <cfRule type="cellIs" priority="5710" operator="lessThan" dxfId="164">
      <formula>1000</formula>
    </cfRule>
  </conditionalFormatting>
  <conditionalFormatting sqref="E25:F27">
    <cfRule type="expression" priority="1352" dxfId="358">
      <formula>($D$14="CANOPY TYPE")</formula>
    </cfRule>
  </conditionalFormatting>
  <conditionalFormatting sqref="E29:F29">
    <cfRule type="cellIs" priority="1301" operator="lessThan" dxfId="204">
      <formula>1000</formula>
    </cfRule>
  </conditionalFormatting>
  <conditionalFormatting sqref="E31:F31">
    <cfRule type="cellIs" priority="1297" operator="lessThan" dxfId="164">
      <formula>1000</formula>
    </cfRule>
  </conditionalFormatting>
  <conditionalFormatting sqref="E32:F32">
    <cfRule type="expression" priority="833" dxfId="315">
      <formula>(C32="LIGHT SELECTION")</formula>
    </cfRule>
  </conditionalFormatting>
  <conditionalFormatting sqref="E42:F44">
    <cfRule type="expression" priority="1236" dxfId="358">
      <formula>($D$14="CANOPY TYPE")</formula>
    </cfRule>
  </conditionalFormatting>
  <conditionalFormatting sqref="E46:F46">
    <cfRule type="cellIs" priority="1210" operator="lessThan" dxfId="204">
      <formula>1000</formula>
    </cfRule>
  </conditionalFormatting>
  <conditionalFormatting sqref="E48:F48">
    <cfRule type="cellIs" priority="1206" operator="lessThan" dxfId="164">
      <formula>1000</formula>
    </cfRule>
  </conditionalFormatting>
  <conditionalFormatting sqref="E59:F61">
    <cfRule type="expression" priority="1145" dxfId="358">
      <formula>($D$14="CANOPY TYPE")</formula>
    </cfRule>
  </conditionalFormatting>
  <conditionalFormatting sqref="E63:F63">
    <cfRule type="cellIs" priority="1119" operator="lessThan" dxfId="204">
      <formula>1000</formula>
    </cfRule>
  </conditionalFormatting>
  <conditionalFormatting sqref="E65:F65">
    <cfRule type="cellIs" priority="1115" operator="lessThan" dxfId="164">
      <formula>1000</formula>
    </cfRule>
  </conditionalFormatting>
  <conditionalFormatting sqref="E66:F66">
    <cfRule type="expression" priority="799" dxfId="315">
      <formula>(C66="LIGHT SELECTION")</formula>
    </cfRule>
  </conditionalFormatting>
  <conditionalFormatting sqref="E76:F78">
    <cfRule type="expression" priority="1054" dxfId="358">
      <formula>($D$14="CANOPY TYPE")</formula>
    </cfRule>
  </conditionalFormatting>
  <conditionalFormatting sqref="E80:F80">
    <cfRule type="cellIs" priority="1028" operator="lessThan" dxfId="204">
      <formula>1000</formula>
    </cfRule>
  </conditionalFormatting>
  <conditionalFormatting sqref="E82:F82">
    <cfRule type="cellIs" priority="1024" operator="lessThan" dxfId="164">
      <formula>1000</formula>
    </cfRule>
  </conditionalFormatting>
  <conditionalFormatting sqref="E83:F83">
    <cfRule type="expression" priority="782" dxfId="315">
      <formula>(C83="LIGHT SELECTION")</formula>
    </cfRule>
  </conditionalFormatting>
  <conditionalFormatting sqref="E93:F95">
    <cfRule type="expression" priority="963" dxfId="358">
      <formula>($D$14="CANOPY TYPE")</formula>
    </cfRule>
  </conditionalFormatting>
  <conditionalFormatting sqref="E97:F97">
    <cfRule type="cellIs" priority="937" operator="lessThan" dxfId="204">
      <formula>1000</formula>
    </cfRule>
  </conditionalFormatting>
  <conditionalFormatting sqref="E99:F99">
    <cfRule type="cellIs" priority="933" operator="lessThan" dxfId="164">
      <formula>1000</formula>
    </cfRule>
  </conditionalFormatting>
  <conditionalFormatting sqref="E100:F100">
    <cfRule type="expression" priority="765" dxfId="315">
      <formula>(C100="LIGHT SELECTION")</formula>
    </cfRule>
  </conditionalFormatting>
  <conditionalFormatting sqref="E110:F112 E127:F129 E144:F146 E161:F163 E178:F180">
    <cfRule type="expression" priority="872" dxfId="358">
      <formula>($D$14="CANOPY TYPE")</formula>
    </cfRule>
  </conditionalFormatting>
  <conditionalFormatting sqref="E114:F114">
    <cfRule type="cellIs" priority="344" operator="lessThan" dxfId="204">
      <formula>1000</formula>
    </cfRule>
  </conditionalFormatting>
  <conditionalFormatting sqref="E116:F116">
    <cfRule type="cellIs" priority="341" operator="lessThan" dxfId="164">
      <formula>1000</formula>
    </cfRule>
  </conditionalFormatting>
  <conditionalFormatting sqref="E117:F117">
    <cfRule type="expression" priority="319" dxfId="315">
      <formula>(C117="LIGHT SELECTION")</formula>
    </cfRule>
  </conditionalFormatting>
  <conditionalFormatting sqref="E131:F131">
    <cfRule type="cellIs" priority="268" operator="lessThan" dxfId="204">
      <formula>1000</formula>
    </cfRule>
  </conditionalFormatting>
  <conditionalFormatting sqref="E133:F133">
    <cfRule type="cellIs" priority="265" operator="lessThan" dxfId="164">
      <formula>1000</formula>
    </cfRule>
  </conditionalFormatting>
  <conditionalFormatting sqref="E134:F134">
    <cfRule type="expression" priority="247" dxfId="315">
      <formula>(C134="LIGHT SELECTION")</formula>
    </cfRule>
  </conditionalFormatting>
  <conditionalFormatting sqref="E148:F148">
    <cfRule type="cellIs" priority="212" operator="lessThan" dxfId="204">
      <formula>1000</formula>
    </cfRule>
  </conditionalFormatting>
  <conditionalFormatting sqref="E150:F150">
    <cfRule type="cellIs" priority="209" operator="lessThan" dxfId="164">
      <formula>1000</formula>
    </cfRule>
  </conditionalFormatting>
  <conditionalFormatting sqref="E151:F151">
    <cfRule type="expression" priority="191" dxfId="315">
      <formula>(C151="LIGHT SELECTION")</formula>
    </cfRule>
  </conditionalFormatting>
  <conditionalFormatting sqref="E165:F165">
    <cfRule type="cellIs" priority="156" operator="lessThan" dxfId="204">
      <formula>1000</formula>
    </cfRule>
  </conditionalFormatting>
  <conditionalFormatting sqref="E167:F167">
    <cfRule type="cellIs" priority="153" operator="lessThan" dxfId="164">
      <formula>1000</formula>
    </cfRule>
  </conditionalFormatting>
  <conditionalFormatting sqref="E168:F168">
    <cfRule type="expression" priority="135" dxfId="315">
      <formula>(C168="LIGHT SELECTION")</formula>
    </cfRule>
  </conditionalFormatting>
  <conditionalFormatting sqref="F12">
    <cfRule type="cellIs" priority="5715" operator="greaterThan" dxfId="204">
      <formula>3001</formula>
    </cfRule>
  </conditionalFormatting>
  <conditionalFormatting sqref="F15">
    <cfRule type="expression" priority="5695" dxfId="215">
      <formula>(C15="LIGHT SELECTION")</formula>
    </cfRule>
    <cfRule type="expression" priority="5702" dxfId="216">
      <formula>(C15="FLO")</formula>
    </cfRule>
    <cfRule type="expression" priority="835" dxfId="214">
      <formula>(C15="LED STRIP")</formula>
    </cfRule>
    <cfRule type="expression" priority="5746" dxfId="315">
      <formula>(D49="LIGHT SELECTION")</formula>
    </cfRule>
  </conditionalFormatting>
  <conditionalFormatting sqref="F22:F23">
    <cfRule type="expression" priority="5740" dxfId="205">
      <formula>D22="KSA"</formula>
    </cfRule>
    <cfRule type="expression" priority="5732" dxfId="206">
      <formula>D22="NF"</formula>
    </cfRule>
    <cfRule type="expression" priority="5733" dxfId="208">
      <formula>D22="WW PODS"</formula>
    </cfRule>
    <cfRule type="expression" priority="5734" dxfId="206">
      <formula>D22="GRILLE"</formula>
    </cfRule>
    <cfRule type="expression" priority="5735" dxfId="206">
      <formula>D22="CENTREX"</formula>
    </cfRule>
    <cfRule type="expression" priority="5736" dxfId="206" stopIfTrue="1">
      <formula>D14="canopy type"</formula>
    </cfRule>
    <cfRule type="expression" priority="5737" dxfId="207">
      <formula>(((I14*3600)/(C22*I11))^2+20)&gt;300</formula>
    </cfRule>
    <cfRule type="expression" priority="5738" dxfId="205" stopIfTrue="1">
      <formula>(ISNUMBER(SEARCH("UV",D14)))</formula>
    </cfRule>
    <cfRule type="expression" priority="5739" dxfId="207">
      <formula>(((I14*3600)/(C22*I11))^2+20)&gt;180</formula>
    </cfRule>
  </conditionalFormatting>
  <conditionalFormatting sqref="F24">
    <cfRule type="cellIs" priority="5708" operator="lessThan" dxfId="204">
      <formula>2100</formula>
    </cfRule>
  </conditionalFormatting>
  <conditionalFormatting sqref="F29">
    <cfRule type="cellIs" priority="1302" operator="greaterThan" dxfId="204">
      <formula>3001</formula>
    </cfRule>
  </conditionalFormatting>
  <conditionalFormatting sqref="F32">
    <cfRule type="expression" priority="834" dxfId="216">
      <formula>(C32="FLO")</formula>
    </cfRule>
    <cfRule type="expression" priority="832" dxfId="215">
      <formula>(C32="LIGHT SELECTION")</formula>
    </cfRule>
    <cfRule type="expression" priority="818" dxfId="214">
      <formula>(C32="LED STRIP")</formula>
    </cfRule>
  </conditionalFormatting>
  <conditionalFormatting sqref="F39:F40">
    <cfRule type="expression" priority="496" dxfId="207">
      <formula>(((I31*3600)/(C39*I28))^2+20)&gt;180</formula>
    </cfRule>
    <cfRule type="expression" priority="497" dxfId="205">
      <formula>D39="KSA"</formula>
    </cfRule>
    <cfRule type="expression" priority="489" dxfId="206">
      <formula>D39="NF"</formula>
    </cfRule>
    <cfRule type="expression" priority="490" dxfId="208">
      <formula>D39="WW PODS"</formula>
    </cfRule>
    <cfRule type="expression" priority="491" dxfId="206">
      <formula>D39="GRILLE"</formula>
    </cfRule>
    <cfRule type="expression" priority="492" dxfId="206">
      <formula>D39="CENTREX"</formula>
    </cfRule>
    <cfRule type="expression" priority="493" dxfId="206" stopIfTrue="1">
      <formula>D31="canopy type"</formula>
    </cfRule>
    <cfRule type="expression" priority="494" dxfId="207">
      <formula>(((I31*3600)/(C39*I28))^2+20)&gt;300</formula>
    </cfRule>
    <cfRule type="expression" priority="495" dxfId="205" stopIfTrue="1">
      <formula>(ISNUMBER(SEARCH("UV",D31)))</formula>
    </cfRule>
  </conditionalFormatting>
  <conditionalFormatting sqref="F41">
    <cfRule type="cellIs" priority="1295" operator="lessThan" dxfId="204">
      <formula>2100</formula>
    </cfRule>
  </conditionalFormatting>
  <conditionalFormatting sqref="F46">
    <cfRule type="cellIs" priority="1211" operator="greaterThan" dxfId="204">
      <formula>3001</formula>
    </cfRule>
  </conditionalFormatting>
  <conditionalFormatting sqref="F49">
    <cfRule type="expression" priority="5765" dxfId="315">
      <formula>(#REF!="LIGHT SELECTION")</formula>
    </cfRule>
    <cfRule type="expression" priority="817" dxfId="216">
      <formula>(C49="FLO")</formula>
    </cfRule>
    <cfRule type="expression" priority="815" dxfId="215">
      <formula>(C49="LIGHT SELECTION")</formula>
    </cfRule>
    <cfRule type="expression" priority="801" dxfId="214">
      <formula>(C49="LED STRIP")</formula>
    </cfRule>
  </conditionalFormatting>
  <conditionalFormatting sqref="F56:F57">
    <cfRule type="expression" priority="469" dxfId="205" stopIfTrue="1">
      <formula>(ISNUMBER(SEARCH("UV",D48)))</formula>
    </cfRule>
    <cfRule type="expression" priority="470" dxfId="207">
      <formula>(((I48*3600)/(C56*I45))^2+20)&gt;180</formula>
    </cfRule>
    <cfRule type="expression" priority="468" dxfId="207">
      <formula>(((I48*3600)/(C56*I45))^2+20)&gt;300</formula>
    </cfRule>
    <cfRule type="expression" priority="467" dxfId="206" stopIfTrue="1">
      <formula>D48="canopy type"</formula>
    </cfRule>
    <cfRule type="expression" priority="466" dxfId="206">
      <formula>D56="CENTREX"</formula>
    </cfRule>
    <cfRule type="expression" priority="465" dxfId="206">
      <formula>D56="GRILLE"</formula>
    </cfRule>
    <cfRule type="expression" priority="464" dxfId="208">
      <formula>D56="WW PODS"</formula>
    </cfRule>
    <cfRule type="expression" priority="463" dxfId="206">
      <formula>D56="NF"</formula>
    </cfRule>
    <cfRule type="expression" priority="471" dxfId="205">
      <formula>D56="KSA"</formula>
    </cfRule>
  </conditionalFormatting>
  <conditionalFormatting sqref="F58">
    <cfRule type="cellIs" priority="1204" operator="lessThan" dxfId="204">
      <formula>2100</formula>
    </cfRule>
  </conditionalFormatting>
  <conditionalFormatting sqref="F63">
    <cfRule type="cellIs" priority="1120" operator="greaterThan" dxfId="204">
      <formula>3001</formula>
    </cfRule>
  </conditionalFormatting>
  <conditionalFormatting sqref="F66">
    <cfRule type="expression" priority="784" dxfId="214">
      <formula>(C66="LED STRIP")</formula>
    </cfRule>
    <cfRule type="expression" priority="798" dxfId="215">
      <formula>(C66="LIGHT SELECTION")</formula>
    </cfRule>
    <cfRule type="expression" priority="800" dxfId="216">
      <formula>(C66="FLO")</formula>
    </cfRule>
  </conditionalFormatting>
  <conditionalFormatting sqref="F73:F74">
    <cfRule type="expression" priority="437" dxfId="206">
      <formula>D73="NF"</formula>
    </cfRule>
    <cfRule type="expression" priority="438" dxfId="208">
      <formula>D73="WW PODS"</formula>
    </cfRule>
    <cfRule type="expression" priority="439" dxfId="206">
      <formula>D73="GRILLE"</formula>
    </cfRule>
    <cfRule type="expression" priority="440" dxfId="206">
      <formula>D73="CENTREX"</formula>
    </cfRule>
    <cfRule type="expression" priority="441" dxfId="206" stopIfTrue="1">
      <formula>D65="canopy type"</formula>
    </cfRule>
    <cfRule type="expression" priority="442" dxfId="207">
      <formula>(((I65*3600)/(C73*I62))^2+20)&gt;300</formula>
    </cfRule>
    <cfRule type="expression" priority="443" dxfId="205" stopIfTrue="1">
      <formula>(ISNUMBER(SEARCH("UV",D65)))</formula>
    </cfRule>
    <cfRule type="expression" priority="444" dxfId="207">
      <formula>(((I65*3600)/(C73*I62))^2+20)&gt;180</formula>
    </cfRule>
    <cfRule type="expression" priority="445" dxfId="205">
      <formula>D73="KSA"</formula>
    </cfRule>
  </conditionalFormatting>
  <conditionalFormatting sqref="F75">
    <cfRule type="cellIs" priority="1113" operator="lessThan" dxfId="204">
      <formula>2100</formula>
    </cfRule>
  </conditionalFormatting>
  <conditionalFormatting sqref="F80">
    <cfRule type="cellIs" priority="1029" operator="greaterThan" dxfId="204">
      <formula>3001</formula>
    </cfRule>
  </conditionalFormatting>
  <conditionalFormatting sqref="F83">
    <cfRule type="expression" priority="767" dxfId="214">
      <formula>(C83="LED STRIP")</formula>
    </cfRule>
    <cfRule type="expression" priority="783" dxfId="216">
      <formula>(C83="FLO")</formula>
    </cfRule>
    <cfRule type="expression" priority="781" dxfId="215">
      <formula>(C83="LIGHT SELECTION")</formula>
    </cfRule>
  </conditionalFormatting>
  <conditionalFormatting sqref="F90:F91">
    <cfRule type="expression" priority="411" dxfId="206">
      <formula>D90="NF"</formula>
    </cfRule>
    <cfRule type="expression" priority="412" dxfId="208">
      <formula>D90="WW PODS"</formula>
    </cfRule>
    <cfRule type="expression" priority="413" dxfId="206">
      <formula>D90="GRILLE"</formula>
    </cfRule>
    <cfRule type="expression" priority="414" dxfId="206">
      <formula>D90="CENTREX"</formula>
    </cfRule>
    <cfRule type="expression" priority="415" dxfId="206" stopIfTrue="1">
      <formula>D82="canopy type"</formula>
    </cfRule>
    <cfRule type="expression" priority="416" dxfId="207">
      <formula>(((I82*3600)/(C90*I79))^2+20)&gt;300</formula>
    </cfRule>
    <cfRule type="expression" priority="417" dxfId="205" stopIfTrue="1">
      <formula>(ISNUMBER(SEARCH("UV",D82)))</formula>
    </cfRule>
    <cfRule type="expression" priority="419" dxfId="205">
      <formula>D90="KSA"</formula>
    </cfRule>
    <cfRule type="expression" priority="418" dxfId="207">
      <formula>(((I82*3600)/(C90*I79))^2+20)&gt;180</formula>
    </cfRule>
  </conditionalFormatting>
  <conditionalFormatting sqref="F92">
    <cfRule type="cellIs" priority="1022" operator="lessThan" dxfId="204">
      <formula>2100</formula>
    </cfRule>
  </conditionalFormatting>
  <conditionalFormatting sqref="F97">
    <cfRule type="cellIs" priority="938" operator="greaterThan" dxfId="204">
      <formula>3001</formula>
    </cfRule>
  </conditionalFormatting>
  <conditionalFormatting sqref="F100">
    <cfRule type="expression" priority="766" dxfId="216">
      <formula>(C100="FLO")</formula>
    </cfRule>
    <cfRule type="expression" priority="750" dxfId="214">
      <formula>(C100="LED STRIP")</formula>
    </cfRule>
    <cfRule type="expression" priority="764" dxfId="215">
      <formula>(C100="LIGHT SELECTION")</formula>
    </cfRule>
  </conditionalFormatting>
  <conditionalFormatting sqref="F107:F108">
    <cfRule type="expression" priority="386" dxfId="208">
      <formula>D107="WW PODS"</formula>
    </cfRule>
    <cfRule type="expression" priority="387" dxfId="206">
      <formula>D107="GRILLE"</formula>
    </cfRule>
    <cfRule type="expression" priority="391" dxfId="205" stopIfTrue="1">
      <formula>(ISNUMBER(SEARCH("UV",D99)))</formula>
    </cfRule>
    <cfRule type="expression" priority="390" dxfId="207">
      <formula>(((I99*3600)/(C107*I96))^2+20)&gt;300</formula>
    </cfRule>
    <cfRule type="expression" priority="392" dxfId="207">
      <formula>(((I99*3600)/(C107*I96))^2+20)&gt;180</formula>
    </cfRule>
    <cfRule type="expression" priority="389" dxfId="206" stopIfTrue="1">
      <formula>D99="canopy type"</formula>
    </cfRule>
    <cfRule type="expression" priority="388" dxfId="206">
      <formula>D107="CENTREX"</formula>
    </cfRule>
    <cfRule type="expression" priority="393" dxfId="205">
      <formula>D107="KSA"</formula>
    </cfRule>
    <cfRule type="expression" priority="385" dxfId="206">
      <formula>D107="NF"</formula>
    </cfRule>
  </conditionalFormatting>
  <conditionalFormatting sqref="F109">
    <cfRule type="cellIs" priority="931" operator="lessThan" dxfId="204">
      <formula>2100</formula>
    </cfRule>
  </conditionalFormatting>
  <conditionalFormatting sqref="F114">
    <cfRule type="cellIs" priority="345" operator="greaterThan" dxfId="204">
      <formula>3001</formula>
    </cfRule>
  </conditionalFormatting>
  <conditionalFormatting sqref="F117">
    <cfRule type="expression" priority="320" dxfId="216">
      <formula>(C117="FLO")</formula>
    </cfRule>
    <cfRule type="expression" priority="318" dxfId="215">
      <formula>(C117="LIGHT SELECTION")</formula>
    </cfRule>
    <cfRule type="expression" priority="316" dxfId="214">
      <formula>(C117="LED STRIP")</formula>
    </cfRule>
  </conditionalFormatting>
  <conditionalFormatting sqref="F124:F125">
    <cfRule type="expression" priority="305" dxfId="206">
      <formula>D124="GRILLE"</formula>
    </cfRule>
    <cfRule type="expression" priority="304" dxfId="208">
      <formula>D124="WW PODS"</formula>
    </cfRule>
    <cfRule type="expression" priority="303" dxfId="206">
      <formula>D124="NF"</formula>
    </cfRule>
    <cfRule type="expression" priority="307" dxfId="206" stopIfTrue="1">
      <formula>D116="canopy type"</formula>
    </cfRule>
    <cfRule type="expression" priority="308" dxfId="207">
      <formula>(((I116*3600)/(C124*I113))^2+20)&gt;300</formula>
    </cfRule>
    <cfRule type="expression" priority="309" dxfId="205" stopIfTrue="1">
      <formula>(ISNUMBER(SEARCH("UV",D116)))</formula>
    </cfRule>
    <cfRule type="expression" priority="310" dxfId="207">
      <formula>(((I116*3600)/(C124*I113))^2+20)&gt;180</formula>
    </cfRule>
    <cfRule type="expression" priority="311" dxfId="205">
      <formula>D124="KSA"</formula>
    </cfRule>
    <cfRule type="expression" priority="306" dxfId="206">
      <formula>D124="CENTREX"</formula>
    </cfRule>
  </conditionalFormatting>
  <conditionalFormatting sqref="F126">
    <cfRule type="cellIs" priority="339" operator="lessThan" dxfId="204">
      <formula>2100</formula>
    </cfRule>
  </conditionalFormatting>
  <conditionalFormatting sqref="F131">
    <cfRule type="cellIs" priority="269" operator="greaterThan" dxfId="204">
      <formula>3001</formula>
    </cfRule>
  </conditionalFormatting>
  <conditionalFormatting sqref="F134">
    <cfRule type="expression" priority="245" dxfId="214">
      <formula>(C134="LED STRIP")</formula>
    </cfRule>
    <cfRule type="expression" priority="248" dxfId="216">
      <formula>(C134="FLO")</formula>
    </cfRule>
    <cfRule type="expression" priority="246" dxfId="215">
      <formula>(C134="LIGHT SELECTION")</formula>
    </cfRule>
  </conditionalFormatting>
  <conditionalFormatting sqref="F141:F142">
    <cfRule type="expression" priority="234" dxfId="208">
      <formula>D141="WW PODS"</formula>
    </cfRule>
    <cfRule type="expression" priority="235" dxfId="206">
      <formula>D141="GRILLE"</formula>
    </cfRule>
    <cfRule type="expression" priority="236" dxfId="206">
      <formula>D141="CENTREX"</formula>
    </cfRule>
    <cfRule type="expression" priority="233" dxfId="206">
      <formula>D141="NF"</formula>
    </cfRule>
    <cfRule type="expression" priority="237" dxfId="206" stopIfTrue="1">
      <formula>D133="canopy type"</formula>
    </cfRule>
    <cfRule type="expression" priority="238" dxfId="207">
      <formula>(((I133*3600)/(C141*I130))^2+20)&gt;300</formula>
    </cfRule>
    <cfRule type="expression" priority="239" dxfId="205" stopIfTrue="1">
      <formula>(ISNUMBER(SEARCH("UV",D133)))</formula>
    </cfRule>
    <cfRule type="expression" priority="240" dxfId="207">
      <formula>(((I133*3600)/(C141*I130))^2+20)&gt;180</formula>
    </cfRule>
    <cfRule type="expression" priority="241" dxfId="205">
      <formula>D141="KSA"</formula>
    </cfRule>
  </conditionalFormatting>
  <conditionalFormatting sqref="F143">
    <cfRule type="cellIs" priority="263" operator="lessThan" dxfId="204">
      <formula>2100</formula>
    </cfRule>
  </conditionalFormatting>
  <conditionalFormatting sqref="F148">
    <cfRule type="cellIs" priority="213" operator="greaterThan" dxfId="204">
      <formula>3001</formula>
    </cfRule>
  </conditionalFormatting>
  <conditionalFormatting sqref="F151">
    <cfRule type="expression" priority="189" dxfId="214">
      <formula>(C151="LED STRIP")</formula>
    </cfRule>
    <cfRule type="expression" priority="190" dxfId="215">
      <formula>(C151="LIGHT SELECTION")</formula>
    </cfRule>
    <cfRule type="expression" priority="192" dxfId="216">
      <formula>(C151="FLO")</formula>
    </cfRule>
  </conditionalFormatting>
  <conditionalFormatting sqref="F158:F159">
    <cfRule type="expression" priority="184" dxfId="207">
      <formula>(((I150*3600)/(C158*I147))^2+20)&gt;180</formula>
    </cfRule>
    <cfRule type="expression" priority="177" dxfId="206">
      <formula>D158="NF"</formula>
    </cfRule>
    <cfRule type="expression" priority="178" dxfId="208">
      <formula>D158="WW PODS"</formula>
    </cfRule>
    <cfRule type="expression" priority="179" dxfId="206">
      <formula>D158="GRILLE"</formula>
    </cfRule>
    <cfRule type="expression" priority="180" dxfId="206">
      <formula>D158="CENTREX"</formula>
    </cfRule>
    <cfRule type="expression" priority="181" dxfId="206" stopIfTrue="1">
      <formula>D150="canopy type"</formula>
    </cfRule>
    <cfRule type="expression" priority="182" dxfId="207">
      <formula>(((I150*3600)/(C158*I147))^2+20)&gt;300</formula>
    </cfRule>
    <cfRule type="expression" priority="185" dxfId="205">
      <formula>D158="KSA"</formula>
    </cfRule>
    <cfRule type="expression" priority="183" dxfId="205" stopIfTrue="1">
      <formula>(ISNUMBER(SEARCH("UV",D150)))</formula>
    </cfRule>
  </conditionalFormatting>
  <conditionalFormatting sqref="F160">
    <cfRule type="cellIs" priority="207" operator="lessThan" dxfId="204">
      <formula>2100</formula>
    </cfRule>
  </conditionalFormatting>
  <conditionalFormatting sqref="F165">
    <cfRule type="cellIs" priority="157" operator="greaterThan" dxfId="204">
      <formula>3001</formula>
    </cfRule>
  </conditionalFormatting>
  <conditionalFormatting sqref="F168">
    <cfRule type="expression" priority="136" dxfId="216">
      <formula>(C168="FLO")</formula>
    </cfRule>
    <cfRule type="expression" priority="134" dxfId="215">
      <formula>(C168="LIGHT SELECTION")</formula>
    </cfRule>
    <cfRule type="expression" priority="133" dxfId="214">
      <formula>(C168="LED STRIP")</formula>
    </cfRule>
  </conditionalFormatting>
  <conditionalFormatting sqref="F175:F176">
    <cfRule type="expression" priority="127" dxfId="205" stopIfTrue="1">
      <formula>(ISNUMBER(SEARCH("UV",D167)))</formula>
    </cfRule>
    <cfRule type="expression" priority="126" dxfId="207">
      <formula>(((I167*3600)/(C175*I164))^2+20)&gt;300</formula>
    </cfRule>
    <cfRule type="expression" priority="125" dxfId="206" stopIfTrue="1">
      <formula>D167="canopy type"</formula>
    </cfRule>
    <cfRule type="expression" priority="124" dxfId="206">
      <formula>D175="CENTREX"</formula>
    </cfRule>
    <cfRule type="expression" priority="123" dxfId="206">
      <formula>D175="GRILLE"</formula>
    </cfRule>
    <cfRule type="expression" priority="122" dxfId="208">
      <formula>D175="WW PODS"</formula>
    </cfRule>
    <cfRule type="expression" priority="128" dxfId="207">
      <formula>(((I167*3600)/(C175*I164))^2+20)&gt;180</formula>
    </cfRule>
    <cfRule type="expression" priority="121" dxfId="206">
      <formula>D175="NF"</formula>
    </cfRule>
    <cfRule type="expression" priority="129" dxfId="205">
      <formula>D175="KSA"</formula>
    </cfRule>
  </conditionalFormatting>
  <conditionalFormatting sqref="F177">
    <cfRule type="cellIs" priority="151" operator="lessThan" dxfId="204">
      <formula>2100</formula>
    </cfRule>
  </conditionalFormatting>
  <conditionalFormatting sqref="G11">
    <cfRule type="expression" priority="5717" dxfId="176">
      <formula>((F14-50)/H14)&lt;950</formula>
    </cfRule>
  </conditionalFormatting>
  <conditionalFormatting sqref="G12">
    <cfRule type="expression" priority="5716" dxfId="175">
      <formula>((F14-50)/H14)&lt;950</formula>
    </cfRule>
  </conditionalFormatting>
  <conditionalFormatting sqref="G14">
    <cfRule type="cellIs" priority="5712" operator="lessThan" dxfId="164">
      <formula>400</formula>
    </cfRule>
  </conditionalFormatting>
  <conditionalFormatting sqref="G28">
    <cfRule type="expression" priority="2499" dxfId="176">
      <formula>((F31-50)/H31)&lt;950</formula>
    </cfRule>
  </conditionalFormatting>
  <conditionalFormatting sqref="G29">
    <cfRule type="expression" priority="1303" dxfId="175">
      <formula>((F31-50)/H31)&lt;950</formula>
    </cfRule>
  </conditionalFormatting>
  <conditionalFormatting sqref="G31">
    <cfRule type="cellIs" priority="1299" operator="lessThan" dxfId="164">
      <formula>400</formula>
    </cfRule>
  </conditionalFormatting>
  <conditionalFormatting sqref="G45">
    <cfRule type="expression" priority="5096" dxfId="176">
      <formula>((F48-50)/H48)&lt;950</formula>
    </cfRule>
  </conditionalFormatting>
  <conditionalFormatting sqref="G46">
    <cfRule type="expression" priority="1212" dxfId="175">
      <formula>((F48-50)/H48)&lt;950</formula>
    </cfRule>
  </conditionalFormatting>
  <conditionalFormatting sqref="G48">
    <cfRule type="cellIs" priority="1208" operator="lessThan" dxfId="164">
      <formula>400</formula>
    </cfRule>
  </conditionalFormatting>
  <conditionalFormatting sqref="G62">
    <cfRule type="expression" priority="5176" dxfId="176">
      <formula>((F65-50)/H65)&lt;950</formula>
    </cfRule>
  </conditionalFormatting>
  <conditionalFormatting sqref="G63">
    <cfRule type="expression" priority="1121" dxfId="175">
      <formula>((F65-50)/H65)&lt;950</formula>
    </cfRule>
  </conditionalFormatting>
  <conditionalFormatting sqref="G65">
    <cfRule type="cellIs" priority="1117" operator="lessThan" dxfId="164">
      <formula>400</formula>
    </cfRule>
  </conditionalFormatting>
  <conditionalFormatting sqref="G79">
    <cfRule type="expression" priority="5256" dxfId="176">
      <formula>((F82-50)/H82)&lt;950</formula>
    </cfRule>
  </conditionalFormatting>
  <conditionalFormatting sqref="G80">
    <cfRule type="expression" priority="1030" dxfId="175">
      <formula>((F82-50)/H82)&lt;950</formula>
    </cfRule>
  </conditionalFormatting>
  <conditionalFormatting sqref="G82">
    <cfRule type="cellIs" priority="1026" operator="lessThan" dxfId="164">
      <formula>400</formula>
    </cfRule>
  </conditionalFormatting>
  <conditionalFormatting sqref="G96">
    <cfRule type="expression" priority="5609" dxfId="176">
      <formula>((F99-50)/H99)&lt;950</formula>
    </cfRule>
  </conditionalFormatting>
  <conditionalFormatting sqref="G97">
    <cfRule type="expression" priority="939" dxfId="175">
      <formula>((F99-50)/H99)&lt;950</formula>
    </cfRule>
  </conditionalFormatting>
  <conditionalFormatting sqref="G99">
    <cfRule type="cellIs" priority="935" operator="lessThan" dxfId="164">
      <formula>400</formula>
    </cfRule>
  </conditionalFormatting>
  <conditionalFormatting sqref="G113">
    <cfRule type="expression" priority="367" dxfId="176">
      <formula>((F116-50)/H116)&lt;950</formula>
    </cfRule>
  </conditionalFormatting>
  <conditionalFormatting sqref="G114">
    <cfRule type="expression" priority="346" dxfId="175">
      <formula>((F116-50)/H116)&lt;950</formula>
    </cfRule>
  </conditionalFormatting>
  <conditionalFormatting sqref="G116">
    <cfRule type="cellIs" priority="342" operator="lessThan" dxfId="164">
      <formula>400</formula>
    </cfRule>
  </conditionalFormatting>
  <conditionalFormatting sqref="G130">
    <cfRule type="expression" priority="281" dxfId="176">
      <formula>((F133-50)/H133)&lt;950</formula>
    </cfRule>
  </conditionalFormatting>
  <conditionalFormatting sqref="G131">
    <cfRule type="expression" priority="270" dxfId="175">
      <formula>((F133-50)/H133)&lt;950</formula>
    </cfRule>
  </conditionalFormatting>
  <conditionalFormatting sqref="G133">
    <cfRule type="cellIs" priority="266" operator="lessThan" dxfId="164">
      <formula>400</formula>
    </cfRule>
  </conditionalFormatting>
  <conditionalFormatting sqref="G147">
    <cfRule type="expression" priority="225" dxfId="176">
      <formula>((F150-50)/H150)&lt;950</formula>
    </cfRule>
  </conditionalFormatting>
  <conditionalFormatting sqref="G148">
    <cfRule type="expression" priority="214" dxfId="175">
      <formula>((F150-50)/H150)&lt;950</formula>
    </cfRule>
  </conditionalFormatting>
  <conditionalFormatting sqref="G150">
    <cfRule type="cellIs" priority="210" operator="lessThan" dxfId="164">
      <formula>400</formula>
    </cfRule>
  </conditionalFormatting>
  <conditionalFormatting sqref="G164">
    <cfRule type="expression" priority="169" dxfId="176">
      <formula>((F167-50)/H167)&lt;950</formula>
    </cfRule>
  </conditionalFormatting>
  <conditionalFormatting sqref="G165">
    <cfRule type="expression" priority="158" dxfId="175">
      <formula>((F167-50)/H167)&lt;950</formula>
    </cfRule>
  </conditionalFormatting>
  <conditionalFormatting sqref="G167">
    <cfRule type="cellIs" priority="154" operator="lessThan" dxfId="164">
      <formula>400</formula>
    </cfRule>
  </conditionalFormatting>
  <conditionalFormatting sqref="I14">
    <cfRule type="cellIs" priority="5713" operator="lessThan" dxfId="164">
      <formula>0.1</formula>
    </cfRule>
  </conditionalFormatting>
  <conditionalFormatting sqref="I31">
    <cfRule type="cellIs" priority="1300" operator="lessThan" dxfId="164">
      <formula>0.1</formula>
    </cfRule>
  </conditionalFormatting>
  <conditionalFormatting sqref="I48">
    <cfRule type="cellIs" priority="1209" operator="lessThan" dxfId="164">
      <formula>0.1</formula>
    </cfRule>
  </conditionalFormatting>
  <conditionalFormatting sqref="I65">
    <cfRule type="cellIs" priority="1118" operator="lessThan" dxfId="164">
      <formula>0.1</formula>
    </cfRule>
  </conditionalFormatting>
  <conditionalFormatting sqref="I82">
    <cfRule type="cellIs" priority="1027" operator="lessThan" dxfId="164">
      <formula>0.1</formula>
    </cfRule>
  </conditionalFormatting>
  <conditionalFormatting sqref="I99">
    <cfRule type="cellIs" priority="936" operator="lessThan" dxfId="164">
      <formula>0.1</formula>
    </cfRule>
  </conditionalFormatting>
  <conditionalFormatting sqref="I116">
    <cfRule type="cellIs" priority="343" operator="lessThan" dxfId="164">
      <formula>0.1</formula>
    </cfRule>
  </conditionalFormatting>
  <conditionalFormatting sqref="I133">
    <cfRule type="cellIs" priority="267" operator="lessThan" dxfId="164">
      <formula>0.1</formula>
    </cfRule>
  </conditionalFormatting>
  <conditionalFormatting sqref="I150">
    <cfRule type="cellIs" priority="211" operator="lessThan" dxfId="164">
      <formula>0.1</formula>
    </cfRule>
  </conditionalFormatting>
  <conditionalFormatting sqref="I167">
    <cfRule type="cellIs" priority="155" operator="lessThan" dxfId="164">
      <formula>0.1</formula>
    </cfRule>
  </conditionalFormatting>
  <conditionalFormatting sqref="J14:J27">
    <cfRule type="cellIs" priority="503" operator="greaterThan" dxfId="153">
      <formula>0</formula>
    </cfRule>
  </conditionalFormatting>
  <conditionalFormatting sqref="J31:J44">
    <cfRule type="cellIs" priority="473" operator="greaterThan" dxfId="153">
      <formula>0</formula>
    </cfRule>
  </conditionalFormatting>
  <conditionalFormatting sqref="J48:J61">
    <cfRule type="cellIs" priority="99" operator="greaterThan" dxfId="153">
      <formula>0</formula>
    </cfRule>
  </conditionalFormatting>
  <conditionalFormatting sqref="J65:J78">
    <cfRule type="cellIs" priority="85" operator="greaterThan" dxfId="153">
      <formula>0</formula>
    </cfRule>
  </conditionalFormatting>
  <conditionalFormatting sqref="J82:J95">
    <cfRule type="cellIs" priority="71" operator="greaterThan" dxfId="153">
      <formula>0</formula>
    </cfRule>
  </conditionalFormatting>
  <conditionalFormatting sqref="J99:J112">
    <cfRule type="cellIs" priority="57" operator="greaterThan" dxfId="153">
      <formula>0</formula>
    </cfRule>
  </conditionalFormatting>
  <conditionalFormatting sqref="J116:J129">
    <cfRule type="cellIs" priority="43" operator="greaterThan" dxfId="153">
      <formula>0</formula>
    </cfRule>
  </conditionalFormatting>
  <conditionalFormatting sqref="J133:J146">
    <cfRule type="cellIs" priority="29" operator="greaterThan" dxfId="153">
      <formula>0</formula>
    </cfRule>
  </conditionalFormatting>
  <conditionalFormatting sqref="J150:J163">
    <cfRule type="cellIs" priority="15" operator="greaterThan" dxfId="153">
      <formula>0</formula>
    </cfRule>
  </conditionalFormatting>
  <conditionalFormatting sqref="J167:J180">
    <cfRule type="cellIs" priority="1" operator="greaterThan" dxfId="153">
      <formula>0</formula>
    </cfRule>
  </conditionalFormatting>
  <conditionalFormatting sqref="J183:J197">
    <cfRule type="expression" priority="282" dxfId="153">
      <formula>C183&gt;0</formula>
    </cfRule>
  </conditionalFormatting>
  <conditionalFormatting sqref="J199">
    <cfRule type="expression" priority="5617" dxfId="2">
      <formula>#REF!="EURO"</formula>
    </cfRule>
  </conditionalFormatting>
  <conditionalFormatting sqref="K14:K27">
    <cfRule type="cellIs" priority="587" operator="greaterThan" dxfId="141">
      <formula>0</formula>
    </cfRule>
  </conditionalFormatting>
  <conditionalFormatting sqref="K31:K44">
    <cfRule type="cellIs" priority="476" operator="greaterThan" dxfId="141">
      <formula>0</formula>
    </cfRule>
  </conditionalFormatting>
  <conditionalFormatting sqref="K48:K61">
    <cfRule type="cellIs" priority="102" operator="greaterThan" dxfId="141">
      <formula>0</formula>
    </cfRule>
  </conditionalFormatting>
  <conditionalFormatting sqref="K65:K78">
    <cfRule type="cellIs" priority="88" operator="greaterThan" dxfId="141">
      <formula>0</formula>
    </cfRule>
  </conditionalFormatting>
  <conditionalFormatting sqref="K82:K95">
    <cfRule type="cellIs" priority="74" operator="greaterThan" dxfId="141">
      <formula>0</formula>
    </cfRule>
  </conditionalFormatting>
  <conditionalFormatting sqref="K99:K112">
    <cfRule type="cellIs" priority="60" operator="greaterThan" dxfId="141">
      <formula>0</formula>
    </cfRule>
  </conditionalFormatting>
  <conditionalFormatting sqref="K116:K129">
    <cfRule type="cellIs" priority="46" operator="greaterThan" dxfId="141">
      <formula>0</formula>
    </cfRule>
  </conditionalFormatting>
  <conditionalFormatting sqref="K133:K146">
    <cfRule type="cellIs" priority="32" operator="greaterThan" dxfId="141">
      <formula>0</formula>
    </cfRule>
  </conditionalFormatting>
  <conditionalFormatting sqref="K150:K163">
    <cfRule type="cellIs" priority="18" operator="greaterThan" dxfId="141">
      <formula>0</formula>
    </cfRule>
  </conditionalFormatting>
  <conditionalFormatting sqref="K167:K180">
    <cfRule type="cellIs" priority="4" operator="greaterThan" dxfId="141">
      <formula>0</formula>
    </cfRule>
  </conditionalFormatting>
  <conditionalFormatting sqref="K183:K197">
    <cfRule type="cellIs" priority="283" operator="greaterThan" dxfId="141">
      <formula>0</formula>
    </cfRule>
  </conditionalFormatting>
  <conditionalFormatting sqref="K199">
    <cfRule type="expression" priority="5616" dxfId="2">
      <formula>$B$9="EURO"</formula>
    </cfRule>
    <cfRule type="expression" priority="5615" dxfId="3">
      <formula>$B$9="USD"</formula>
    </cfRule>
    <cfRule type="expression" priority="5614" dxfId="0">
      <formula>$B$9="CZK"</formula>
    </cfRule>
    <cfRule type="expression" priority="5613" dxfId="4">
      <formula>$B$9="PLN"</formula>
    </cfRule>
  </conditionalFormatting>
  <conditionalFormatting sqref="L14:L27">
    <cfRule type="expression" priority="580" dxfId="116">
      <formula>$C$9&lt;0</formula>
    </cfRule>
    <cfRule type="expression" priority="581" dxfId="115">
      <formula>$C$9&gt;0</formula>
    </cfRule>
  </conditionalFormatting>
  <conditionalFormatting sqref="L31:L44">
    <cfRule type="expression" priority="475" dxfId="115">
      <formula>$C$9&gt;0</formula>
    </cfRule>
    <cfRule type="expression" priority="474" dxfId="116">
      <formula>$C$9&lt;0</formula>
    </cfRule>
  </conditionalFormatting>
  <conditionalFormatting sqref="L48:L61">
    <cfRule type="expression" priority="100" dxfId="116">
      <formula>$C$9&lt;0</formula>
    </cfRule>
    <cfRule type="expression" priority="101" dxfId="115">
      <formula>$C$9&gt;0</formula>
    </cfRule>
  </conditionalFormatting>
  <conditionalFormatting sqref="L65:L78">
    <cfRule type="expression" priority="86" dxfId="116">
      <formula>$C$9&lt;0</formula>
    </cfRule>
    <cfRule type="expression" priority="87" dxfId="115">
      <formula>$C$9&gt;0</formula>
    </cfRule>
  </conditionalFormatting>
  <conditionalFormatting sqref="L82:L95">
    <cfRule type="expression" priority="72" dxfId="116">
      <formula>$C$9&lt;0</formula>
    </cfRule>
    <cfRule type="expression" priority="73" dxfId="115">
      <formula>$C$9&gt;0</formula>
    </cfRule>
  </conditionalFormatting>
  <conditionalFormatting sqref="L99:L112">
    <cfRule type="expression" priority="58" dxfId="116">
      <formula>$C$9&lt;0</formula>
    </cfRule>
    <cfRule type="expression" priority="59" dxfId="115">
      <formula>$C$9&gt;0</formula>
    </cfRule>
  </conditionalFormatting>
  <conditionalFormatting sqref="L116:L129">
    <cfRule type="expression" priority="44" dxfId="116">
      <formula>$C$9&lt;0</formula>
    </cfRule>
    <cfRule type="expression" priority="45" dxfId="115">
      <formula>$C$9&gt;0</formula>
    </cfRule>
  </conditionalFormatting>
  <conditionalFormatting sqref="L133:L146">
    <cfRule type="expression" priority="31" dxfId="115">
      <formula>$C$9&gt;0</formula>
    </cfRule>
    <cfRule type="expression" priority="30" dxfId="116">
      <formula>$C$9&lt;0</formula>
    </cfRule>
  </conditionalFormatting>
  <conditionalFormatting sqref="L150:L163">
    <cfRule type="expression" priority="17" dxfId="115">
      <formula>$C$9&gt;0</formula>
    </cfRule>
    <cfRule type="expression" priority="16" dxfId="116">
      <formula>$C$9&lt;0</formula>
    </cfRule>
  </conditionalFormatting>
  <conditionalFormatting sqref="L167:L180">
    <cfRule type="expression" priority="3" dxfId="115">
      <formula>$C$9&gt;0</formula>
    </cfRule>
    <cfRule type="expression" priority="2" dxfId="116">
      <formula>$C$9&lt;0</formula>
    </cfRule>
  </conditionalFormatting>
  <conditionalFormatting sqref="L183:L197">
    <cfRule type="expression" priority="5460" dxfId="116">
      <formula>$C$9&lt;0</formula>
    </cfRule>
    <cfRule type="expression" priority="5461" dxfId="115">
      <formula>$C$9&gt;0</formula>
    </cfRule>
  </conditionalFormatting>
  <conditionalFormatting sqref="N9 N12">
    <cfRule type="expression" priority="5726" dxfId="4">
      <formula>$B$9="PLN"</formula>
    </cfRule>
    <cfRule type="expression" priority="5727" dxfId="0">
      <formula>$B$9="CZK"</formula>
    </cfRule>
    <cfRule type="expression" priority="5728" dxfId="3">
      <formula>$B$9="USD"</formula>
    </cfRule>
    <cfRule type="expression" priority="5729" dxfId="2">
      <formula>$B$9="EURO"</formula>
    </cfRule>
  </conditionalFormatting>
  <conditionalFormatting sqref="N14:N27">
    <cfRule type="expression" priority="3409" dxfId="3">
      <formula>$B$9="USD"</formula>
    </cfRule>
    <cfRule type="expression" priority="3408" dxfId="2">
      <formula>$B$9="EURO"</formula>
    </cfRule>
    <cfRule type="cellIs" priority="3407" operator="greaterThan" dxfId="1">
      <formula>0</formula>
    </cfRule>
    <cfRule type="expression" priority="3411" dxfId="0">
      <formula>$B$9="CZK"</formula>
    </cfRule>
    <cfRule type="expression" priority="3410" dxfId="4">
      <formula>$B$9="PLN"</formula>
    </cfRule>
  </conditionalFormatting>
  <conditionalFormatting sqref="N29">
    <cfRule type="expression" priority="1311" dxfId="4">
      <formula>$B$9="PLN"</formula>
    </cfRule>
    <cfRule type="expression" priority="1314" dxfId="2">
      <formula>$B$9="EURO"</formula>
    </cfRule>
    <cfRule type="expression" priority="1313" dxfId="3">
      <formula>$B$9="USD"</formula>
    </cfRule>
    <cfRule type="expression" priority="1312" dxfId="0">
      <formula>$B$9="CZK"</formula>
    </cfRule>
  </conditionalFormatting>
  <conditionalFormatting sqref="N31:N44">
    <cfRule type="cellIs" priority="479" operator="greaterThan" dxfId="1">
      <formula>0</formula>
    </cfRule>
    <cfRule type="expression" priority="480" dxfId="2">
      <formula>$B$9="EURO"</formula>
    </cfRule>
    <cfRule type="expression" priority="481" dxfId="3">
      <formula>$B$9="USD"</formula>
    </cfRule>
    <cfRule type="expression" priority="482" dxfId="4">
      <formula>$B$9="PLN"</formula>
    </cfRule>
    <cfRule type="expression" priority="483" dxfId="0">
      <formula>$B$9="CZK"</formula>
    </cfRule>
  </conditionalFormatting>
  <conditionalFormatting sqref="N46">
    <cfRule type="expression" priority="1220" dxfId="4">
      <formula>$B$9="PLN"</formula>
    </cfRule>
    <cfRule type="expression" priority="1222" dxfId="3">
      <formula>$B$9="USD"</formula>
    </cfRule>
    <cfRule type="expression" priority="1223" dxfId="2">
      <formula>$B$9="EURO"</formula>
    </cfRule>
    <cfRule type="expression" priority="1221" dxfId="0">
      <formula>$B$9="CZK"</formula>
    </cfRule>
  </conditionalFormatting>
  <conditionalFormatting sqref="N48:N61">
    <cfRule type="expression" priority="105" dxfId="2">
      <formula>$B$9="EURO"</formula>
    </cfRule>
    <cfRule type="cellIs" priority="104" operator="greaterThan" dxfId="1">
      <formula>0</formula>
    </cfRule>
    <cfRule type="expression" priority="108" dxfId="0">
      <formula>$B$9="CZK"</formula>
    </cfRule>
    <cfRule type="expression" priority="107" dxfId="4">
      <formula>$B$9="PLN"</formula>
    </cfRule>
    <cfRule type="expression" priority="106" dxfId="3">
      <formula>$B$9="USD"</formula>
    </cfRule>
  </conditionalFormatting>
  <conditionalFormatting sqref="N63">
    <cfRule type="expression" priority="1129" dxfId="4">
      <formula>$B$9="PLN"</formula>
    </cfRule>
    <cfRule type="expression" priority="1130" dxfId="0">
      <formula>$B$9="CZK"</formula>
    </cfRule>
    <cfRule type="expression" priority="1131" dxfId="3">
      <formula>$B$9="USD"</formula>
    </cfRule>
    <cfRule type="expression" priority="1132" dxfId="2">
      <formula>$B$9="EURO"</formula>
    </cfRule>
  </conditionalFormatting>
  <conditionalFormatting sqref="N65:N78">
    <cfRule type="expression" priority="93" dxfId="4">
      <formula>$B$9="PLN"</formula>
    </cfRule>
    <cfRule type="expression" priority="94" dxfId="0">
      <formula>$B$9="CZK"</formula>
    </cfRule>
    <cfRule type="expression" priority="92" dxfId="3">
      <formula>$B$9="USD"</formula>
    </cfRule>
    <cfRule type="expression" priority="91" dxfId="2">
      <formula>$B$9="EURO"</formula>
    </cfRule>
    <cfRule type="cellIs" priority="90" operator="greaterThan" dxfId="1">
      <formula>0</formula>
    </cfRule>
  </conditionalFormatting>
  <conditionalFormatting sqref="N80">
    <cfRule type="expression" priority="1039" dxfId="0">
      <formula>$B$9="CZK"</formula>
    </cfRule>
    <cfRule type="expression" priority="1040" dxfId="3">
      <formula>$B$9="USD"</formula>
    </cfRule>
    <cfRule type="expression" priority="1038" dxfId="4">
      <formula>$B$9="PLN"</formula>
    </cfRule>
    <cfRule type="expression" priority="1041" dxfId="2">
      <formula>$B$9="EURO"</formula>
    </cfRule>
  </conditionalFormatting>
  <conditionalFormatting sqref="N82:N95">
    <cfRule type="expression" priority="79" dxfId="4">
      <formula>$B$9="PLN"</formula>
    </cfRule>
    <cfRule type="expression" priority="78" dxfId="3">
      <formula>$B$9="USD"</formula>
    </cfRule>
    <cfRule type="expression" priority="80" dxfId="0">
      <formula>$B$9="CZK"</formula>
    </cfRule>
    <cfRule type="cellIs" priority="76" operator="greaterThan" dxfId="1">
      <formula>0</formula>
    </cfRule>
    <cfRule type="expression" priority="77" dxfId="2">
      <formula>$B$9="EURO"</formula>
    </cfRule>
  </conditionalFormatting>
  <conditionalFormatting sqref="N97">
    <cfRule type="expression" priority="948" dxfId="0">
      <formula>$B$9="CZK"</formula>
    </cfRule>
    <cfRule type="expression" priority="947" dxfId="4">
      <formula>$B$9="PLN"</formula>
    </cfRule>
    <cfRule type="expression" priority="950" dxfId="2">
      <formula>$B$9="EURO"</formula>
    </cfRule>
    <cfRule type="expression" priority="949" dxfId="3">
      <formula>$B$9="USD"</formula>
    </cfRule>
  </conditionalFormatting>
  <conditionalFormatting sqref="N99:N112">
    <cfRule type="cellIs" priority="62" operator="greaterThan" dxfId="1">
      <formula>0</formula>
    </cfRule>
    <cfRule type="expression" priority="63" dxfId="2">
      <formula>$B$9="EURO"</formula>
    </cfRule>
    <cfRule type="expression" priority="64" dxfId="3">
      <formula>$B$9="USD"</formula>
    </cfRule>
    <cfRule type="expression" priority="65" dxfId="4">
      <formula>$B$9="PLN"</formula>
    </cfRule>
    <cfRule type="expression" priority="66" dxfId="0">
      <formula>$B$9="CZK"</formula>
    </cfRule>
  </conditionalFormatting>
  <conditionalFormatting sqref="N114">
    <cfRule type="expression" priority="354" dxfId="0">
      <formula>$B$9="CZK"</formula>
    </cfRule>
    <cfRule type="expression" priority="355" dxfId="3">
      <formula>$B$9="USD"</formula>
    </cfRule>
    <cfRule type="expression" priority="356" dxfId="2">
      <formula>$B$9="EURO"</formula>
    </cfRule>
    <cfRule type="expression" priority="353" dxfId="4">
      <formula>$B$9="PLN"</formula>
    </cfRule>
  </conditionalFormatting>
  <conditionalFormatting sqref="N116:N129">
    <cfRule type="cellIs" priority="48" operator="greaterThan" dxfId="1">
      <formula>0</formula>
    </cfRule>
    <cfRule type="expression" priority="52" dxfId="0">
      <formula>$B$9="CZK"</formula>
    </cfRule>
    <cfRule type="expression" priority="51" dxfId="4">
      <formula>$B$9="PLN"</formula>
    </cfRule>
    <cfRule type="expression" priority="50" dxfId="3">
      <formula>$B$9="USD"</formula>
    </cfRule>
    <cfRule type="expression" priority="49" dxfId="2">
      <formula>$B$9="EURO"</formula>
    </cfRule>
  </conditionalFormatting>
  <conditionalFormatting sqref="N131">
    <cfRule type="expression" priority="276" dxfId="4">
      <formula>$B$9="PLN"</formula>
    </cfRule>
    <cfRule type="expression" priority="277" dxfId="0">
      <formula>$B$9="CZK"</formula>
    </cfRule>
    <cfRule type="expression" priority="278" dxfId="3">
      <formula>$B$9="USD"</formula>
    </cfRule>
    <cfRule type="expression" priority="279" dxfId="2">
      <formula>$B$9="EURO"</formula>
    </cfRule>
  </conditionalFormatting>
  <conditionalFormatting sqref="N133:N146">
    <cfRule type="expression" priority="37" dxfId="4">
      <formula>$B$9="PLN"</formula>
    </cfRule>
    <cfRule type="expression" priority="36" dxfId="3">
      <formula>$B$9="USD"</formula>
    </cfRule>
    <cfRule type="expression" priority="38" dxfId="0">
      <formula>$B$9="CZK"</formula>
    </cfRule>
    <cfRule type="expression" priority="35" dxfId="2">
      <formula>$B$9="EURO"</formula>
    </cfRule>
    <cfRule type="cellIs" priority="34" operator="greaterThan" dxfId="1">
      <formula>0</formula>
    </cfRule>
  </conditionalFormatting>
  <conditionalFormatting sqref="N148">
    <cfRule type="expression" priority="223" dxfId="2">
      <formula>$B$9="EURO"</formula>
    </cfRule>
    <cfRule type="expression" priority="221" dxfId="0">
      <formula>$B$9="CZK"</formula>
    </cfRule>
    <cfRule type="expression" priority="220" dxfId="4">
      <formula>$B$9="PLN"</formula>
    </cfRule>
    <cfRule type="expression" priority="222" dxfId="3">
      <formula>$B$9="USD"</formula>
    </cfRule>
  </conditionalFormatting>
  <conditionalFormatting sqref="N150:N163">
    <cfRule type="expression" priority="22" dxfId="3">
      <formula>$B$9="USD"</formula>
    </cfRule>
    <cfRule type="cellIs" priority="20" operator="greaterThan" dxfId="1">
      <formula>0</formula>
    </cfRule>
    <cfRule type="expression" priority="21" dxfId="2">
      <formula>$B$9="EURO"</formula>
    </cfRule>
    <cfRule type="expression" priority="24" dxfId="0">
      <formula>$B$9="CZK"</formula>
    </cfRule>
    <cfRule type="expression" priority="23" dxfId="4">
      <formula>$B$9="PLN"</formula>
    </cfRule>
  </conditionalFormatting>
  <conditionalFormatting sqref="N165">
    <cfRule type="expression" priority="166" dxfId="3">
      <formula>$B$9="USD"</formula>
    </cfRule>
    <cfRule type="expression" priority="165" dxfId="0">
      <formula>$B$9="CZK"</formula>
    </cfRule>
    <cfRule type="expression" priority="167" dxfId="2">
      <formula>$B$9="EURO"</formula>
    </cfRule>
    <cfRule type="expression" priority="164" dxfId="4">
      <formula>$B$9="PLN"</formula>
    </cfRule>
  </conditionalFormatting>
  <conditionalFormatting sqref="N167:N180">
    <cfRule type="expression" priority="10" dxfId="0">
      <formula>$B$9="CZK"</formula>
    </cfRule>
    <cfRule type="expression" priority="7" dxfId="2">
      <formula>$B$9="EURO"</formula>
    </cfRule>
    <cfRule type="cellIs" priority="6" operator="greaterThan" dxfId="1">
      <formula>0</formula>
    </cfRule>
    <cfRule type="expression" priority="8" dxfId="3">
      <formula>$B$9="USD"</formula>
    </cfRule>
    <cfRule type="expression" priority="9" dxfId="4">
      <formula>$B$9="PLN"</formula>
    </cfRule>
  </conditionalFormatting>
  <conditionalFormatting sqref="N183:N197">
    <cfRule type="expression" priority="5009" dxfId="0">
      <formula>$B$9="CZK"</formula>
    </cfRule>
    <cfRule type="expression" priority="5008" dxfId="4">
      <formula>$B$9="PLN"</formula>
    </cfRule>
    <cfRule type="expression" priority="5007" dxfId="3">
      <formula>$B$9="USD"</formula>
    </cfRule>
    <cfRule type="expression" priority="5006" dxfId="2">
      <formula>$B$9="EURO"</formula>
    </cfRule>
    <cfRule type="cellIs" priority="5005" operator="greaterThan" dxfId="1">
      <formula>0</formula>
    </cfRule>
  </conditionalFormatting>
  <conditionalFormatting sqref="N182:O182">
    <cfRule type="expression" priority="5473" dxfId="0">
      <formula>$B$9="CZK"</formula>
    </cfRule>
    <cfRule type="expression" priority="5472" dxfId="4">
      <formula>$B$9="PLN"</formula>
    </cfRule>
    <cfRule type="expression" priority="5475" dxfId="2">
      <formula>$B$9="EURO"</formula>
    </cfRule>
    <cfRule type="expression" priority="5474" dxfId="3">
      <formula>$B$9="USD"</formula>
    </cfRule>
  </conditionalFormatting>
  <conditionalFormatting sqref="O14:O27">
    <cfRule type="cellIs" priority="3412" operator="greaterThan" dxfId="5">
      <formula>0</formula>
    </cfRule>
  </conditionalFormatting>
  <conditionalFormatting sqref="O31:O44">
    <cfRule type="cellIs" priority="484" operator="greaterThan" dxfId="5">
      <formula>0</formula>
    </cfRule>
  </conditionalFormatting>
  <conditionalFormatting sqref="O48:O61">
    <cfRule type="cellIs" priority="109" operator="greaterThan" dxfId="5">
      <formula>0</formula>
    </cfRule>
  </conditionalFormatting>
  <conditionalFormatting sqref="O65:O78">
    <cfRule type="cellIs" priority="95" operator="greaterThan" dxfId="5">
      <formula>0</formula>
    </cfRule>
  </conditionalFormatting>
  <conditionalFormatting sqref="O82:O95">
    <cfRule type="cellIs" priority="81" operator="greaterThan" dxfId="5">
      <formula>0</formula>
    </cfRule>
  </conditionalFormatting>
  <conditionalFormatting sqref="O99:O112">
    <cfRule type="cellIs" priority="67" operator="greaterThan" dxfId="5">
      <formula>0</formula>
    </cfRule>
  </conditionalFormatting>
  <conditionalFormatting sqref="O116:O129">
    <cfRule type="cellIs" priority="53" operator="greaterThan" dxfId="5">
      <formula>0</formula>
    </cfRule>
  </conditionalFormatting>
  <conditionalFormatting sqref="O133:O146">
    <cfRule type="cellIs" priority="39" operator="greaterThan" dxfId="5">
      <formula>0</formula>
    </cfRule>
  </conditionalFormatting>
  <conditionalFormatting sqref="O150:O163">
    <cfRule type="cellIs" priority="25" operator="greaterThan" dxfId="5">
      <formula>0</formula>
    </cfRule>
  </conditionalFormatting>
  <conditionalFormatting sqref="O167:O180">
    <cfRule type="cellIs" priority="11" operator="greaterThan" dxfId="5">
      <formula>0</formula>
    </cfRule>
  </conditionalFormatting>
  <conditionalFormatting sqref="O183:O197">
    <cfRule type="cellIs" priority="5618" operator="greaterThan" dxfId="5">
      <formula>0</formula>
    </cfRule>
  </conditionalFormatting>
  <conditionalFormatting sqref="Q16">
    <cfRule type="expression" priority="507" dxfId="4">
      <formula>$B$9="PLN"</formula>
    </cfRule>
    <cfRule type="expression" priority="506" dxfId="3">
      <formula>$B$9="USD"</formula>
    </cfRule>
    <cfRule type="expression" priority="505" dxfId="2">
      <formula>$B$9="EURO"</formula>
    </cfRule>
    <cfRule type="cellIs" priority="504" operator="greaterThan" dxfId="1">
      <formula>0</formula>
    </cfRule>
    <cfRule type="expression" priority="508" dxfId="0">
      <formula>$B$9="CZK"</formula>
    </cfRule>
  </conditionalFormatting>
  <dataValidations count="16">
    <dataValidation sqref="D26 D43 D60 D77 D94 D111 D128 D145 D162 D179" showDropDown="0" showInputMessage="1" showErrorMessage="1" allowBlank="1" type="list">
      <formula1>"0,1,2,3,4,5,6,7,8,9,10"</formula1>
    </dataValidation>
    <dataValidation sqref="G181" showDropDown="0" showInputMessage="1" showErrorMessage="1" allowBlank="1" type="list">
      <formula1>#REF!</formula1>
    </dataValidation>
    <dataValidation sqref="C14 C31 C48 C65 C82 C99 C116 C133 C150 C167" showDropDown="0" showInputMessage="1" showErrorMessage="1" allowBlank="1" type="list">
      <formula1>"WALL, ISLAND"</formula1>
    </dataValidation>
    <dataValidation sqref="E14 E31 E48 E65 E82 E99 E116 E133 E150 E167" showDropDown="0" showInputMessage="1" showErrorMessage="1" allowBlank="1" operator="greaterThan"/>
    <dataValidation sqref="C20:C21 C37:C38 C54:C55 C71:C72 C88:C89 C105:C106 C122:C123 C139:C140 C156:C157 C173:C174" showDropDown="0" showInputMessage="1" showErrorMessage="1" allowBlank="1" type="list">
      <formula1>"0,1,2,3,4,5,6,7,8,9,10,11,12,13,14,15,16,17,18,19,20"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7 C44 C61 C78 C95 C112 C129 C146 C163 C180" showDropDown="0" showInputMessage="1" showErrorMessage="1" allowBlank="1" type="list">
      <formula1>"0,0.5,1,1.5,2,2.5,3,3.5,4,4.5,5"</formula1>
    </dataValidation>
    <dataValidation sqref="C15 C32 C49 C66 C83 C100 C117 C134 C151 C168 C185 C202 C219 C236 C253 C270 C287 C304" showDropDown="0" showInputMessage="0" showErrorMessage="0" allowBlank="1" type="list">
      <formula1>Lists!$A$1:$A$5</formula1>
    </dataValidation>
    <dataValidation sqref="C16 C33 C50 C67 C84 C101 C118 C135 C152 C169 C186 C203 C220 C237 C254 C271 C288 C305" showDropDown="0" showInputMessage="0" showErrorMessage="0" allowBlank="1" type="list">
      <formula1>Lists!$B$1:$B$17</formula1>
    </dataValidation>
    <dataValidation sqref="C17 C34 C51 C68 C85 C102 C119 C136 C153 C170 C187 C204 C221 C238 C255 C272 C289 C306" showDropDown="0" showInputMessage="0" showErrorMessage="0" allowBlank="1" type="list">
      <formula1>Lists!$B$1:$B$18</formula1>
    </dataValidation>
    <dataValidation sqref="C19 C36 C53 C70 C87 C104 C121 C138 C155 C172 C189 C206 C223 C240 C257 C274 C291 C308" showDropDown="0" showInputMessage="0" showErrorMessage="0" allowBlank="1" type="list">
      <formula1>Lists!$C$1:$C$2</formula1>
    </dataValidation>
    <dataValidation sqref="C25 C42 C59 C76 C93 C110 C127 C144 C161 C178 C195 C212 C229 C246 C263 C280 C297" showDropDown="0" showInputMessage="0" showErrorMessage="0" allowBlank="1" type="list">
      <formula1>Lists!$D$1:$D$4</formula1>
    </dataValidation>
    <dataValidation sqref="C26 C43 C60 C77 C94 C111 C128 C145 C162 C179 C196 C213 C230 C247 C264 C281 C298" showDropDown="0" showInputMessage="0" showErrorMessage="0" allowBlank="1" type="list">
      <formula1>Lists!$E$1:$E$10</formula1>
    </dataValidation>
    <dataValidation sqref="D183" showDropDown="0" showInputMessage="0" showErrorMessage="0" allowBlank="1" type="list">
      <formula1>Lists!$F$1:$F$193</formula1>
    </dataValidation>
    <dataValidation sqref="D184" showDropDown="0" showInputMessage="0" showErrorMessage="0" allowBlank="1" type="list">
      <formula1>Lists!$G$1:$G$12</formula1>
    </dataValidation>
    <dataValidation sqref="D185" showDropDown="0" showInputMessage="0" showErrorMessage="0" allowBlank="1" type="list">
      <formula1>Lists!$G$1:$G$12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1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 codeName="Sheet20">
    <tabColor theme="8" tint="0.7999816888943144"/>
    <outlinePr summaryBelow="1" summaryRight="1"/>
    <pageSetUpPr/>
  </sheetPr>
  <dimension ref="A1:A1"/>
  <sheetViews>
    <sheetView workbookViewId="0">
      <selection activeCell="F27" sqref="F27"/>
    </sheetView>
  </sheetViews>
  <sheetFormatPr baseColWidth="10" defaultRowHeight="13"/>
  <sheetData>
    <row r="1">
      <c r="A1">
        <f>CANOPY!N12</f>
        <v/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 codeName="Sheet39">
    <tabColor theme="8" tint="0.7999816888943144"/>
    <outlinePr summaryBelow="1" summaryRight="1"/>
    <pageSetUpPr fitToPage="1"/>
  </sheetPr>
  <dimension ref="A1:Z310"/>
  <sheetViews>
    <sheetView showGridLines="0" zoomScale="80" zoomScaleNormal="80" zoomScaleSheetLayoutView="50" workbookViewId="0">
      <selection activeCell="C16" sqref="C16"/>
    </sheetView>
  </sheetViews>
  <sheetFormatPr baseColWidth="10" defaultColWidth="8.83203125" defaultRowHeight="15" customHeight="1" outlineLevelRow="1"/>
  <cols>
    <col width="2" customWidth="1" style="666" min="1" max="1"/>
    <col width="32.33203125" customWidth="1" style="1095" min="2" max="2"/>
    <col width="25.83203125" bestFit="1" customWidth="1" style="1095" min="3" max="3"/>
    <col width="27.1640625" customWidth="1" style="1095" min="4" max="4"/>
    <col width="24.83203125" customWidth="1" style="1095" min="5" max="5"/>
    <col width="18.83203125" customWidth="1" style="1095" min="6" max="6"/>
    <col width="20.33203125" customWidth="1" style="1095" min="7" max="7"/>
    <col width="9.33203125" bestFit="1" customWidth="1" style="1096" min="8" max="8"/>
    <col width="11.83203125" customWidth="1" style="1096" min="9" max="9"/>
    <col width="14.83203125" bestFit="1" customWidth="1" style="1097" min="10" max="10"/>
    <col width="17.5" customWidth="1" style="1098" min="11" max="11"/>
    <col width="7.6640625" bestFit="1" customWidth="1" style="1098" min="12" max="12"/>
    <col hidden="1" width="15.5" customWidth="1" style="1099" min="13" max="13"/>
    <col width="13.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8"/>
    <col width="8.83203125" customWidth="1" style="1095" min="99" max="16384"/>
  </cols>
  <sheetData>
    <row r="1" ht="15" customHeight="1" s="1085">
      <c r="B1" s="1116" t="inlineStr">
        <is>
          <t>F24 - 19  CANOPY COST SHEET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>
        <f>IF(CANOPY!C3="","",CANOPY!C3)</f>
        <v/>
      </c>
      <c r="F3" s="690" t="inlineStr">
        <is>
          <t>Project Name</t>
        </is>
      </c>
      <c r="G3" s="1071">
        <f>IF(CANOPY!G3="","",CANOPY!G3)</f>
        <v/>
      </c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>
        <f>IF(CANOPY!C5="","",CANOPY!C5)</f>
        <v/>
      </c>
      <c r="F5" s="690" t="inlineStr">
        <is>
          <t>Location</t>
        </is>
      </c>
      <c r="G5" s="1071">
        <f>IF(CANOPY!G5="","",CANOPY!G5)</f>
        <v/>
      </c>
      <c r="M5" s="684" t="n"/>
      <c r="N5" s="685" t="n"/>
      <c r="P5" s="694" t="n"/>
      <c r="R5" s="687" t="n"/>
      <c r="S5" s="688" t="n"/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>
        <f>IF(CANOPY!C7="","",CANOPY!C7)</f>
        <v/>
      </c>
      <c r="F7" s="690" t="inlineStr">
        <is>
          <t>Date</t>
        </is>
      </c>
      <c r="G7" s="1075">
        <f>IF(CANOPY!G7="","",CANOPY!G7)</f>
        <v/>
      </c>
      <c r="N7" s="699" t="inlineStr">
        <is>
          <t>Revision No</t>
        </is>
      </c>
      <c r="O7" s="1141">
        <f>IF(CANOPY!O7="","",CANOPY!O7)</f>
        <v/>
      </c>
      <c r="P7" s="694" t="n"/>
      <c r="R7" s="687" t="n"/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P8" s="694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52" t="n">
        <v>0</v>
      </c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9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 xml:space="preserve">ITEM  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95" t="n"/>
      <c r="Q12" s="1095" t="n"/>
      <c r="R12" s="1095" t="n"/>
      <c r="S12" s="713" t="n"/>
      <c r="T12" s="1095" t="n"/>
      <c r="X12" s="1095" t="n"/>
      <c r="Y12" s="1095" t="n"/>
      <c r="Z12" s="1095" t="n"/>
    </row>
    <row r="13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CANOPY TYPE</t>
        </is>
      </c>
      <c r="E14" s="734" t="n"/>
      <c r="F14" s="734" t="n"/>
      <c r="G14" s="734" t="n"/>
      <c r="H14" s="735" t="n"/>
      <c r="I14" s="734" t="n"/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LIGHT SELECTION</t>
        </is>
      </c>
      <c r="D15" s="741" t="n"/>
      <c r="E15" s="848" t="n"/>
      <c r="F15" s="743" t="n"/>
      <c r="G15" s="744" t="n"/>
      <c r="H15" s="668" t="n"/>
      <c r="I15" s="668" t="n"/>
      <c r="J15" s="736">
        <f>IF(ISNA(C12),0,IF(D15=0,0,IF(C15="FLO",VLOOKUP(E15,'Base Costs'!$M$4:$N$12,2,FALSE),IF(C15="LED STRIP",VLOOKUP(E15,'Base Costs'!$M$4:$N$12,2,FALSE),(VLOOKUP(C15,'Base Costs'!$M$4:$N$12,2,FALSE))))))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outlineLevel="1" ht="15" customHeight="1" s="1085">
      <c r="A16" s="666" t="n">
        <v>234</v>
      </c>
      <c r="B16" s="269" t="inlineStr">
        <is>
          <t xml:space="preserve">FIRE SUPPRESSION </t>
        </is>
      </c>
      <c r="C16" s="953" t="inlineStr">
        <is>
          <t>FIRE SUPPRESSION</t>
        </is>
      </c>
      <c r="D16" s="746" t="n"/>
      <c r="E16" s="1103" t="n"/>
      <c r="F16" s="748" t="n"/>
      <c r="G16" s="749" t="n"/>
      <c r="H16" s="750" t="n"/>
      <c r="I16" s="751" t="n">
        <v>1</v>
      </c>
      <c r="J16" s="736">
        <f>VLOOKUP(C16,'Base Costs'!$U$4:$V$41,2,FALSE)</f>
        <v/>
      </c>
      <c r="K16" s="737">
        <f>J16*1</f>
        <v/>
      </c>
      <c r="L16" s="738" t="n">
        <v>0.25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outlineLevel="1" ht="15" customHeight="1" s="1085">
      <c r="B17" s="269" t="inlineStr">
        <is>
          <t>TANK INSTALL</t>
        </is>
      </c>
      <c r="C17" s="953" t="inlineStr">
        <is>
          <t>TANK INSTALL</t>
        </is>
      </c>
      <c r="D17" s="966" t="n">
        <v>1</v>
      </c>
      <c r="E17" s="753" t="n"/>
      <c r="F17" s="754" t="n"/>
      <c r="G17" s="749" t="n"/>
      <c r="H17" s="750" t="n"/>
      <c r="I17" s="755" t="n"/>
      <c r="J17" s="736">
        <f>VLOOKUP(C17,'Base Costs'!$U$44:$V$56,2,FALSE)</f>
        <v/>
      </c>
      <c r="K17" s="737">
        <f>J17*D17</f>
        <v/>
      </c>
      <c r="L17" s="738" t="n">
        <v>0.35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outlineLevel="1" ht="15" customHeight="1" s="1085">
      <c r="B18" s="269" t="inlineStr">
        <is>
          <t>SPECIAL WORKS</t>
        </is>
      </c>
      <c r="C18" s="752" t="inlineStr">
        <is>
          <t>SELECT WORKS</t>
        </is>
      </c>
      <c r="D18" s="735" t="n"/>
      <c r="E18" s="753">
        <f>IF(C18="","",VLOOKUP(C18,CCBASE!$A$53:$D$73,4,FALSE))</f>
        <v/>
      </c>
      <c r="F18" s="754" t="n"/>
      <c r="G18" s="749" t="n"/>
      <c r="H18" s="750" t="n"/>
      <c r="I18" s="755" t="n"/>
      <c r="J18" s="736">
        <f>IF(C18="",0,VLOOKUP(C18,CCBASE!$A$53:$C$73,2,FALSE))</f>
        <v/>
      </c>
      <c r="K18" s="737">
        <f>J18*D18</f>
        <v/>
      </c>
      <c r="L18" s="738" t="n">
        <v>0.44</v>
      </c>
      <c r="M18" s="739">
        <f>K18/(1-L18)*(1+$C$9)</f>
        <v/>
      </c>
      <c r="N18" s="737">
        <f>M18*VLOOKUP($B$9,'Base Costs'!$A$32:$B$37,2,FALSE)</f>
        <v/>
      </c>
      <c r="O18" s="740">
        <f>M18-K18</f>
        <v/>
      </c>
      <c r="S18" s="694" t="n"/>
      <c r="Y18" s="1095" t="n"/>
    </row>
    <row r="19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SELECT CLADDING</t>
        </is>
      </c>
      <c r="D19" s="756">
        <f>ROUNDUP($F14/1000,0)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S19" s="694" t="n"/>
      <c r="Y19" s="1095" t="n"/>
    </row>
    <row r="20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S22" s="694" t="n"/>
      <c r="Y22" s="1095" t="n"/>
    </row>
    <row r="23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 t="n"/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>ITEM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95" t="n"/>
      <c r="Q29" s="1095" t="n"/>
      <c r="R29" s="1095" t="n"/>
      <c r="S29" s="713" t="n"/>
      <c r="T29" s="1095" t="n"/>
      <c r="X29" s="1095" t="n"/>
      <c r="Y29" s="1095" t="n"/>
      <c r="Z29" s="1095" t="n"/>
    </row>
    <row r="30" hidden="1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hidden="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hidden="1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hidden="1" outlineLevel="1" ht="15" customHeight="1" s="1085">
      <c r="A33" s="666" t="n">
        <v>234</v>
      </c>
      <c r="B33" s="269" t="inlineStr">
        <is>
          <t>FIRE SUPPRESSION</t>
        </is>
      </c>
      <c r="C33" s="953" t="inlineStr">
        <is>
          <t>FIRE SUPPRESSION</t>
        </is>
      </c>
      <c r="D33" s="746" t="n"/>
      <c r="E33" s="747" t="n"/>
      <c r="F33" s="748" t="n"/>
      <c r="G33" s="749" t="n"/>
      <c r="H33" s="750" t="n"/>
      <c r="I33" s="751" t="n">
        <v>1</v>
      </c>
      <c r="J33" s="736">
        <f>VLOOKUP(C33,'Base Costs'!$U$4:$V$41,2,FALSE)</f>
        <v/>
      </c>
      <c r="K33" s="737">
        <f>J33*1</f>
        <v/>
      </c>
      <c r="L33" s="738" t="n">
        <v>0.25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hidden="1" outlineLevel="1" ht="15" customHeight="1" s="1085">
      <c r="B34" s="269" t="inlineStr">
        <is>
          <t>TANK INSTALL</t>
        </is>
      </c>
      <c r="C34" s="953" t="inlineStr">
        <is>
          <t>TANK INSTALL</t>
        </is>
      </c>
      <c r="D34" s="966" t="n">
        <v>1</v>
      </c>
      <c r="E34" s="753" t="n"/>
      <c r="F34" s="754" t="n"/>
      <c r="G34" s="749" t="n"/>
      <c r="H34" s="750" t="n"/>
      <c r="I34" s="755" t="n"/>
      <c r="J34" s="736">
        <f>VLOOKUP(C34,'Base Costs'!$U$44:$V$56,2,FALSE)</f>
        <v/>
      </c>
      <c r="K34" s="737">
        <f>J34*D34</f>
        <v/>
      </c>
      <c r="L34" s="738" t="n">
        <v>0.35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hidden="1" outlineLevel="1" ht="15" customHeight="1" s="1085">
      <c r="B35" s="269" t="inlineStr">
        <is>
          <t>SPECIAL WORKS</t>
        </is>
      </c>
      <c r="C35" s="752" t="inlineStr">
        <is>
          <t>SELECT WORKS</t>
        </is>
      </c>
      <c r="D35" s="735" t="n"/>
      <c r="E35" s="1109" t="n"/>
      <c r="G35" s="749" t="n"/>
      <c r="H35" s="750" t="n"/>
      <c r="I35" s="755" t="n"/>
      <c r="J35" s="736">
        <f>IF(C35="",0,VLOOKUP(C35,CCBASE!$A$53:$C$73,2,FALSE))</f>
        <v/>
      </c>
      <c r="K35" s="737">
        <f>J35*D35</f>
        <v/>
      </c>
      <c r="L35" s="738" t="n">
        <v>0.44</v>
      </c>
      <c r="M35" s="739">
        <f>K35/(1-L35)*(1+$C$9)</f>
        <v/>
      </c>
      <c r="N35" s="737">
        <f>M35*VLOOKUP($B$9,'Base Costs'!$A$32:$B$37,2,FALSE)</f>
        <v/>
      </c>
      <c r="O35" s="740">
        <f>M35-K35</f>
        <v/>
      </c>
      <c r="S35" s="694" t="n"/>
      <c r="Y35" s="1095" t="n"/>
    </row>
    <row r="36" hidden="1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SELECT CLADDING</t>
        </is>
      </c>
      <c r="D36" s="756">
        <f>ROUNDUP($F31/1000,0)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Y36" s="1095" t="n"/>
    </row>
    <row r="37" hidden="1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hidden="1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hidden="1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S39" s="694" t="n"/>
      <c r="Y39" s="1095" t="n"/>
    </row>
    <row r="40" hidden="1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 t="n"/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hidden="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hidden="1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hidden="1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hidden="1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collapsed="1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95" t="n"/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269" t="inlineStr">
        <is>
          <t xml:space="preserve">FIRE SUPPRESSION </t>
        </is>
      </c>
      <c r="C50" s="953" t="inlineStr">
        <is>
          <t>FIRE SUPPRESSION</t>
        </is>
      </c>
      <c r="D50" s="746" t="n"/>
      <c r="E50" s="747" t="n"/>
      <c r="F50" s="748" t="n"/>
      <c r="G50" s="749" t="n"/>
      <c r="H50" s="750" t="n"/>
      <c r="I50" s="751" t="n">
        <v>1</v>
      </c>
      <c r="J50" s="736">
        <f>VLOOKUP(C50,'Base Costs'!$U$4:$V$41,2,FALSE)</f>
        <v/>
      </c>
      <c r="K50" s="737">
        <f>J50*1</f>
        <v/>
      </c>
      <c r="L50" s="738" t="n">
        <v>0.25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269" t="inlineStr">
        <is>
          <t>TANK INSTALL</t>
        </is>
      </c>
      <c r="C51" s="953" t="inlineStr">
        <is>
          <t>TANK INSTALL</t>
        </is>
      </c>
      <c r="D51" s="966" t="n">
        <v>1</v>
      </c>
      <c r="E51" s="753" t="n"/>
      <c r="F51" s="754" t="n"/>
      <c r="G51" s="749" t="n"/>
      <c r="H51" s="750" t="n"/>
      <c r="I51" s="755" t="n"/>
      <c r="J51" s="736">
        <f>VLOOKUP(C51,'Base Costs'!$U$44:$V$56,2,FALSE)</f>
        <v/>
      </c>
      <c r="K51" s="737">
        <f>J51*D51</f>
        <v/>
      </c>
      <c r="L51" s="738" t="n">
        <v>0.35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269" t="inlineStr">
        <is>
          <t>SPECIAL WORKS</t>
        </is>
      </c>
      <c r="C52" s="752" t="inlineStr">
        <is>
          <t>SELECT WORKS</t>
        </is>
      </c>
      <c r="D52" s="735" t="n"/>
      <c r="E52" s="753">
        <f>IF(C52="","",VLOOKUP(C52,CCBASE!$A$53:$D$73,4,FALSE))</f>
        <v/>
      </c>
      <c r="F52" s="754" t="n"/>
      <c r="G52" s="749" t="n"/>
      <c r="H52" s="750" t="n"/>
      <c r="I52" s="755" t="n"/>
      <c r="J52" s="736">
        <f>IF(C52="",0,VLOOKUP(C52,CCBASE!$A$53:$C$73,2,FALSE))</f>
        <v/>
      </c>
      <c r="K52" s="737">
        <f>J52*D52</f>
        <v/>
      </c>
      <c r="L52" s="738" t="n">
        <v>0.44</v>
      </c>
      <c r="M52" s="739">
        <f>K52/(1-L52)*(1+$C$9)</f>
        <v/>
      </c>
      <c r="N52" s="737">
        <f>M52*VLOOKUP($B$9,'Base Costs'!$A$32:$B$37,2,FALSE)</f>
        <v/>
      </c>
      <c r="O52" s="740">
        <f>M52-K52</f>
        <v/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SELECT CLADDING</t>
        </is>
      </c>
      <c r="D53" s="756">
        <f>ROUNDUP($F48/1000,0)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 t="n"/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95" t="n"/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269" t="inlineStr">
        <is>
          <t xml:space="preserve">FIRE SUPPRESSION </t>
        </is>
      </c>
      <c r="C67" s="953" t="inlineStr">
        <is>
          <t>FIRE SUPPRESSION</t>
        </is>
      </c>
      <c r="D67" s="746" t="n"/>
      <c r="E67" s="747" t="n"/>
      <c r="F67" s="748" t="n"/>
      <c r="G67" s="749" t="n"/>
      <c r="H67" s="750" t="n"/>
      <c r="I67" s="751" t="n">
        <v>1</v>
      </c>
      <c r="J67" s="736">
        <f>VLOOKUP(C67,'Base Costs'!$U$4:$V$41,2,FALSE)</f>
        <v/>
      </c>
      <c r="K67" s="737">
        <f>J67*1</f>
        <v/>
      </c>
      <c r="L67" s="738" t="n">
        <v>0.25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269" t="inlineStr">
        <is>
          <t>TANK INSTALL</t>
        </is>
      </c>
      <c r="C68" s="953" t="inlineStr">
        <is>
          <t>TANK INSTALL</t>
        </is>
      </c>
      <c r="D68" s="966" t="n">
        <v>1</v>
      </c>
      <c r="E68" s="753" t="n"/>
      <c r="F68" s="754" t="n"/>
      <c r="G68" s="749" t="n"/>
      <c r="H68" s="750" t="n"/>
      <c r="I68" s="755" t="n"/>
      <c r="J68" s="736">
        <f>VLOOKUP(C68,'Base Costs'!$U$44:$V$56,2,FALSE)</f>
        <v/>
      </c>
      <c r="K68" s="737">
        <f>J68*D68</f>
        <v/>
      </c>
      <c r="L68" s="738" t="n">
        <v>0.35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269" t="inlineStr">
        <is>
          <t>SPECIAL WORKS</t>
        </is>
      </c>
      <c r="C69" s="752" t="inlineStr">
        <is>
          <t>SELECT WORKS</t>
        </is>
      </c>
      <c r="D69" s="735" t="n"/>
      <c r="E69" s="753">
        <f>IF(C69="","",VLOOKUP(C69,CCBASE!$A$53:$D$73,4,FALSE))</f>
        <v/>
      </c>
      <c r="F69" s="754" t="n"/>
      <c r="G69" s="749" t="n"/>
      <c r="H69" s="750" t="n"/>
      <c r="I69" s="755" t="n"/>
      <c r="J69" s="736">
        <f>IF(C69="",0,VLOOKUP(C69,CCBASE!$A$53:$C$73,2,FALSE))</f>
        <v/>
      </c>
      <c r="K69" s="737">
        <f>J69*D69</f>
        <v/>
      </c>
      <c r="L69" s="738" t="n">
        <v>0.44</v>
      </c>
      <c r="M69" s="739">
        <f>K69/(1-L69)*(1+$C$9)</f>
        <v/>
      </c>
      <c r="N69" s="737">
        <f>M69*VLOOKUP($B$9,'Base Costs'!$A$32:$B$37,2,FALSE)</f>
        <v/>
      </c>
      <c r="O69" s="740">
        <f>M69-K69</f>
        <v/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ROUNDUP($F65/1000,0)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 t="n"/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95" t="n"/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269" t="inlineStr">
        <is>
          <t xml:space="preserve">FIRE SUPPRESSION </t>
        </is>
      </c>
      <c r="C84" s="953" t="inlineStr">
        <is>
          <t>FIRE SUPPRESSION</t>
        </is>
      </c>
      <c r="D84" s="746" t="n"/>
      <c r="E84" s="747" t="n"/>
      <c r="F84" s="748" t="n"/>
      <c r="G84" s="749" t="n"/>
      <c r="H84" s="750" t="n"/>
      <c r="I84" s="751" t="n">
        <v>1</v>
      </c>
      <c r="J84" s="736">
        <f>VLOOKUP(C84,'Base Costs'!$U$4:$V$41,2,FALSE)</f>
        <v/>
      </c>
      <c r="K84" s="737">
        <f>J84*1</f>
        <v/>
      </c>
      <c r="L84" s="738" t="n">
        <v>0.25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TANK INSTALL</t>
        </is>
      </c>
      <c r="C85" s="953" t="inlineStr">
        <is>
          <t>TANK INSTALL</t>
        </is>
      </c>
      <c r="D85" s="966" t="n">
        <v>1</v>
      </c>
      <c r="E85" s="753" t="n"/>
      <c r="F85" s="754" t="n"/>
      <c r="G85" s="749" t="n"/>
      <c r="H85" s="750" t="n"/>
      <c r="I85" s="755" t="n"/>
      <c r="J85" s="736">
        <f>VLOOKUP(C85,'Base Costs'!$U$44:$V$56,2,FALSE)</f>
        <v/>
      </c>
      <c r="K85" s="737">
        <f>J85*D85</f>
        <v/>
      </c>
      <c r="L85" s="738" t="n">
        <v>0.35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269" t="inlineStr">
        <is>
          <t>SPECIAL WORKS</t>
        </is>
      </c>
      <c r="C86" s="752" t="inlineStr">
        <is>
          <t>SELECT WORKS</t>
        </is>
      </c>
      <c r="D86" s="735" t="n"/>
      <c r="E86" s="753">
        <f>IF(C86="","",VLOOKUP(C86,CCBASE!$A$53:$D$73,4,FALSE))</f>
        <v/>
      </c>
      <c r="F86" s="754" t="n"/>
      <c r="G86" s="749" t="n"/>
      <c r="H86" s="750" t="n"/>
      <c r="I86" s="755" t="n"/>
      <c r="J86" s="736">
        <f>IF(C86="",0,VLOOKUP(C86,CCBASE!$A$53:$C$73,2,FALSE))</f>
        <v/>
      </c>
      <c r="K86" s="737">
        <f>J86*D86</f>
        <v/>
      </c>
      <c r="L86" s="738" t="n">
        <v>0.44</v>
      </c>
      <c r="M86" s="739">
        <f>K86/(1-L86)*(1+$C$9)</f>
        <v/>
      </c>
      <c r="N86" s="737">
        <f>M86*VLOOKUP($B$9,'Base Costs'!$A$32:$B$37,2,FALSE)</f>
        <v/>
      </c>
      <c r="O86" s="740">
        <f>M86-K86</f>
        <v/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ROUNDUP($F82/1000,0)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 t="n"/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IF(ISNUMBER(SEARCH("UV",HD4)),49.7,71.75)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95" t="n"/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269" t="inlineStr">
        <is>
          <t>FIRE SUPPRESSION</t>
        </is>
      </c>
      <c r="C101" s="953" t="inlineStr">
        <is>
          <t>FIRE SUPPRESSION</t>
        </is>
      </c>
      <c r="D101" s="746" t="n"/>
      <c r="E101" s="747" t="n"/>
      <c r="F101" s="748" t="n"/>
      <c r="G101" s="749" t="n"/>
      <c r="H101" s="750" t="n"/>
      <c r="I101" s="751" t="n">
        <v>1</v>
      </c>
      <c r="J101" s="736">
        <f>VLOOKUP(C101,'Base Costs'!$U$4:$V$41,2,FALSE)</f>
        <v/>
      </c>
      <c r="K101" s="737">
        <f>J101*1</f>
        <v/>
      </c>
      <c r="L101" s="738" t="n">
        <v>0.25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269" t="inlineStr">
        <is>
          <t>TANK INSTALL</t>
        </is>
      </c>
      <c r="C102" s="953" t="inlineStr">
        <is>
          <t>TANK INSTALL</t>
        </is>
      </c>
      <c r="D102" s="966" t="n">
        <v>1</v>
      </c>
      <c r="E102" s="753" t="n"/>
      <c r="F102" s="754" t="n"/>
      <c r="G102" s="749" t="n"/>
      <c r="H102" s="750" t="n"/>
      <c r="I102" s="755" t="n"/>
      <c r="J102" s="736">
        <f>VLOOKUP(C102,'Base Costs'!$U$44:$V$56,2,FALSE)</f>
        <v/>
      </c>
      <c r="K102" s="737">
        <f>J102*D102</f>
        <v/>
      </c>
      <c r="L102" s="738" t="n">
        <v>0.35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584" t="inlineStr">
        <is>
          <t>SPECIAL WORKS</t>
        </is>
      </c>
      <c r="C103" s="33" t="inlineStr">
        <is>
          <t>SELECT WORKS</t>
        </is>
      </c>
      <c r="D103" s="735" t="n"/>
      <c r="E103" s="753">
        <f>IF(C103="","",VLOOKUP(C103,CCBASE!$A$53:$D$73,4,FALSE))</f>
        <v/>
      </c>
      <c r="F103" s="754" t="n"/>
      <c r="G103" s="749" t="n"/>
      <c r="H103" s="750" t="n"/>
      <c r="I103" s="755" t="n"/>
      <c r="J103" s="736">
        <f>IF(C103="",0,VLOOKUP(C103,CCBASE!$A$53:$C$73,2,FALSE))</f>
        <v/>
      </c>
      <c r="K103" s="737">
        <f>J103*D103</f>
        <v/>
      </c>
      <c r="L103" s="738" t="n">
        <v>0.44</v>
      </c>
      <c r="M103" s="739">
        <f>K103/(1-L103)*(1+$C$9)</f>
        <v/>
      </c>
      <c r="N103" s="737">
        <f>M103*VLOOKUP($B$9,'Base Costs'!$A$32:$B$37,2,FALSE)</f>
        <v/>
      </c>
      <c r="O103" s="740">
        <f>M103-K103</f>
        <v/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ROUNDUP($F99/1000,0)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 t="n"/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IF(ISNUMBER(SEARCH("UV",HD21)),49.7,71.75)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95" t="n"/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269" t="inlineStr">
        <is>
          <t>FIRE SUPPRESSION</t>
        </is>
      </c>
      <c r="C118" s="953" t="inlineStr">
        <is>
          <t>FIRE SUPPRESSION</t>
        </is>
      </c>
      <c r="D118" s="746" t="n"/>
      <c r="E118" s="747" t="n"/>
      <c r="F118" s="748" t="n"/>
      <c r="G118" s="749" t="n"/>
      <c r="H118" s="750" t="n"/>
      <c r="I118" s="751" t="n">
        <v>1</v>
      </c>
      <c r="J118" s="736">
        <f>VLOOKUP(C118,'Base Costs'!$U$4:$V$41,2,FALSE)</f>
        <v/>
      </c>
      <c r="K118" s="737">
        <f>J118*1</f>
        <v/>
      </c>
      <c r="L118" s="738" t="n">
        <v>0.25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269" t="inlineStr">
        <is>
          <t>TANK INSTALL</t>
        </is>
      </c>
      <c r="C119" s="953" t="inlineStr">
        <is>
          <t>TANK INSTALL</t>
        </is>
      </c>
      <c r="D119" s="966" t="n">
        <v>1</v>
      </c>
      <c r="E119" s="753" t="n"/>
      <c r="F119" s="754" t="n"/>
      <c r="G119" s="749" t="n"/>
      <c r="H119" s="750" t="n"/>
      <c r="I119" s="755" t="n"/>
      <c r="J119" s="736">
        <f>VLOOKUP(C119,'Base Costs'!$U$44:$V$56,2,FALSE)</f>
        <v/>
      </c>
      <c r="K119" s="737">
        <f>J119*D119</f>
        <v/>
      </c>
      <c r="L119" s="738" t="n">
        <v>0.35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584" t="inlineStr">
        <is>
          <t>SPECIAL WORKS</t>
        </is>
      </c>
      <c r="C120" s="33" t="inlineStr">
        <is>
          <t>SELECT WORKS</t>
        </is>
      </c>
      <c r="D120" s="735" t="n"/>
      <c r="E120" s="753">
        <f>IF(C120="","",VLOOKUP(C120,CCBASE!$A$53:$D$73,4,FALSE))</f>
        <v/>
      </c>
      <c r="F120" s="754" t="n"/>
      <c r="G120" s="749" t="n"/>
      <c r="H120" s="750" t="n"/>
      <c r="I120" s="755" t="n"/>
      <c r="J120" s="736">
        <f>IF(C120="",0,VLOOKUP(C120,CCBASE!$A$53:$C$73,2,FALSE))</f>
        <v/>
      </c>
      <c r="K120" s="737">
        <f>J120*D120</f>
        <v/>
      </c>
      <c r="L120" s="738" t="n">
        <v>0.44</v>
      </c>
      <c r="M120" s="739">
        <f>K120/(1-L120)*(1+$C$9)</f>
        <v/>
      </c>
      <c r="N120" s="737">
        <f>M120*VLOOKUP($B$9,'Base Costs'!$A$32:$B$37,2,FALSE)</f>
        <v/>
      </c>
      <c r="O120" s="740">
        <f>M120-K120</f>
        <v/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ROUNDUP($F116/1000,0)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 t="n"/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95" t="n"/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850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269" t="inlineStr">
        <is>
          <t xml:space="preserve">FIRE SUPPRESSION </t>
        </is>
      </c>
      <c r="C135" s="953" t="inlineStr">
        <is>
          <t>FIRE SUPPRESSION</t>
        </is>
      </c>
      <c r="D135" s="746" t="n"/>
      <c r="E135" s="747" t="n"/>
      <c r="F135" s="748" t="n"/>
      <c r="G135" s="749" t="n"/>
      <c r="H135" s="750" t="n"/>
      <c r="I135" s="751" t="n">
        <v>1</v>
      </c>
      <c r="J135" s="736">
        <f>VLOOKUP(C135,'Base Costs'!$U$4:$V$41,2,FALSE)</f>
        <v/>
      </c>
      <c r="K135" s="737">
        <f>J135*1</f>
        <v/>
      </c>
      <c r="L135" s="738" t="n">
        <v>0.25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269" t="inlineStr">
        <is>
          <t>TANK INSTALL</t>
        </is>
      </c>
      <c r="C136" s="953" t="inlineStr">
        <is>
          <t>TANK INSTALL</t>
        </is>
      </c>
      <c r="D136" s="966" t="n">
        <v>1</v>
      </c>
      <c r="E136" s="753" t="n"/>
      <c r="F136" s="754" t="n"/>
      <c r="G136" s="749" t="n"/>
      <c r="H136" s="750" t="n"/>
      <c r="I136" s="755" t="n"/>
      <c r="J136" s="736">
        <f>VLOOKUP(C136,'Base Costs'!$U$44:$V$56,2,FALSE)</f>
        <v/>
      </c>
      <c r="K136" s="737">
        <f>J136*D136</f>
        <v/>
      </c>
      <c r="L136" s="738" t="n">
        <v>0.35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269" t="inlineStr">
        <is>
          <t>SPECIAL WORKS</t>
        </is>
      </c>
      <c r="C137" s="752" t="inlineStr">
        <is>
          <t>SELECT WORKS</t>
        </is>
      </c>
      <c r="D137" s="735" t="n"/>
      <c r="E137" s="753">
        <f>IF(C137="","",VLOOKUP(C137,CCBASE!$A$53:$D$73,4,FALSE))</f>
        <v/>
      </c>
      <c r="F137" s="754" t="n"/>
      <c r="G137" s="749" t="n"/>
      <c r="H137" s="750" t="n"/>
      <c r="I137" s="755" t="n"/>
      <c r="J137" s="736">
        <f>IF(C137="",0,VLOOKUP(C137,CCBASE!$A$53:$C$73,2,FALSE))</f>
        <v/>
      </c>
      <c r="K137" s="737">
        <f>J137*D137</f>
        <v/>
      </c>
      <c r="L137" s="738" t="n">
        <v>0.44</v>
      </c>
      <c r="M137" s="739">
        <f>K137/(1-L137)*(1+$C$9)</f>
        <v/>
      </c>
      <c r="N137" s="737">
        <f>M137*VLOOKUP($B$9,'Base Costs'!$A$32:$B$37,2,FALSE)</f>
        <v/>
      </c>
      <c r="O137" s="740">
        <f>M137-K137</f>
        <v/>
      </c>
      <c r="S137" s="694" t="n"/>
      <c r="Y137" s="1095" t="n"/>
    </row>
    <row r="138" hidden="1" outlineLevel="1" ht="15" customHeight="1" s="1085">
      <c r="A138" s="666" t="n">
        <v>289</v>
      </c>
      <c r="B138" s="731" t="inlineStr">
        <is>
          <t>WALL CLADDING</t>
        </is>
      </c>
      <c r="C138" s="752" t="inlineStr">
        <is>
          <t>SELECT CLADDING</t>
        </is>
      </c>
      <c r="D138" s="756">
        <f>ROUNDUP($F133/1000,0)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731" t="inlineStr">
        <is>
          <t>INFILL PANEL</t>
        </is>
      </c>
      <c r="C139" s="752" t="n"/>
      <c r="D139" s="742" t="inlineStr">
        <is>
          <t>m²</t>
        </is>
      </c>
      <c r="E139" s="749" t="inlineStr">
        <is>
          <t xml:space="preserve">Up to 500mm high only. </t>
        </is>
      </c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 t="n"/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IF(ISNUMBER(SEARCH("UV",HD55)),49.7,71.75)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95" t="n"/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269" t="inlineStr">
        <is>
          <t>FIRE SUPPRESSION</t>
        </is>
      </c>
      <c r="C152" s="953" t="inlineStr">
        <is>
          <t>FIRE SUPPRESSION</t>
        </is>
      </c>
      <c r="D152" s="746" t="n"/>
      <c r="E152" s="747" t="n"/>
      <c r="F152" s="748" t="n"/>
      <c r="G152" s="749" t="n"/>
      <c r="H152" s="750" t="n"/>
      <c r="I152" s="751" t="n">
        <v>1</v>
      </c>
      <c r="J152" s="736">
        <f>VLOOKUP(C152,'Base Costs'!$U$4:$V$41,2,FALSE)</f>
        <v/>
      </c>
      <c r="K152" s="737">
        <f>J152*1</f>
        <v/>
      </c>
      <c r="L152" s="738" t="n">
        <v>0.25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269" t="inlineStr">
        <is>
          <t>TANK INSTALL</t>
        </is>
      </c>
      <c r="C153" s="953" t="inlineStr">
        <is>
          <t>TANK INSTALL</t>
        </is>
      </c>
      <c r="D153" s="966" t="n">
        <v>1</v>
      </c>
      <c r="E153" s="753" t="n"/>
      <c r="F153" s="754" t="n"/>
      <c r="G153" s="749" t="n"/>
      <c r="H153" s="750" t="n"/>
      <c r="I153" s="755" t="n"/>
      <c r="J153" s="736">
        <f>VLOOKUP(C153,'Base Costs'!$U$44:$V$56,2,FALSE)</f>
        <v/>
      </c>
      <c r="K153" s="737">
        <f>J153*D153</f>
        <v/>
      </c>
      <c r="L153" s="738" t="n">
        <v>0.35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584" t="inlineStr">
        <is>
          <t>SPECIAL WORKS</t>
        </is>
      </c>
      <c r="C154" s="33" t="inlineStr">
        <is>
          <t>SELECT WORKS</t>
        </is>
      </c>
      <c r="D154" s="735" t="n"/>
      <c r="E154" s="753">
        <f>IF(C154="","",VLOOKUP(C154,CCBASE!$A$53:$D$73,4,FALSE))</f>
        <v/>
      </c>
      <c r="F154" s="754" t="n"/>
      <c r="G154" s="749" t="n"/>
      <c r="H154" s="750" t="n"/>
      <c r="I154" s="755" t="n"/>
      <c r="J154" s="736">
        <f>IF(C154="",0,VLOOKUP(C154,CCBASE!$A$53:$C$73,2,FALSE))</f>
        <v/>
      </c>
      <c r="K154" s="737">
        <f>J154*D154</f>
        <v/>
      </c>
      <c r="L154" s="738" t="n">
        <v>0.44</v>
      </c>
      <c r="M154" s="739">
        <f>K154/(1-L154)*(1+$C$9)</f>
        <v/>
      </c>
      <c r="N154" s="737">
        <f>M154*VLOOKUP($B$9,'Base Costs'!$A$32:$B$37,2,FALSE)</f>
        <v/>
      </c>
      <c r="O154" s="740">
        <f>M154-K154</f>
        <v/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ROUNDUP($F150/1000,0)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 t="n"/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IF(ISNUMBER(SEARCH("UV",HD72)),49.7,71.75)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95" t="n"/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269" t="inlineStr">
        <is>
          <t>FIRE SUPPRESSION</t>
        </is>
      </c>
      <c r="C169" s="953" t="inlineStr">
        <is>
          <t>FIRE SUPPRESSION</t>
        </is>
      </c>
      <c r="D169" s="746" t="n"/>
      <c r="E169" s="747" t="n"/>
      <c r="F169" s="748" t="n"/>
      <c r="G169" s="749" t="n"/>
      <c r="H169" s="750" t="n"/>
      <c r="I169" s="751" t="n">
        <v>1</v>
      </c>
      <c r="J169" s="736">
        <f>VLOOKUP(C169,'Base Costs'!$U$4:$V$41,2,FALSE)</f>
        <v/>
      </c>
      <c r="K169" s="737">
        <f>J169*1</f>
        <v/>
      </c>
      <c r="L169" s="738" t="n">
        <v>0.25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269" t="inlineStr">
        <is>
          <t>TANK INSTALL</t>
        </is>
      </c>
      <c r="C170" s="953" t="inlineStr">
        <is>
          <t>TANK INSTALL</t>
        </is>
      </c>
      <c r="D170" s="966" t="n">
        <v>1</v>
      </c>
      <c r="E170" s="753" t="n"/>
      <c r="F170" s="754" t="n"/>
      <c r="G170" s="749" t="n"/>
      <c r="H170" s="750" t="n"/>
      <c r="I170" s="755" t="n"/>
      <c r="J170" s="736">
        <f>VLOOKUP(C170,'Base Costs'!$U$44:$V$56,2,FALSE)</f>
        <v/>
      </c>
      <c r="K170" s="737">
        <f>J170*D170</f>
        <v/>
      </c>
      <c r="L170" s="738" t="n">
        <v>0.35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584" t="inlineStr">
        <is>
          <t>SPECIAL WORKS</t>
        </is>
      </c>
      <c r="C171" s="33" t="inlineStr">
        <is>
          <t>SELECT WORKS</t>
        </is>
      </c>
      <c r="D171" s="735" t="n"/>
      <c r="E171" s="753">
        <f>IF(C171="","",VLOOKUP(C171,CCBASE!$A$53:$D$73,4,FALSE))</f>
        <v/>
      </c>
      <c r="F171" s="754" t="n"/>
      <c r="G171" s="749" t="n"/>
      <c r="H171" s="750" t="n"/>
      <c r="I171" s="755" t="n"/>
      <c r="J171" s="736">
        <f>IF(C171="",0,VLOOKUP(C171,CCBASE!$A$53:$C$73,2,FALSE))</f>
        <v/>
      </c>
      <c r="K171" s="737">
        <f>J171*D171</f>
        <v/>
      </c>
      <c r="L171" s="738" t="n">
        <v>0.44</v>
      </c>
      <c r="M171" s="739">
        <f>K171/(1-L171)*(1+$C$9)</f>
        <v/>
      </c>
      <c r="N171" s="737">
        <f>M171*VLOOKUP($B$9,'Base Costs'!$A$32:$B$37,2,FALSE)</f>
        <v/>
      </c>
      <c r="O171" s="740">
        <f>M171-K171</f>
        <v/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ROUNDUP($F167/1000,0)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 t="n"/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10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S182" s="694" t="n"/>
    </row>
    <row r="183" ht="15" customHeight="1" s="1085">
      <c r="A183" s="666" t="n">
        <v>222</v>
      </c>
      <c r="B183" s="270" t="inlineStr">
        <is>
          <t>DELIVERY 1 x 7.5T TAIL LIFT 3200KGS</t>
        </is>
      </c>
      <c r="C183" s="774" t="n"/>
      <c r="D183" s="775" t="inlineStr">
        <is>
          <t>SELECT LOCATION…</t>
        </is>
      </c>
      <c r="E183" s="1109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/>
      <c r="D184" s="775" t="inlineStr">
        <is>
          <t>PLANT SELECTION (weekly)</t>
        </is>
      </c>
      <c r="E184" s="1126" t="inlineStr">
        <is>
          <t>OR 2.5% OF TOTAL CONTRACT VALUE</t>
        </is>
      </c>
      <c r="G184" s="748" t="n"/>
      <c r="H184" s="748" t="n"/>
      <c r="I184" s="748" t="n"/>
      <c r="J184" s="776">
        <f>VLOOKUP(D184,'Base Costs'!$A$4:$B$16,2,FALSE)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955" t="inlineStr">
        <is>
          <t xml:space="preserve">PLANT HIRE </t>
        </is>
      </c>
      <c r="C185" s="961" t="n">
        <v>1</v>
      </c>
      <c r="D185" s="954" t="inlineStr">
        <is>
          <t>PECO LIFT</t>
        </is>
      </c>
      <c r="E185" s="1123" t="inlineStr">
        <is>
          <t>OR 2.5% OF TOTAL CONTRACT VALUE</t>
        </is>
      </c>
      <c r="G185" s="748" t="n"/>
      <c r="H185" s="748" t="n"/>
      <c r="I185" s="748" t="n"/>
      <c r="J185" s="776">
        <f>VLOOKUP(D185,'Base Costs'!$A$4:$B$16,2,FALSE)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P185" s="1070" t="inlineStr">
        <is>
          <t>ALWAYS INCLUDE</t>
        </is>
      </c>
      <c r="S185" s="694" t="n"/>
    </row>
    <row r="186" ht="15" customHeight="1" s="1085">
      <c r="A186" s="666" t="n">
        <v>222</v>
      </c>
      <c r="B186" s="945" t="inlineStr">
        <is>
          <t>ANSUL DELIVERY</t>
        </is>
      </c>
      <c r="C186" s="962" t="n">
        <v>0.5</v>
      </c>
      <c r="D186" s="954" t="inlineStr">
        <is>
          <t>SELECT LOCATION…</t>
        </is>
      </c>
      <c r="E186" s="1125" t="inlineStr">
        <is>
          <t>0.5 Per Area/System</t>
        </is>
      </c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P186" s="1070" t="inlineStr">
        <is>
          <t>ALWAYS INCLUDE</t>
        </is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550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 t="n"/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955" t="inlineStr">
        <is>
          <t xml:space="preserve">INDUCTION </t>
        </is>
      </c>
      <c r="C189" s="777" t="n">
        <v>1</v>
      </c>
      <c r="D189" s="1122" t="inlineStr">
        <is>
          <t>PER PROJECT</t>
        </is>
      </c>
      <c r="G189" s="30" t="n"/>
      <c r="H189" s="30" t="n"/>
      <c r="I189" s="30" t="n"/>
      <c r="J189" s="776" t="n">
        <v>350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P189" s="1070" t="inlineStr">
        <is>
          <t>ALWAYS INCLUDE</t>
        </is>
      </c>
      <c r="S189" s="694" t="n"/>
    </row>
    <row r="190" ht="15" customHeight="1" s="1085">
      <c r="A190" s="666" t="n">
        <v>400</v>
      </c>
      <c r="B190" s="955" t="inlineStr">
        <is>
          <t>LIVE SITE TEST</t>
        </is>
      </c>
      <c r="C190" s="963" t="n">
        <v>1</v>
      </c>
      <c r="D190" s="1122" t="inlineStr">
        <is>
          <t>INCLUDE FOR ANSUL BUT SHOWN AS A LINE ITEM FOR AMEREX</t>
        </is>
      </c>
      <c r="G190" s="1121" t="inlineStr">
        <is>
          <t>JEM's ADHOC DAY RATE</t>
        </is>
      </c>
      <c r="J190" s="776" t="n">
        <v>550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P190" s="1070" t="inlineStr">
        <is>
          <t>ALWAYS INCLUDE</t>
        </is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550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24" t="inlineStr">
        <is>
          <t>ONE Engineer,  2 days per Pollustop,1 days per 3no UV &amp; W/W canopies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9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09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20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1">
    <mergeCell ref="B203:O203"/>
    <mergeCell ref="H91:I91"/>
    <mergeCell ref="G190:I190"/>
    <mergeCell ref="E121:F121"/>
    <mergeCell ref="D189:F189"/>
    <mergeCell ref="H38:I38"/>
    <mergeCell ref="H125:I125"/>
    <mergeCell ref="D194:F194"/>
    <mergeCell ref="G186:I186"/>
    <mergeCell ref="B200:O200"/>
    <mergeCell ref="C5:D5"/>
    <mergeCell ref="H55:I55"/>
    <mergeCell ref="E185:F185"/>
    <mergeCell ref="B182:G182"/>
    <mergeCell ref="B202:O202"/>
    <mergeCell ref="D197:F197"/>
    <mergeCell ref="H40:I40"/>
    <mergeCell ref="H74:I74"/>
    <mergeCell ref="H176:I176"/>
    <mergeCell ref="H56:I56"/>
    <mergeCell ref="E35:F35"/>
    <mergeCell ref="H39:I39"/>
    <mergeCell ref="G9:J9"/>
    <mergeCell ref="H21:I21"/>
    <mergeCell ref="E87:F87"/>
    <mergeCell ref="H73:I73"/>
    <mergeCell ref="H157:I157"/>
    <mergeCell ref="D195:E195"/>
    <mergeCell ref="E138:F138"/>
    <mergeCell ref="D193:F193"/>
    <mergeCell ref="B204:O204"/>
    <mergeCell ref="E19:F19"/>
    <mergeCell ref="H142:I142"/>
    <mergeCell ref="E155:F155"/>
    <mergeCell ref="H89:I89"/>
    <mergeCell ref="H123:I123"/>
    <mergeCell ref="B1:C1"/>
    <mergeCell ref="E9:F9"/>
    <mergeCell ref="H108:I108"/>
    <mergeCell ref="E186:F186"/>
    <mergeCell ref="H175:I175"/>
    <mergeCell ref="G183:I183"/>
    <mergeCell ref="E104:F104"/>
    <mergeCell ref="H72:I72"/>
    <mergeCell ref="H90:I90"/>
    <mergeCell ref="H174:I174"/>
    <mergeCell ref="B205:O205"/>
    <mergeCell ref="G7:J7"/>
    <mergeCell ref="E36:F36"/>
    <mergeCell ref="H57:I57"/>
    <mergeCell ref="H159:I159"/>
    <mergeCell ref="H22:I22"/>
    <mergeCell ref="E70:F70"/>
    <mergeCell ref="H140:I140"/>
    <mergeCell ref="H158:I158"/>
    <mergeCell ref="D196:E196"/>
    <mergeCell ref="D190:F190"/>
    <mergeCell ref="E172:F172"/>
    <mergeCell ref="C7:D7"/>
    <mergeCell ref="G3:J3"/>
    <mergeCell ref="H124:I124"/>
    <mergeCell ref="E183:F183"/>
    <mergeCell ref="B201:O201"/>
    <mergeCell ref="E184:F184"/>
    <mergeCell ref="H23:I23"/>
    <mergeCell ref="E53:F53"/>
    <mergeCell ref="H141:I141"/>
    <mergeCell ref="H107:I107"/>
    <mergeCell ref="C3:D3"/>
    <mergeCell ref="G5:J5"/>
    <mergeCell ref="H106:I106"/>
  </mergeCells>
  <conditionalFormatting sqref="B9">
    <cfRule type="containsText" priority="665" operator="containsText" dxfId="680" text="SELECT">
      <formula>NOT(ISERROR(SEARCH("SELECT",B9)))</formula>
    </cfRule>
    <cfRule type="expression" priority="666" dxfId="680">
      <formula>B9="CURRENCY"</formula>
    </cfRule>
  </conditionalFormatting>
  <conditionalFormatting sqref="B11">
    <cfRule type="expression" priority="627" dxfId="637">
      <formula>$B11&lt;&gt;""</formula>
    </cfRule>
  </conditionalFormatting>
  <conditionalFormatting sqref="B14:B23">
    <cfRule type="expression" priority="619" dxfId="633">
      <formula>$J14&gt;0</formula>
    </cfRule>
  </conditionalFormatting>
  <conditionalFormatting sqref="B24">
    <cfRule type="expression" priority="617" dxfId="358">
      <formula>($D14="CANOPY TYPE")</formula>
    </cfRule>
    <cfRule type="expression" priority="616" dxfId="633">
      <formula>ISNUMBER(SEARCH("UV",$D14))</formula>
    </cfRule>
  </conditionalFormatting>
  <conditionalFormatting sqref="B25:B27">
    <cfRule type="expression" priority="437" dxfId="633">
      <formula>$J25&gt;0</formula>
    </cfRule>
  </conditionalFormatting>
  <conditionalFormatting sqref="B28">
    <cfRule type="expression" priority="625" dxfId="637">
      <formula>$B28&lt;&gt;""</formula>
    </cfRule>
  </conditionalFormatting>
  <conditionalFormatting sqref="B31:B40">
    <cfRule type="expression" priority="263" dxfId="633">
      <formula>$J31&gt;0</formula>
    </cfRule>
  </conditionalFormatting>
  <conditionalFormatting sqref="B41">
    <cfRule type="expression" priority="585" dxfId="633">
      <formula>ISNUMBER(SEARCH("UV",$D31))</formula>
    </cfRule>
    <cfRule type="expression" priority="586" dxfId="358">
      <formula>($D31="CANOPY TYPE")</formula>
    </cfRule>
  </conditionalFormatting>
  <conditionalFormatting sqref="B42:B44">
    <cfRule type="expression" priority="587" dxfId="633">
      <formula>$J42&gt;0</formula>
    </cfRule>
  </conditionalFormatting>
  <conditionalFormatting sqref="B45">
    <cfRule type="expression" priority="624" dxfId="637">
      <formula>$B45&lt;&gt;""</formula>
    </cfRule>
  </conditionalFormatting>
  <conditionalFormatting sqref="B48:B57">
    <cfRule type="expression" priority="252" dxfId="633">
      <formula>$J48&gt;0</formula>
    </cfRule>
  </conditionalFormatting>
  <conditionalFormatting sqref="B58">
    <cfRule type="expression" priority="556" dxfId="633">
      <formula>ISNUMBER(SEARCH("UV",$D48))</formula>
    </cfRule>
    <cfRule type="expression" priority="557" dxfId="358">
      <formula>($D48="CANOPY TYPE")</formula>
    </cfRule>
  </conditionalFormatting>
  <conditionalFormatting sqref="B59:B61">
    <cfRule type="expression" priority="436" dxfId="633">
      <formula>$J59&gt;0</formula>
    </cfRule>
  </conditionalFormatting>
  <conditionalFormatting sqref="B62">
    <cfRule type="expression" priority="623" dxfId="637">
      <formula>$B62&lt;&gt;""</formula>
    </cfRule>
  </conditionalFormatting>
  <conditionalFormatting sqref="B65:B74">
    <cfRule type="expression" priority="241" dxfId="633">
      <formula>$J65&gt;0</formula>
    </cfRule>
  </conditionalFormatting>
  <conditionalFormatting sqref="B75">
    <cfRule type="expression" priority="526" dxfId="633">
      <formula>ISNUMBER(SEARCH("UV",$D65))</formula>
    </cfRule>
    <cfRule type="expression" priority="527" dxfId="358">
      <formula>($D65="CANOPY TYPE")</formula>
    </cfRule>
  </conditionalFormatting>
  <conditionalFormatting sqref="B76:B78">
    <cfRule type="expression" priority="435" dxfId="633">
      <formula>$J76&gt;0</formula>
    </cfRule>
  </conditionalFormatting>
  <conditionalFormatting sqref="B79">
    <cfRule type="expression" priority="622" dxfId="637">
      <formula>$B79&lt;&gt;""</formula>
    </cfRule>
  </conditionalFormatting>
  <conditionalFormatting sqref="B82:B91">
    <cfRule type="expression" priority="230" dxfId="633">
      <formula>$J82&gt;0</formula>
    </cfRule>
  </conditionalFormatting>
  <conditionalFormatting sqref="B92">
    <cfRule type="expression" priority="495" dxfId="633">
      <formula>ISNUMBER(SEARCH("UV",$D82))</formula>
    </cfRule>
    <cfRule type="expression" priority="496" dxfId="358">
      <formula>($D82="CANOPY TYPE")</formula>
    </cfRule>
  </conditionalFormatting>
  <conditionalFormatting sqref="B93:B95">
    <cfRule type="expression" priority="434" dxfId="633">
      <formula>$J93&gt;0</formula>
    </cfRule>
  </conditionalFormatting>
  <conditionalFormatting sqref="B96">
    <cfRule type="expression" priority="621" dxfId="637">
      <formula>$B96&lt;&gt;""</formula>
    </cfRule>
  </conditionalFormatting>
  <conditionalFormatting sqref="B99:B108">
    <cfRule type="expression" priority="219" dxfId="633">
      <formula>$J99&gt;0</formula>
    </cfRule>
  </conditionalFormatting>
  <conditionalFormatting sqref="B109">
    <cfRule type="expression" priority="466" dxfId="358">
      <formula>($D99="CANOPY TYPE")</formula>
    </cfRule>
    <cfRule type="expression" priority="465" dxfId="633">
      <formula>ISNUMBER(SEARCH("UV",$D99))</formula>
    </cfRule>
  </conditionalFormatting>
  <conditionalFormatting sqref="B110:B112 B127:B129 B161:B163 B178:B180">
    <cfRule type="expression" priority="433" dxfId="633">
      <formula>$J110&gt;0</formula>
    </cfRule>
  </conditionalFormatting>
  <conditionalFormatting sqref="B113">
    <cfRule type="expression" priority="325" dxfId="637">
      <formula>$B113&lt;&gt;""</formula>
    </cfRule>
  </conditionalFormatting>
  <conditionalFormatting sqref="B116:B125">
    <cfRule type="expression" priority="208" dxfId="633">
      <formula>$J116&gt;0</formula>
    </cfRule>
  </conditionalFormatting>
  <conditionalFormatting sqref="B126">
    <cfRule type="expression" priority="299" dxfId="358">
      <formula>($D116="CANOPY TYPE")</formula>
    </cfRule>
    <cfRule type="expression" priority="298" dxfId="633">
      <formula>ISNUMBER(SEARCH("UV",$D116))</formula>
    </cfRule>
  </conditionalFormatting>
  <conditionalFormatting sqref="B130">
    <cfRule type="expression" priority="189" dxfId="637">
      <formula>$B130&lt;&gt;""</formula>
    </cfRule>
  </conditionalFormatting>
  <conditionalFormatting sqref="B133:B142">
    <cfRule type="expression" priority="21" dxfId="633">
      <formula>$J133&gt;0</formula>
    </cfRule>
  </conditionalFormatting>
  <conditionalFormatting sqref="B143">
    <cfRule type="expression" priority="159" dxfId="633">
      <formula>ISNUMBER(SEARCH("UV",$D133))</formula>
    </cfRule>
    <cfRule type="expression" priority="160" dxfId="358">
      <formula>($D133="CANOPY TYPE")</formula>
    </cfRule>
  </conditionalFormatting>
  <conditionalFormatting sqref="B144:B146">
    <cfRule type="expression" priority="118" dxfId="633">
      <formula>$J144&gt;0</formula>
    </cfRule>
  </conditionalFormatting>
  <conditionalFormatting sqref="B147">
    <cfRule type="expression" priority="188" dxfId="637">
      <formula>$B147&lt;&gt;""</formula>
    </cfRule>
  </conditionalFormatting>
  <conditionalFormatting sqref="B150:B159">
    <cfRule type="expression" priority="10" dxfId="633">
      <formula>$J150&gt;0</formula>
    </cfRule>
  </conditionalFormatting>
  <conditionalFormatting sqref="B160">
    <cfRule type="expression" priority="131" dxfId="358">
      <formula>($D150="CANOPY TYPE")</formula>
    </cfRule>
    <cfRule type="expression" priority="130" dxfId="633">
      <formula>ISNUMBER(SEARCH("UV",$D150))</formula>
    </cfRule>
  </conditionalFormatting>
  <conditionalFormatting sqref="B164">
    <cfRule type="expression" priority="81" dxfId="637">
      <formula>$B164&lt;&gt;""</formula>
    </cfRule>
  </conditionalFormatting>
  <conditionalFormatting sqref="B167:B176">
    <cfRule type="expression" priority="5" dxfId="633">
      <formula>$J167&gt;0</formula>
    </cfRule>
  </conditionalFormatting>
  <conditionalFormatting sqref="B177">
    <cfRule type="expression" priority="54" dxfId="633">
      <formula>ISNUMBER(SEARCH("UV",$D167))</formula>
    </cfRule>
    <cfRule type="expression" priority="55" dxfId="358">
      <formula>($D167="CANOPY TYPE")</formula>
    </cfRule>
  </conditionalFormatting>
  <conditionalFormatting sqref="B183:B197">
    <cfRule type="expression" priority="618" dxfId="633">
      <formula>$C183&gt;0</formula>
    </cfRule>
  </conditionalFormatting>
  <conditionalFormatting sqref="C14">
    <cfRule type="containsText" priority="423" operator="containsText" dxfId="204" text="CONFIG">
      <formula>NOT(ISERROR(SEARCH("CONFIG",C14)))</formula>
    </cfRule>
  </conditionalFormatting>
  <conditionalFormatting sqref="C15">
    <cfRule type="containsText" priority="428" operator="containsText" dxfId="561" text="LIGHT SELECTION">
      <formula>NOT(ISERROR(SEARCH("LIGHT SELECTION",C15)))</formula>
    </cfRule>
  </conditionalFormatting>
  <conditionalFormatting sqref="C16:C17">
    <cfRule type="containsText" priority="674" operator="containsText" dxfId="561" text="ANSUL SELECTION">
      <formula>NOT(ISERROR(SEARCH("ANSUL SELECTION",C16)))</formula>
    </cfRule>
  </conditionalFormatting>
  <conditionalFormatting sqref="C20:C21">
    <cfRule type="cellIs" priority="671" operator="lessThan" dxfId="561">
      <formula>1</formula>
    </cfRule>
  </conditionalFormatting>
  <conditionalFormatting sqref="C22:C23">
    <cfRule type="expression" priority="403" dxfId="383">
      <formula>D22="WW PODS"</formula>
    </cfRule>
  </conditionalFormatting>
  <conditionalFormatting sqref="C24">
    <cfRule type="expression" priority="689" dxfId="559">
      <formula>ISNUMBER(SEARCH("UV",D14))</formula>
    </cfRule>
  </conditionalFormatting>
  <conditionalFormatting sqref="C25">
    <cfRule type="expression" priority="651" dxfId="472">
      <formula>(ISNUMBER(SEARCH("CMW",D14)))=TRUE</formula>
    </cfRule>
  </conditionalFormatting>
  <conditionalFormatting sqref="C26">
    <cfRule type="expression" priority="650" dxfId="472">
      <formula>(ISNUMBER(SEARCH("CMW",D14)))=TRUE</formula>
    </cfRule>
  </conditionalFormatting>
  <conditionalFormatting sqref="C27">
    <cfRule type="expression" priority="620" dxfId="472">
      <formula>(ISNUMBER(SEARCH("CMW",$D14)))=TRUE</formula>
    </cfRule>
  </conditionalFormatting>
  <conditionalFormatting sqref="C31">
    <cfRule type="containsText" priority="595" operator="containsText" dxfId="204" text="CONFIG">
      <formula>NOT(ISERROR(SEARCH("CONFIG",C31)))</formula>
    </cfRule>
  </conditionalFormatting>
  <conditionalFormatting sqref="C32">
    <cfRule type="containsText" priority="430" operator="containsText" dxfId="561" text="LIGHT SELECTION">
      <formula>NOT(ISERROR(SEARCH("LIGHT SELECTION",C32)))</formula>
    </cfRule>
  </conditionalFormatting>
  <conditionalFormatting sqref="C33:C34">
    <cfRule type="containsText" priority="271" operator="containsText" dxfId="561" text="ANSUL SELECTION">
      <formula>NOT(ISERROR(SEARCH("ANSUL SELECTION",C33)))</formula>
    </cfRule>
  </conditionalFormatting>
  <conditionalFormatting sqref="C37:C38">
    <cfRule type="cellIs" priority="594" operator="lessThan" dxfId="561">
      <formula>1</formula>
    </cfRule>
  </conditionalFormatting>
  <conditionalFormatting sqref="C39:C40">
    <cfRule type="expression" priority="388" dxfId="383">
      <formula>D39="WW PODS"</formula>
    </cfRule>
  </conditionalFormatting>
  <conditionalFormatting sqref="C41">
    <cfRule type="expression" priority="609" dxfId="559">
      <formula>ISNUMBER(SEARCH("UV",D31))</formula>
    </cfRule>
  </conditionalFormatting>
  <conditionalFormatting sqref="C42">
    <cfRule type="expression" priority="592" dxfId="472">
      <formula>(ISNUMBER(SEARCH("CMW",D31)))=TRUE</formula>
    </cfRule>
  </conditionalFormatting>
  <conditionalFormatting sqref="C43">
    <cfRule type="expression" priority="462" dxfId="472">
      <formula>(ISNUMBER(SEARCH("CMW",D31)))=TRUE</formula>
    </cfRule>
  </conditionalFormatting>
  <conditionalFormatting sqref="C44">
    <cfRule type="expression" priority="588" dxfId="472">
      <formula>(ISNUMBER(SEARCH("CMW",$D31)))=TRUE</formula>
    </cfRule>
  </conditionalFormatting>
  <conditionalFormatting sqref="C48">
    <cfRule type="containsText" priority="565" operator="containsText" dxfId="204" text="CONFIG">
      <formula>NOT(ISERROR(SEARCH("CONFIG",C48)))</formula>
    </cfRule>
  </conditionalFormatting>
  <conditionalFormatting sqref="C49">
    <cfRule type="containsText" priority="427" operator="containsText" dxfId="561" text="LIGHT SELECTION">
      <formula>NOT(ISERROR(SEARCH("LIGHT SELECTION",C49)))</formula>
    </cfRule>
  </conditionalFormatting>
  <conditionalFormatting sqref="C50:C51">
    <cfRule type="containsText" priority="260" operator="containsText" dxfId="561" text="ANSUL SELECTION">
      <formula>NOT(ISERROR(SEARCH("ANSUL SELECTION",C50)))</formula>
    </cfRule>
  </conditionalFormatting>
  <conditionalFormatting sqref="C54:C55">
    <cfRule type="cellIs" priority="564" operator="lessThan" dxfId="561">
      <formula>1</formula>
    </cfRule>
  </conditionalFormatting>
  <conditionalFormatting sqref="C56:C57">
    <cfRule type="expression" priority="373" dxfId="383">
      <formula>D56="WW PODS"</formula>
    </cfRule>
  </conditionalFormatting>
  <conditionalFormatting sqref="C58">
    <cfRule type="expression" priority="578" dxfId="559">
      <formula>ISNUMBER(SEARCH("UV",D48))</formula>
    </cfRule>
  </conditionalFormatting>
  <conditionalFormatting sqref="C59">
    <cfRule type="expression" priority="562" dxfId="472">
      <formula>(ISNUMBER(SEARCH("CMW",D48)))=TRUE</formula>
    </cfRule>
  </conditionalFormatting>
  <conditionalFormatting sqref="C60">
    <cfRule type="expression" priority="461" dxfId="472">
      <formula>(ISNUMBER(SEARCH("CMW",D48)))=TRUE</formula>
    </cfRule>
  </conditionalFormatting>
  <conditionalFormatting sqref="C61">
    <cfRule type="expression" priority="558" dxfId="472">
      <formula>(ISNUMBER(SEARCH("CMW",$D48)))=TRUE</formula>
    </cfRule>
  </conditionalFormatting>
  <conditionalFormatting sqref="C65">
    <cfRule type="containsText" priority="536" operator="containsText" dxfId="204" text="CONFIG">
      <formula>NOT(ISERROR(SEARCH("CONFIG",C65)))</formula>
    </cfRule>
  </conditionalFormatting>
  <conditionalFormatting sqref="C66">
    <cfRule type="containsText" priority="426" operator="containsText" dxfId="561" text="LIGHT SELECTION">
      <formula>NOT(ISERROR(SEARCH("LIGHT SELECTION",C66)))</formula>
    </cfRule>
  </conditionalFormatting>
  <conditionalFormatting sqref="C67:C68">
    <cfRule type="containsText" priority="249" operator="containsText" dxfId="561" text="ANSUL SELECTION">
      <formula>NOT(ISERROR(SEARCH("ANSUL SELECTION",C67)))</formula>
    </cfRule>
  </conditionalFormatting>
  <conditionalFormatting sqref="C71:C72">
    <cfRule type="cellIs" priority="535" operator="lessThan" dxfId="561">
      <formula>1</formula>
    </cfRule>
  </conditionalFormatting>
  <conditionalFormatting sqref="C73:C74">
    <cfRule type="expression" priority="358" dxfId="383">
      <formula>D73="WW PODS"</formula>
    </cfRule>
  </conditionalFormatting>
  <conditionalFormatting sqref="C75">
    <cfRule type="expression" priority="549" dxfId="559">
      <formula>ISNUMBER(SEARCH("UV",D65))</formula>
    </cfRule>
  </conditionalFormatting>
  <conditionalFormatting sqref="C76">
    <cfRule type="expression" priority="532" dxfId="472">
      <formula>(ISNUMBER(SEARCH("CMW",D65)))=TRUE</formula>
    </cfRule>
  </conditionalFormatting>
  <conditionalFormatting sqref="C77">
    <cfRule type="expression" priority="460" dxfId="472">
      <formula>(ISNUMBER(SEARCH("CMW",D65)))=TRUE</formula>
    </cfRule>
  </conditionalFormatting>
  <conditionalFormatting sqref="C78">
    <cfRule type="expression" priority="528" dxfId="472">
      <formula>(ISNUMBER(SEARCH("CMW",$D65)))=TRUE</formula>
    </cfRule>
  </conditionalFormatting>
  <conditionalFormatting sqref="C82">
    <cfRule type="containsText" priority="505" operator="containsText" dxfId="204" text="CONFIG">
      <formula>NOT(ISERROR(SEARCH("CONFIG",C82)))</formula>
    </cfRule>
  </conditionalFormatting>
  <conditionalFormatting sqref="C83">
    <cfRule type="containsText" priority="425" operator="containsText" dxfId="561" text="LIGHT SELECTION">
      <formula>NOT(ISERROR(SEARCH("LIGHT SELECTION",C83)))</formula>
    </cfRule>
  </conditionalFormatting>
  <conditionalFormatting sqref="C84:C85">
    <cfRule type="containsText" priority="238" operator="containsText" dxfId="561" text="ANSUL SELECTION">
      <formula>NOT(ISERROR(SEARCH("ANSUL SELECTION",C84)))</formula>
    </cfRule>
  </conditionalFormatting>
  <conditionalFormatting sqref="C88:C89">
    <cfRule type="cellIs" priority="504" operator="lessThan" dxfId="561">
      <formula>1</formula>
    </cfRule>
  </conditionalFormatting>
  <conditionalFormatting sqref="C90:C91">
    <cfRule type="expression" priority="343" dxfId="383">
      <formula>D90="WW PODS"</formula>
    </cfRule>
  </conditionalFormatting>
  <conditionalFormatting sqref="C92">
    <cfRule type="expression" priority="519" dxfId="559">
      <formula>ISNUMBER(SEARCH("UV",D82))</formula>
    </cfRule>
  </conditionalFormatting>
  <conditionalFormatting sqref="C93">
    <cfRule type="expression" priority="501" dxfId="472">
      <formula>(ISNUMBER(SEARCH("CMW",D82)))=TRUE</formula>
    </cfRule>
  </conditionalFormatting>
  <conditionalFormatting sqref="C94">
    <cfRule type="expression" priority="459" dxfId="472">
      <formula>(ISNUMBER(SEARCH("CMW",D82)))=TRUE</formula>
    </cfRule>
  </conditionalFormatting>
  <conditionalFormatting sqref="C95">
    <cfRule type="expression" priority="497" dxfId="472">
      <formula>(ISNUMBER(SEARCH("CMW",$D82)))=TRUE</formula>
    </cfRule>
  </conditionalFormatting>
  <conditionalFormatting sqref="C99">
    <cfRule type="containsText" priority="474" operator="containsText" dxfId="204" text="CONFIG">
      <formula>NOT(ISERROR(SEARCH("CONFIG",C99)))</formula>
    </cfRule>
  </conditionalFormatting>
  <conditionalFormatting sqref="C100">
    <cfRule type="containsText" priority="424" operator="containsText" dxfId="561" text="LIGHT SELECTION">
      <formula>NOT(ISERROR(SEARCH("LIGHT SELECTION",C100)))</formula>
    </cfRule>
  </conditionalFormatting>
  <conditionalFormatting sqref="C101:C102">
    <cfRule type="containsText" priority="227" operator="containsText" dxfId="561" text="ANSUL SELECTION">
      <formula>NOT(ISERROR(SEARCH("ANSUL SELECTION",C101)))</formula>
    </cfRule>
  </conditionalFormatting>
  <conditionalFormatting sqref="C105:C106">
    <cfRule type="cellIs" priority="473" operator="lessThan" dxfId="561">
      <formula>1</formula>
    </cfRule>
  </conditionalFormatting>
  <conditionalFormatting sqref="C107:C108">
    <cfRule type="expression" priority="328" dxfId="383">
      <formula>D107="WW PODS"</formula>
    </cfRule>
  </conditionalFormatting>
  <conditionalFormatting sqref="C109">
    <cfRule type="expression" priority="488" dxfId="559">
      <formula>ISNUMBER(SEARCH("UV",D99))</formula>
    </cfRule>
  </conditionalFormatting>
  <conditionalFormatting sqref="C110">
    <cfRule type="expression" priority="471" dxfId="472">
      <formula>(ISNUMBER(SEARCH("CMW",D99)))=TRUE</formula>
    </cfRule>
  </conditionalFormatting>
  <conditionalFormatting sqref="C111">
    <cfRule type="expression" priority="458" dxfId="472">
      <formula>(ISNUMBER(SEARCH("CMW",D99)))=TRUE</formula>
    </cfRule>
  </conditionalFormatting>
  <conditionalFormatting sqref="C112 C129 C163 C180">
    <cfRule type="expression" priority="467" dxfId="472">
      <formula>(ISNUMBER(SEARCH("CMW",$D99)))=TRUE</formula>
    </cfRule>
  </conditionalFormatting>
  <conditionalFormatting sqref="C116">
    <cfRule type="containsText" priority="306" operator="containsText" dxfId="204" text="CONFIG">
      <formula>NOT(ISERROR(SEARCH("CONFIG",C116)))</formula>
    </cfRule>
  </conditionalFormatting>
  <conditionalFormatting sqref="C117">
    <cfRule type="containsText" priority="291" operator="containsText" dxfId="561" text="LIGHT SELECTION">
      <formula>NOT(ISERROR(SEARCH("LIGHT SELECTION",C117)))</formula>
    </cfRule>
  </conditionalFormatting>
  <conditionalFormatting sqref="C118:C119">
    <cfRule type="containsText" priority="216" operator="containsText" dxfId="561" text="ANSUL SELECTION">
      <formula>NOT(ISERROR(SEARCH("ANSUL SELECTION",C118)))</formula>
    </cfRule>
  </conditionalFormatting>
  <conditionalFormatting sqref="C122:C123">
    <cfRule type="cellIs" priority="305" operator="lessThan" dxfId="561">
      <formula>1</formula>
    </cfRule>
  </conditionalFormatting>
  <conditionalFormatting sqref="C124:C125">
    <cfRule type="expression" priority="275" dxfId="383">
      <formula>D124="WW PODS"</formula>
    </cfRule>
  </conditionalFormatting>
  <conditionalFormatting sqref="C126">
    <cfRule type="expression" priority="320" dxfId="559">
      <formula>ISNUMBER(SEARCH("UV",D116))</formula>
    </cfRule>
  </conditionalFormatting>
  <conditionalFormatting sqref="C127">
    <cfRule type="expression" priority="303" dxfId="472">
      <formula>(ISNUMBER(SEARCH("CMW",D116)))=TRUE</formula>
    </cfRule>
  </conditionalFormatting>
  <conditionalFormatting sqref="C128">
    <cfRule type="expression" priority="296" dxfId="472">
      <formula>(ISNUMBER(SEARCH("CMW",D116)))=TRUE</formula>
    </cfRule>
  </conditionalFormatting>
  <conditionalFormatting sqref="C133">
    <cfRule type="containsText" priority="169" operator="containsText" dxfId="204" text="CONFIG">
      <formula>NOT(ISERROR(SEARCH("CONFIG",C133)))</formula>
    </cfRule>
  </conditionalFormatting>
  <conditionalFormatting sqref="C134">
    <cfRule type="containsText" priority="117" operator="containsText" dxfId="561" text="LIGHT SELECTION">
      <formula>NOT(ISERROR(SEARCH("LIGHT SELECTION",C134)))</formula>
    </cfRule>
  </conditionalFormatting>
  <conditionalFormatting sqref="C135:C136">
    <cfRule type="containsText" priority="29" operator="containsText" dxfId="561" text="ANSUL SELECTION">
      <formula>NOT(ISERROR(SEARCH("ANSUL SELECTION",C135)))</formula>
    </cfRule>
  </conditionalFormatting>
  <conditionalFormatting sqref="C139:C140">
    <cfRule type="cellIs" priority="168" operator="lessThan" dxfId="561">
      <formula>1</formula>
    </cfRule>
  </conditionalFormatting>
  <conditionalFormatting sqref="C141:C142">
    <cfRule type="expression" priority="99" dxfId="383">
      <formula>D141="WW PODS"</formula>
    </cfRule>
  </conditionalFormatting>
  <conditionalFormatting sqref="C143">
    <cfRule type="expression" priority="183" dxfId="559">
      <formula>ISNUMBER(SEARCH("UV",D133))</formula>
    </cfRule>
  </conditionalFormatting>
  <conditionalFormatting sqref="C144">
    <cfRule type="expression" priority="165" dxfId="472">
      <formula>(ISNUMBER(SEARCH("CMW",D133)))=TRUE</formula>
    </cfRule>
  </conditionalFormatting>
  <conditionalFormatting sqref="C145">
    <cfRule type="expression" priority="128" dxfId="472">
      <formula>(ISNUMBER(SEARCH("CMW",D133)))=TRUE</formula>
    </cfRule>
  </conditionalFormatting>
  <conditionalFormatting sqref="C146">
    <cfRule type="expression" priority="161" dxfId="472">
      <formula>(ISNUMBER(SEARCH("CMW",$D133)))=TRUE</formula>
    </cfRule>
  </conditionalFormatting>
  <conditionalFormatting sqref="C150">
    <cfRule type="containsText" priority="138" operator="containsText" dxfId="204" text="CONFIG">
      <formula>NOT(ISERROR(SEARCH("CONFIG",C150)))</formula>
    </cfRule>
  </conditionalFormatting>
  <conditionalFormatting sqref="C151">
    <cfRule type="containsText" priority="116" operator="containsText" dxfId="561" text="LIGHT SELECTION">
      <formula>NOT(ISERROR(SEARCH("LIGHT SELECTION",C151)))</formula>
    </cfRule>
  </conditionalFormatting>
  <conditionalFormatting sqref="C152:C153">
    <cfRule type="containsText" priority="18" operator="containsText" dxfId="561" text="ANSUL SELECTION">
      <formula>NOT(ISERROR(SEARCH("ANSUL SELECTION",C152)))</formula>
    </cfRule>
  </conditionalFormatting>
  <conditionalFormatting sqref="C156:C157">
    <cfRule type="cellIs" priority="137" operator="lessThan" dxfId="561">
      <formula>1</formula>
    </cfRule>
  </conditionalFormatting>
  <conditionalFormatting sqref="C158:C159">
    <cfRule type="expression" priority="84" dxfId="383">
      <formula>D158="WW PODS"</formula>
    </cfRule>
  </conditionalFormatting>
  <conditionalFormatting sqref="C160">
    <cfRule type="expression" priority="152" dxfId="559">
      <formula>ISNUMBER(SEARCH("UV",D150))</formula>
    </cfRule>
  </conditionalFormatting>
  <conditionalFormatting sqref="C161">
    <cfRule type="expression" priority="135" dxfId="472">
      <formula>(ISNUMBER(SEARCH("CMW",D150)))=TRUE</formula>
    </cfRule>
  </conditionalFormatting>
  <conditionalFormatting sqref="C162">
    <cfRule type="expression" priority="127" dxfId="472">
      <formula>(ISNUMBER(SEARCH("CMW",D150)))=TRUE</formula>
    </cfRule>
  </conditionalFormatting>
  <conditionalFormatting sqref="C167">
    <cfRule type="containsText" priority="62" operator="containsText" dxfId="204" text="CONFIG">
      <formula>NOT(ISERROR(SEARCH("CONFIG",C167)))</formula>
    </cfRule>
  </conditionalFormatting>
  <conditionalFormatting sqref="C168">
    <cfRule type="containsText" priority="47" operator="containsText" dxfId="561" text="LIGHT SELECTION">
      <formula>NOT(ISERROR(SEARCH("LIGHT SELECTION",C168)))</formula>
    </cfRule>
  </conditionalFormatting>
  <conditionalFormatting sqref="C169:C170">
    <cfRule type="containsText" priority="7" operator="containsText" dxfId="561" text="ANSUL SELECTION">
      <formula>NOT(ISERROR(SEARCH("ANSUL SELECTION",C169)))</formula>
    </cfRule>
  </conditionalFormatting>
  <conditionalFormatting sqref="C173:C174">
    <cfRule type="cellIs" priority="61" operator="lessThan" dxfId="561">
      <formula>1</formula>
    </cfRule>
  </conditionalFormatting>
  <conditionalFormatting sqref="C175:C176">
    <cfRule type="expression" priority="31" dxfId="383">
      <formula>D175="WW PODS"</formula>
    </cfRule>
  </conditionalFormatting>
  <conditionalFormatting sqref="C177">
    <cfRule type="expression" priority="76" dxfId="559">
      <formula>ISNUMBER(SEARCH("UV",D167))</formula>
    </cfRule>
  </conditionalFormatting>
  <conditionalFormatting sqref="C178">
    <cfRule type="expression" priority="59" dxfId="472">
      <formula>(ISNUMBER(SEARCH("CMW",D167)))=TRUE</formula>
    </cfRule>
  </conditionalFormatting>
  <conditionalFormatting sqref="C179">
    <cfRule type="expression" priority="52" dxfId="472">
      <formula>(ISNUMBER(SEARCH("CMW",D167)))=TRUE</formula>
    </cfRule>
  </conditionalFormatting>
  <conditionalFormatting sqref="C183:C184">
    <cfRule type="cellIs" priority="673" operator="lessThan" dxfId="554">
      <formula>1</formula>
    </cfRule>
  </conditionalFormatting>
  <conditionalFormatting sqref="C185:C186">
    <cfRule type="cellIs" priority="662" operator="lessThan" dxfId="164">
      <formula>1</formula>
    </cfRule>
  </conditionalFormatting>
  <conditionalFormatting sqref="C187:C197">
    <cfRule type="cellIs" priority="273" operator="lessThan" dxfId="554">
      <formula>1</formula>
    </cfRule>
  </conditionalFormatting>
  <conditionalFormatting sqref="C9:D9">
    <cfRule type="cellIs" priority="664" operator="greaterThan" dxfId="552">
      <formula>0</formula>
    </cfRule>
    <cfRule type="cellIs" priority="663" operator="lessThan" dxfId="207">
      <formula>0</formula>
    </cfRule>
  </conditionalFormatting>
  <conditionalFormatting sqref="D14">
    <cfRule type="containsText" priority="675" operator="containsText" dxfId="164" text="CANOPY TYPE">
      <formula>NOT(ISERROR(SEARCH("CANOPY TYPE",D14)))</formula>
    </cfRule>
  </conditionalFormatting>
  <conditionalFormatting sqref="D15">
    <cfRule type="expression" priority="419" dxfId="206">
      <formula>(C15="LIGHT SELECTION")</formula>
    </cfRule>
  </conditionalFormatting>
  <conditionalFormatting sqref="D18">
    <cfRule type="expression" priority="629" dxfId="206">
      <formula>($C18="SELECT WORKS")</formula>
    </cfRule>
  </conditionalFormatting>
  <conditionalFormatting sqref="D19">
    <cfRule type="expression" priority="272" dxfId="206">
      <formula>$C19="SELECT CLADDING"</formula>
    </cfRule>
  </conditionalFormatting>
  <conditionalFormatting sqref="D22:D23">
    <cfRule type="expression" priority="402" dxfId="358">
      <formula>($D$14="CANOPY TYPE")</formula>
    </cfRule>
  </conditionalFormatting>
  <conditionalFormatting sqref="D24">
    <cfRule type="expression" priority="688" dxfId="474">
      <formula>ISNUMBER(SEARCH("UV",D14))</formula>
    </cfRule>
  </conditionalFormatting>
  <conditionalFormatting sqref="D25">
    <cfRule type="expression" priority="614" dxfId="358">
      <formula>($D$14="CANOPY TYPE")</formula>
    </cfRule>
  </conditionalFormatting>
  <conditionalFormatting sqref="D26">
    <cfRule type="expression" priority="637" dxfId="472">
      <formula>(ISNUMBER(SEARCH("CMW",D14)))=TRUE</formula>
    </cfRule>
  </conditionalFormatting>
  <conditionalFormatting sqref="D31">
    <cfRule type="containsText" priority="596" operator="containsText" dxfId="164" text="CANOPY TYPE">
      <formula>NOT(ISERROR(SEARCH("CANOPY TYPE",D31)))</formula>
    </cfRule>
  </conditionalFormatting>
  <conditionalFormatting sqref="D32">
    <cfRule type="expression" priority="432" dxfId="206">
      <formula>(C32="LIGHT SELECTION")</formula>
    </cfRule>
  </conditionalFormatting>
  <conditionalFormatting sqref="D35">
    <cfRule type="expression" priority="589" dxfId="206">
      <formula>($C35="SELECT WORKS")</formula>
    </cfRule>
  </conditionalFormatting>
  <conditionalFormatting sqref="D36">
    <cfRule type="expression" priority="411" dxfId="206">
      <formula>$C36="SELECT CLADDING"</formula>
    </cfRule>
  </conditionalFormatting>
  <conditionalFormatting sqref="D39:D40">
    <cfRule type="expression" priority="387" dxfId="358">
      <formula>($D$14="CANOPY TYPE")</formula>
    </cfRule>
  </conditionalFormatting>
  <conditionalFormatting sqref="D41">
    <cfRule type="expression" priority="608" dxfId="474">
      <formula>ISNUMBER(SEARCH("UV",D31))</formula>
    </cfRule>
  </conditionalFormatting>
  <conditionalFormatting sqref="D42">
    <cfRule type="expression" priority="583" dxfId="358">
      <formula>($D$14="CANOPY TYPE")</formula>
    </cfRule>
  </conditionalFormatting>
  <conditionalFormatting sqref="D43">
    <cfRule type="expression" priority="591" dxfId="472">
      <formula>(ISNUMBER(SEARCH("CMW",D31)))=TRUE</formula>
    </cfRule>
  </conditionalFormatting>
  <conditionalFormatting sqref="D48">
    <cfRule type="containsText" priority="414" operator="containsText" dxfId="164" text="CANOPY TYPE">
      <formula>NOT(ISERROR(SEARCH("CANOPY TYPE",D48)))</formula>
    </cfRule>
  </conditionalFormatting>
  <conditionalFormatting sqref="D49">
    <cfRule type="expression" priority="429" dxfId="206">
      <formula>(C15="LIGHT SELECTION")</formula>
    </cfRule>
  </conditionalFormatting>
  <conditionalFormatting sqref="D52">
    <cfRule type="expression" priority="559" dxfId="206">
      <formula>($C52="SELECT WORKS")</formula>
    </cfRule>
  </conditionalFormatting>
  <conditionalFormatting sqref="D53">
    <cfRule type="expression" priority="412" dxfId="206">
      <formula>$C53="SELECT CLADDING"</formula>
    </cfRule>
  </conditionalFormatting>
  <conditionalFormatting sqref="D56:D57">
    <cfRule type="expression" priority="372" dxfId="358">
      <formula>($D$14="CANOPY TYPE")</formula>
    </cfRule>
  </conditionalFormatting>
  <conditionalFormatting sqref="D58">
    <cfRule type="expression" priority="577" dxfId="474">
      <formula>ISNUMBER(SEARCH("UV",D48))</formula>
    </cfRule>
  </conditionalFormatting>
  <conditionalFormatting sqref="D59">
    <cfRule type="expression" priority="554" dxfId="358">
      <formula>($D$14="CANOPY TYPE")</formula>
    </cfRule>
  </conditionalFormatting>
  <conditionalFormatting sqref="D60">
    <cfRule type="expression" priority="561" dxfId="472">
      <formula>(ISNUMBER(SEARCH("CMW",D48)))=TRUE</formula>
    </cfRule>
  </conditionalFormatting>
  <conditionalFormatting sqref="D65">
    <cfRule type="containsText" priority="413" operator="containsText" dxfId="164" text="CANOPY TYPE">
      <formula>NOT(ISERROR(SEARCH("CANOPY TYPE",D65)))</formula>
    </cfRule>
  </conditionalFormatting>
  <conditionalFormatting sqref="D66">
    <cfRule type="expression" priority="422" dxfId="206">
      <formula>(C66="LIGHT SELECTION")</formula>
    </cfRule>
  </conditionalFormatting>
  <conditionalFormatting sqref="D69">
    <cfRule type="expression" priority="529" dxfId="206">
      <formula>($C69="SELECT WORKS")</formula>
    </cfRule>
  </conditionalFormatting>
  <conditionalFormatting sqref="D70">
    <cfRule type="expression" priority="533" dxfId="206">
      <formula>$C70="SELECT CLADDING"</formula>
    </cfRule>
  </conditionalFormatting>
  <conditionalFormatting sqref="D73:D74">
    <cfRule type="expression" priority="357" dxfId="358">
      <formula>($D$14="CANOPY TYPE")</formula>
    </cfRule>
  </conditionalFormatting>
  <conditionalFormatting sqref="D75">
    <cfRule type="expression" priority="548" dxfId="474">
      <formula>ISNUMBER(SEARCH("UV",D65))</formula>
    </cfRule>
  </conditionalFormatting>
  <conditionalFormatting sqref="D76">
    <cfRule type="expression" priority="524" dxfId="358">
      <formula>($D$14="CANOPY TYPE")</formula>
    </cfRule>
  </conditionalFormatting>
  <conditionalFormatting sqref="D77">
    <cfRule type="expression" priority="531" dxfId="472">
      <formula>(ISNUMBER(SEARCH("CMW",D65)))=TRUE</formula>
    </cfRule>
  </conditionalFormatting>
  <conditionalFormatting sqref="D82">
    <cfRule type="containsText" priority="506" operator="containsText" dxfId="164" text="CANOPY TYPE">
      <formula>NOT(ISERROR(SEARCH("CANOPY TYPE",D82)))</formula>
    </cfRule>
  </conditionalFormatting>
  <conditionalFormatting sqref="D83">
    <cfRule type="expression" priority="421" dxfId="206">
      <formula>(C83="LIGHT SELECTION")</formula>
    </cfRule>
  </conditionalFormatting>
  <conditionalFormatting sqref="D86">
    <cfRule type="expression" priority="498" dxfId="206">
      <formula>($C86="SELECT WORKS")</formula>
    </cfRule>
  </conditionalFormatting>
  <conditionalFormatting sqref="D87">
    <cfRule type="expression" priority="502" dxfId="206">
      <formula>$C87="SELECT CLADDING"</formula>
    </cfRule>
  </conditionalFormatting>
  <conditionalFormatting sqref="D90:D91">
    <cfRule type="expression" priority="342" dxfId="358">
      <formula>($D$14="CANOPY TYPE")</formula>
    </cfRule>
  </conditionalFormatting>
  <conditionalFormatting sqref="D92">
    <cfRule type="expression" priority="518" dxfId="474">
      <formula>ISNUMBER(SEARCH("UV",D82))</formula>
    </cfRule>
  </conditionalFormatting>
  <conditionalFormatting sqref="D93">
    <cfRule type="expression" priority="493" dxfId="358">
      <formula>($D$14="CANOPY TYPE")</formula>
    </cfRule>
  </conditionalFormatting>
  <conditionalFormatting sqref="D94">
    <cfRule type="expression" priority="500" dxfId="472">
      <formula>(ISNUMBER(SEARCH("CMW",D82)))=TRUE</formula>
    </cfRule>
  </conditionalFormatting>
  <conditionalFormatting sqref="D99">
    <cfRule type="containsText" priority="475" operator="containsText" dxfId="164" text="CANOPY TYPE">
      <formula>NOT(ISERROR(SEARCH("CANOPY TYPE",D99)))</formula>
    </cfRule>
  </conditionalFormatting>
  <conditionalFormatting sqref="D100">
    <cfRule type="expression" priority="420" dxfId="206">
      <formula>(C100="LIGHT SELECTION")</formula>
    </cfRule>
  </conditionalFormatting>
  <conditionalFormatting sqref="D103">
    <cfRule type="expression" priority="468" dxfId="206">
      <formula>($C103="SELECT WORKS")</formula>
    </cfRule>
  </conditionalFormatting>
  <conditionalFormatting sqref="D104">
    <cfRule type="expression" priority="410" dxfId="206">
      <formula>$C104="SELECT CLADDING"</formula>
    </cfRule>
  </conditionalFormatting>
  <conditionalFormatting sqref="D107:D108">
    <cfRule type="expression" priority="327" dxfId="358">
      <formula>($D$14="CANOPY TYPE")</formula>
    </cfRule>
  </conditionalFormatting>
  <conditionalFormatting sqref="D109">
    <cfRule type="expression" priority="487" dxfId="474">
      <formula>ISNUMBER(SEARCH("UV",D99))</formula>
    </cfRule>
  </conditionalFormatting>
  <conditionalFormatting sqref="D110">
    <cfRule type="expression" priority="463" dxfId="358">
      <formula>($D$14="CANOPY TYPE")</formula>
    </cfRule>
  </conditionalFormatting>
  <conditionalFormatting sqref="D111">
    <cfRule type="expression" priority="470" dxfId="472">
      <formula>(ISNUMBER(SEARCH("CMW",D99)))=TRUE</formula>
    </cfRule>
  </conditionalFormatting>
  <conditionalFormatting sqref="D116">
    <cfRule type="containsText" priority="307" operator="containsText" dxfId="164" text="CANOPY TYPE">
      <formula>NOT(ISERROR(SEARCH("CANOPY TYPE",D116)))</formula>
    </cfRule>
  </conditionalFormatting>
  <conditionalFormatting sqref="D117">
    <cfRule type="expression" priority="290" dxfId="206">
      <formula>(C117="LIGHT SELECTION")</formula>
    </cfRule>
  </conditionalFormatting>
  <conditionalFormatting sqref="D120">
    <cfRule type="expression" priority="300" dxfId="206">
      <formula>($C120="SELECT WORKS")</formula>
    </cfRule>
  </conditionalFormatting>
  <conditionalFormatting sqref="D121">
    <cfRule type="expression" priority="289" dxfId="206">
      <formula>$C121="SELECT CLADDING"</formula>
    </cfRule>
  </conditionalFormatting>
  <conditionalFormatting sqref="D124:D125">
    <cfRule type="expression" priority="274" dxfId="358">
      <formula>($D$14="CANOPY TYPE")</formula>
    </cfRule>
  </conditionalFormatting>
  <conditionalFormatting sqref="D126">
    <cfRule type="expression" priority="319" dxfId="474">
      <formula>ISNUMBER(SEARCH("UV",D116))</formula>
    </cfRule>
  </conditionalFormatting>
  <conditionalFormatting sqref="D127">
    <cfRule type="expression" priority="297" dxfId="358">
      <formula>($D$14="CANOPY TYPE")</formula>
    </cfRule>
  </conditionalFormatting>
  <conditionalFormatting sqref="D128">
    <cfRule type="expression" priority="302" dxfId="472">
      <formula>(ISNUMBER(SEARCH("CMW",D116)))=TRUE</formula>
    </cfRule>
  </conditionalFormatting>
  <conditionalFormatting sqref="D133">
    <cfRule type="containsText" priority="170" operator="containsText" dxfId="164" text="CANOPY TYPE">
      <formula>NOT(ISERROR(SEARCH("CANOPY TYPE",D133)))</formula>
    </cfRule>
  </conditionalFormatting>
  <conditionalFormatting sqref="D134">
    <cfRule type="expression" priority="115" dxfId="206">
      <formula>(C134="LIGHT SELECTION")</formula>
    </cfRule>
  </conditionalFormatting>
  <conditionalFormatting sqref="D137">
    <cfRule type="expression" priority="162" dxfId="206">
      <formula>($C137="SELECT WORKS")</formula>
    </cfRule>
  </conditionalFormatting>
  <conditionalFormatting sqref="D138">
    <cfRule type="expression" priority="166" dxfId="206">
      <formula>$C138="SELECT CLADDING"</formula>
    </cfRule>
  </conditionalFormatting>
  <conditionalFormatting sqref="D141:D142">
    <cfRule type="expression" priority="98" dxfId="358">
      <formula>($D$14="CANOPY TYPE")</formula>
    </cfRule>
  </conditionalFormatting>
  <conditionalFormatting sqref="D143">
    <cfRule type="expression" priority="182" dxfId="474">
      <formula>ISNUMBER(SEARCH("UV",D133))</formula>
    </cfRule>
  </conditionalFormatting>
  <conditionalFormatting sqref="D144">
    <cfRule type="expression" priority="157" dxfId="358">
      <formula>($D$14="CANOPY TYPE")</formula>
    </cfRule>
  </conditionalFormatting>
  <conditionalFormatting sqref="D145">
    <cfRule type="expression" priority="164" dxfId="472">
      <formula>(ISNUMBER(SEARCH("CMW",D133)))=TRUE</formula>
    </cfRule>
  </conditionalFormatting>
  <conditionalFormatting sqref="D150">
    <cfRule type="containsText" priority="139" operator="containsText" dxfId="164" text="CANOPY TYPE">
      <formula>NOT(ISERROR(SEARCH("CANOPY TYPE",D150)))</formula>
    </cfRule>
  </conditionalFormatting>
  <conditionalFormatting sqref="D151">
    <cfRule type="expression" priority="114" dxfId="206">
      <formula>(C151="LIGHT SELECTION")</formula>
    </cfRule>
  </conditionalFormatting>
  <conditionalFormatting sqref="D154">
    <cfRule type="expression" priority="132" dxfId="206">
      <formula>($C154="SELECT WORKS")</formula>
    </cfRule>
  </conditionalFormatting>
  <conditionalFormatting sqref="D155">
    <cfRule type="expression" priority="113" dxfId="206">
      <formula>$C155="SELECT CLADDING"</formula>
    </cfRule>
  </conditionalFormatting>
  <conditionalFormatting sqref="D158:D159">
    <cfRule type="expression" priority="83" dxfId="358">
      <formula>($D$14="CANOPY TYPE")</formula>
    </cfRule>
  </conditionalFormatting>
  <conditionalFormatting sqref="D160">
    <cfRule type="expression" priority="151" dxfId="474">
      <formula>ISNUMBER(SEARCH("UV",D150))</formula>
    </cfRule>
  </conditionalFormatting>
  <conditionalFormatting sqref="D161">
    <cfRule type="expression" priority="129" dxfId="358">
      <formula>($D$14="CANOPY TYPE")</formula>
    </cfRule>
  </conditionalFormatting>
  <conditionalFormatting sqref="D162">
    <cfRule type="expression" priority="134" dxfId="472">
      <formula>(ISNUMBER(SEARCH("CMW",D150)))=TRUE</formula>
    </cfRule>
  </conditionalFormatting>
  <conditionalFormatting sqref="D167">
    <cfRule type="containsText" priority="63" operator="containsText" dxfId="164" text="CANOPY TYPE">
      <formula>NOT(ISERROR(SEARCH("CANOPY TYPE",D167)))</formula>
    </cfRule>
  </conditionalFormatting>
  <conditionalFormatting sqref="D168">
    <cfRule type="expression" priority="46" dxfId="206">
      <formula>(C168="LIGHT SELECTION")</formula>
    </cfRule>
  </conditionalFormatting>
  <conditionalFormatting sqref="D171">
    <cfRule type="expression" priority="56" dxfId="206">
      <formula>($C171="SELECT WORKS")</formula>
    </cfRule>
  </conditionalFormatting>
  <conditionalFormatting sqref="D172">
    <cfRule type="expression" priority="45" dxfId="206">
      <formula>$C172="SELECT CLADDING"</formula>
    </cfRule>
  </conditionalFormatting>
  <conditionalFormatting sqref="D175:D176">
    <cfRule type="expression" priority="30" dxfId="358">
      <formula>($D$14="CANOPY TYPE")</formula>
    </cfRule>
  </conditionalFormatting>
  <conditionalFormatting sqref="D177">
    <cfRule type="expression" priority="75" dxfId="474">
      <formula>ISNUMBER(SEARCH("UV",D167))</formula>
    </cfRule>
  </conditionalFormatting>
  <conditionalFormatting sqref="D178">
    <cfRule type="expression" priority="53" dxfId="358">
      <formula>($D$14="CANOPY TYPE")</formula>
    </cfRule>
  </conditionalFormatting>
  <conditionalFormatting sqref="D179">
    <cfRule type="expression" priority="58" dxfId="472">
      <formula>(ISNUMBER(SEARCH("CMW",D167)))=TRUE</formula>
    </cfRule>
  </conditionalFormatting>
  <conditionalFormatting sqref="E12">
    <cfRule type="expression" priority="686" dxfId="387">
      <formula>ISNUMBER(SEARCH("I-MUAP",$D$14))</formula>
    </cfRule>
    <cfRule type="cellIs" priority="687" operator="greaterThan" dxfId="204">
      <formula>2000</formula>
    </cfRule>
    <cfRule type="expression" priority="685" dxfId="386">
      <formula>AND((ISNUMBER(SEARCH("I-MUAP",$D$14))),E12&lt;2500)</formula>
    </cfRule>
  </conditionalFormatting>
  <conditionalFormatting sqref="E15">
    <cfRule type="expression" priority="417" dxfId="315">
      <formula>(C15="LIGHT SELECTION")</formula>
    </cfRule>
  </conditionalFormatting>
  <conditionalFormatting sqref="E17:E18">
    <cfRule type="expression" priority="628" dxfId="381">
      <formula>$C17="SELECT WORKS"</formula>
    </cfRule>
  </conditionalFormatting>
  <conditionalFormatting sqref="E22:E23">
    <cfRule type="expression" priority="668" dxfId="383">
      <formula>D22="FILTER TYPE"</formula>
    </cfRule>
    <cfRule type="expression" priority="669" dxfId="382">
      <formula>D22="KSA"</formula>
    </cfRule>
    <cfRule type="expression" priority="690" dxfId="381">
      <formula>(D14="CANOPY TYPE")</formula>
    </cfRule>
    <cfRule type="expression" priority="667" dxfId="384">
      <formula>D22="WW PODS"</formula>
    </cfRule>
  </conditionalFormatting>
  <conditionalFormatting sqref="E24">
    <cfRule type="containsText" priority="677" operator="containsText" dxfId="380" text="LONG ">
      <formula>NOT(ISERROR(SEARCH("LONG ",E24)))</formula>
    </cfRule>
  </conditionalFormatting>
  <conditionalFormatting sqref="E29">
    <cfRule type="expression" priority="605" dxfId="386">
      <formula>AND((ISNUMBER(SEARCH("I-MUAP",$D$14))),E29&lt;2500)</formula>
    </cfRule>
    <cfRule type="cellIs" priority="607" operator="greaterThan" dxfId="204">
      <formula>2000</formula>
    </cfRule>
    <cfRule type="expression" priority="606" dxfId="387">
      <formula>ISNUMBER(SEARCH("I-MUAP",$D$14))</formula>
    </cfRule>
  </conditionalFormatting>
  <conditionalFormatting sqref="E34">
    <cfRule type="expression" priority="264" dxfId="381">
      <formula>$C34="SELECT WORKS"</formula>
    </cfRule>
  </conditionalFormatting>
  <conditionalFormatting sqref="E39:E40">
    <cfRule type="expression" priority="389" dxfId="384">
      <formula>D39="WW PODS"</formula>
    </cfRule>
    <cfRule type="expression" priority="391" dxfId="382">
      <formula>D39="KSA"</formula>
    </cfRule>
    <cfRule type="expression" priority="392" dxfId="381">
      <formula>(D31="CANOPY TYPE")</formula>
    </cfRule>
    <cfRule type="expression" priority="390" dxfId="383">
      <formula>D39="FILTER TYPE"</formula>
    </cfRule>
  </conditionalFormatting>
  <conditionalFormatting sqref="E41">
    <cfRule type="containsText" priority="598" operator="containsText" dxfId="380" text="LONG ">
      <formula>NOT(ISERROR(SEARCH("LONG ",E41)))</formula>
    </cfRule>
  </conditionalFormatting>
  <conditionalFormatting sqref="E46">
    <cfRule type="expression" priority="574" dxfId="386">
      <formula>AND((ISNUMBER(SEARCH("I-MUAP",$D$14))),E46&lt;2500)</formula>
    </cfRule>
    <cfRule type="expression" priority="575" dxfId="387">
      <formula>ISNUMBER(SEARCH("I-MUAP",$D$14))</formula>
    </cfRule>
    <cfRule type="cellIs" priority="576" operator="greaterThan" dxfId="204">
      <formula>2000</formula>
    </cfRule>
  </conditionalFormatting>
  <conditionalFormatting sqref="E49">
    <cfRule type="expression" priority="431" dxfId="315">
      <formula>(C49="LIGHT SELECTION")</formula>
    </cfRule>
  </conditionalFormatting>
  <conditionalFormatting sqref="E51:E52">
    <cfRule type="expression" priority="253" dxfId="381">
      <formula>$C51="SELECT WORKS"</formula>
    </cfRule>
  </conditionalFormatting>
  <conditionalFormatting sqref="E56:E57">
    <cfRule type="expression" priority="375" dxfId="383">
      <formula>D56="FILTER TYPE"</formula>
    </cfRule>
    <cfRule type="expression" priority="376" dxfId="382">
      <formula>D56="KSA"</formula>
    </cfRule>
    <cfRule type="expression" priority="374" dxfId="384">
      <formula>D56="WW PODS"</formula>
    </cfRule>
    <cfRule type="expression" priority="377" dxfId="381">
      <formula>(D48="CANOPY TYPE")</formula>
    </cfRule>
  </conditionalFormatting>
  <conditionalFormatting sqref="E58">
    <cfRule type="containsText" priority="567" operator="containsText" dxfId="380" text="LONG ">
      <formula>NOT(ISERROR(SEARCH("LONG ",E58)))</formula>
    </cfRule>
  </conditionalFormatting>
  <conditionalFormatting sqref="E63">
    <cfRule type="cellIs" priority="547" operator="greaterThan" dxfId="204">
      <formula>2000</formula>
    </cfRule>
    <cfRule type="expression" priority="546" dxfId="387">
      <formula>ISNUMBER(SEARCH("I-MUAP",$D$14))</formula>
    </cfRule>
    <cfRule type="expression" priority="545" dxfId="386">
      <formula>AND((ISNUMBER(SEARCH("I-MUAP",$D$14))),E63&lt;2500)</formula>
    </cfRule>
  </conditionalFormatting>
  <conditionalFormatting sqref="E68:E69">
    <cfRule type="expression" priority="242" dxfId="381">
      <formula>$C68="SELECT WORKS"</formula>
    </cfRule>
  </conditionalFormatting>
  <conditionalFormatting sqref="E73:E74">
    <cfRule type="expression" priority="359" dxfId="384">
      <formula>D73="WW PODS"</formula>
    </cfRule>
    <cfRule type="expression" priority="362" dxfId="381">
      <formula>(D65="CANOPY TYPE")</formula>
    </cfRule>
    <cfRule type="expression" priority="360" dxfId="383">
      <formula>D73="FILTER TYPE"</formula>
    </cfRule>
    <cfRule type="expression" priority="361" dxfId="382">
      <formula>D73="KSA"</formula>
    </cfRule>
  </conditionalFormatting>
  <conditionalFormatting sqref="E75">
    <cfRule type="containsText" priority="538" operator="containsText" dxfId="380" text="LONG ">
      <formula>NOT(ISERROR(SEARCH("LONG ",E75)))</formula>
    </cfRule>
  </conditionalFormatting>
  <conditionalFormatting sqref="E80">
    <cfRule type="cellIs" priority="517" operator="greaterThan" dxfId="204">
      <formula>2000</formula>
    </cfRule>
    <cfRule type="expression" priority="516" dxfId="387">
      <formula>ISNUMBER(SEARCH("I-MUAP",$D$14))</formula>
    </cfRule>
    <cfRule type="expression" priority="515" dxfId="386">
      <formula>AND((ISNUMBER(SEARCH("I-MUAP",$D$14))),E80&lt;2500)</formula>
    </cfRule>
  </conditionalFormatting>
  <conditionalFormatting sqref="E85:E86">
    <cfRule type="expression" priority="231" dxfId="381">
      <formula>$C85="SELECT WORKS"</formula>
    </cfRule>
  </conditionalFormatting>
  <conditionalFormatting sqref="E90:E91">
    <cfRule type="expression" priority="344" dxfId="384">
      <formula>D90="WW PODS"</formula>
    </cfRule>
    <cfRule type="expression" priority="346" dxfId="382">
      <formula>D90="KSA"</formula>
    </cfRule>
    <cfRule type="expression" priority="347" dxfId="381">
      <formula>(D82="CANOPY TYPE")</formula>
    </cfRule>
    <cfRule type="expression" priority="345" dxfId="383">
      <formula>D90="FILTER TYPE"</formula>
    </cfRule>
  </conditionalFormatting>
  <conditionalFormatting sqref="E92">
    <cfRule type="containsText" priority="508" operator="containsText" dxfId="380" text="LONG ">
      <formula>NOT(ISERROR(SEARCH("LONG ",E92)))</formula>
    </cfRule>
  </conditionalFormatting>
  <conditionalFormatting sqref="E97">
    <cfRule type="cellIs" priority="486" operator="greaterThan" dxfId="204">
      <formula>2000</formula>
    </cfRule>
    <cfRule type="expression" priority="484" dxfId="386">
      <formula>AND((ISNUMBER(SEARCH("I-MUAP",$D$14))),E97&lt;2500)</formula>
    </cfRule>
    <cfRule type="expression" priority="485" dxfId="387">
      <formula>ISNUMBER(SEARCH("I-MUAP",$D$14))</formula>
    </cfRule>
  </conditionalFormatting>
  <conditionalFormatting sqref="E102:E103">
    <cfRule type="expression" priority="220" dxfId="381">
      <formula>$C102="SELECT WORKS"</formula>
    </cfRule>
  </conditionalFormatting>
  <conditionalFormatting sqref="E107:E108">
    <cfRule type="expression" priority="329" dxfId="384">
      <formula>D107="WW PODS"</formula>
    </cfRule>
    <cfRule type="expression" priority="330" dxfId="383">
      <formula>D107="FILTER TYPE"</formula>
    </cfRule>
    <cfRule type="expression" priority="331" dxfId="382">
      <formula>D107="KSA"</formula>
    </cfRule>
    <cfRule type="expression" priority="332" dxfId="381">
      <formula>(D99="CANOPY TYPE")</formula>
    </cfRule>
  </conditionalFormatting>
  <conditionalFormatting sqref="E109">
    <cfRule type="containsText" priority="477" operator="containsText" dxfId="380" text="LONG ">
      <formula>NOT(ISERROR(SEARCH("LONG ",E109)))</formula>
    </cfRule>
  </conditionalFormatting>
  <conditionalFormatting sqref="E114">
    <cfRule type="expression" priority="317" dxfId="387">
      <formula>ISNUMBER(SEARCH("I-MUAP",$D$14))</formula>
    </cfRule>
    <cfRule type="cellIs" priority="318" operator="greaterThan" dxfId="204">
      <formula>2000</formula>
    </cfRule>
    <cfRule type="expression" priority="316" dxfId="386">
      <formula>AND((ISNUMBER(SEARCH("I-MUAP",$D$14))),E114&lt;2500)</formula>
    </cfRule>
  </conditionalFormatting>
  <conditionalFormatting sqref="E119:E120">
    <cfRule type="expression" priority="209" dxfId="381">
      <formula>$C119="SELECT WORKS"</formula>
    </cfRule>
  </conditionalFormatting>
  <conditionalFormatting sqref="E124:E125">
    <cfRule type="expression" priority="276" dxfId="384">
      <formula>D124="WW PODS"</formula>
    </cfRule>
    <cfRule type="expression" priority="277" dxfId="383">
      <formula>D124="FILTER TYPE"</formula>
    </cfRule>
    <cfRule type="expression" priority="278" dxfId="382">
      <formula>D124="KSA"</formula>
    </cfRule>
    <cfRule type="expression" priority="279" dxfId="381">
      <formula>(D116="CANOPY TYPE")</formula>
    </cfRule>
  </conditionalFormatting>
  <conditionalFormatting sqref="E126">
    <cfRule type="containsText" priority="309" operator="containsText" dxfId="380" text="LONG ">
      <formula>NOT(ISERROR(SEARCH("LONG ",E126)))</formula>
    </cfRule>
  </conditionalFormatting>
  <conditionalFormatting sqref="E131">
    <cfRule type="cellIs" priority="181" operator="greaterThan" dxfId="204">
      <formula>2000</formula>
    </cfRule>
    <cfRule type="expression" priority="180" dxfId="387">
      <formula>ISNUMBER(SEARCH("I-MUAP",$D$14))</formula>
    </cfRule>
    <cfRule type="expression" priority="179" dxfId="386">
      <formula>AND((ISNUMBER(SEARCH("I-MUAP",$D$14))),E131&lt;2500)</formula>
    </cfRule>
  </conditionalFormatting>
  <conditionalFormatting sqref="E136:E137">
    <cfRule type="expression" priority="22" dxfId="381">
      <formula>$C136="SELECT WORKS"</formula>
    </cfRule>
  </conditionalFormatting>
  <conditionalFormatting sqref="E141:E142">
    <cfRule type="expression" priority="100" dxfId="384">
      <formula>D141="WW PODS"</formula>
    </cfRule>
    <cfRule type="expression" priority="101" dxfId="383">
      <formula>D141="FILTER TYPE"</formula>
    </cfRule>
    <cfRule type="expression" priority="102" dxfId="382">
      <formula>D141="KSA"</formula>
    </cfRule>
    <cfRule type="expression" priority="103" dxfId="381">
      <formula>(D133="CANOPY TYPE")</formula>
    </cfRule>
  </conditionalFormatting>
  <conditionalFormatting sqref="E143">
    <cfRule type="containsText" priority="172" operator="containsText" dxfId="380" text="LONG ">
      <formula>NOT(ISERROR(SEARCH("LONG ",E143)))</formula>
    </cfRule>
  </conditionalFormatting>
  <conditionalFormatting sqref="E148">
    <cfRule type="cellIs" priority="150" operator="greaterThan" dxfId="204">
      <formula>2000</formula>
    </cfRule>
    <cfRule type="expression" priority="149" dxfId="387">
      <formula>ISNUMBER(SEARCH("I-MUAP",$D$14))</formula>
    </cfRule>
    <cfRule type="expression" priority="148" dxfId="386">
      <formula>AND((ISNUMBER(SEARCH("I-MUAP",$D$14))),E148&lt;2500)</formula>
    </cfRule>
  </conditionalFormatting>
  <conditionalFormatting sqref="E153:E154">
    <cfRule type="expression" priority="11" dxfId="381">
      <formula>$C153="SELECT WORKS"</formula>
    </cfRule>
  </conditionalFormatting>
  <conditionalFormatting sqref="E158:E159">
    <cfRule type="expression" priority="86" dxfId="383">
      <formula>D158="FILTER TYPE"</formula>
    </cfRule>
    <cfRule type="expression" priority="87" dxfId="382">
      <formula>D158="KSA"</formula>
    </cfRule>
    <cfRule type="expression" priority="88" dxfId="381">
      <formula>(D150="CANOPY TYPE")</formula>
    </cfRule>
    <cfRule type="expression" priority="85" dxfId="384">
      <formula>D158="WW PODS"</formula>
    </cfRule>
  </conditionalFormatting>
  <conditionalFormatting sqref="E160">
    <cfRule type="containsText" priority="141" operator="containsText" dxfId="380" text="LONG ">
      <formula>NOT(ISERROR(SEARCH("LONG ",E160)))</formula>
    </cfRule>
  </conditionalFormatting>
  <conditionalFormatting sqref="E165">
    <cfRule type="expression" priority="72" dxfId="386">
      <formula>AND((ISNUMBER(SEARCH("I-MUAP",$D$14))),E165&lt;2500)</formula>
    </cfRule>
    <cfRule type="expression" priority="73" dxfId="387">
      <formula>ISNUMBER(SEARCH("I-MUAP",$D$14))</formula>
    </cfRule>
    <cfRule type="cellIs" priority="74" operator="greaterThan" dxfId="204">
      <formula>2000</formula>
    </cfRule>
  </conditionalFormatting>
  <conditionalFormatting sqref="E170:E171">
    <cfRule type="expression" priority="6" dxfId="381">
      <formula>$C170="SELECT WORKS"</formula>
    </cfRule>
  </conditionalFormatting>
  <conditionalFormatting sqref="E175:E176">
    <cfRule type="expression" priority="32" dxfId="384">
      <formula>D175="WW PODS"</formula>
    </cfRule>
    <cfRule type="expression" priority="35" dxfId="381">
      <formula>(D167="CANOPY TYPE")</formula>
    </cfRule>
    <cfRule type="expression" priority="34" dxfId="382">
      <formula>D175="KSA"</formula>
    </cfRule>
    <cfRule type="expression" priority="33" dxfId="383">
      <formula>D175="FILTER TYPE"</formula>
    </cfRule>
  </conditionalFormatting>
  <conditionalFormatting sqref="E177">
    <cfRule type="containsText" priority="65" operator="containsText" dxfId="380" text="LONG ">
      <formula>NOT(ISERROR(SEARCH("LONG ",E177)))</formula>
    </cfRule>
  </conditionalFormatting>
  <conditionalFormatting sqref="E12:F12">
    <cfRule type="cellIs" priority="681" operator="lessThan" dxfId="204">
      <formula>1000</formula>
    </cfRule>
  </conditionalFormatting>
  <conditionalFormatting sqref="E14:F14">
    <cfRule type="cellIs" priority="678" operator="lessThan" dxfId="164">
      <formula>1000</formula>
    </cfRule>
  </conditionalFormatting>
  <conditionalFormatting sqref="E25:F27">
    <cfRule type="expression" priority="615" dxfId="358">
      <formula>($D$14="CANOPY TYPE")</formula>
    </cfRule>
  </conditionalFormatting>
  <conditionalFormatting sqref="E29:F29">
    <cfRule type="cellIs" priority="602" operator="lessThan" dxfId="204">
      <formula>1000</formula>
    </cfRule>
  </conditionalFormatting>
  <conditionalFormatting sqref="E31:F31">
    <cfRule type="cellIs" priority="599" operator="lessThan" dxfId="164">
      <formula>1000</formula>
    </cfRule>
  </conditionalFormatting>
  <conditionalFormatting sqref="E32:F32">
    <cfRule type="expression" priority="455" dxfId="315">
      <formula>(C32="LIGHT SELECTION")</formula>
    </cfRule>
  </conditionalFormatting>
  <conditionalFormatting sqref="E42:F44">
    <cfRule type="expression" priority="584" dxfId="358">
      <formula>($D$14="CANOPY TYPE")</formula>
    </cfRule>
  </conditionalFormatting>
  <conditionalFormatting sqref="E46:F46">
    <cfRule type="cellIs" priority="571" operator="lessThan" dxfId="204">
      <formula>1000</formula>
    </cfRule>
  </conditionalFormatting>
  <conditionalFormatting sqref="E48:F48">
    <cfRule type="cellIs" priority="568" operator="lessThan" dxfId="164">
      <formula>1000</formula>
    </cfRule>
  </conditionalFormatting>
  <conditionalFormatting sqref="E59:F61">
    <cfRule type="expression" priority="555" dxfId="358">
      <formula>($D$14="CANOPY TYPE")</formula>
    </cfRule>
  </conditionalFormatting>
  <conditionalFormatting sqref="E63:F63">
    <cfRule type="cellIs" priority="542" operator="lessThan" dxfId="204">
      <formula>1000</formula>
    </cfRule>
  </conditionalFormatting>
  <conditionalFormatting sqref="E65:F65">
    <cfRule type="cellIs" priority="539" operator="lessThan" dxfId="164">
      <formula>1000</formula>
    </cfRule>
  </conditionalFormatting>
  <conditionalFormatting sqref="E66:F66">
    <cfRule type="expression" priority="448" dxfId="315">
      <formula>(C66="LIGHT SELECTION")</formula>
    </cfRule>
  </conditionalFormatting>
  <conditionalFormatting sqref="E76:F78">
    <cfRule type="expression" priority="525" dxfId="358">
      <formula>($D$14="CANOPY TYPE")</formula>
    </cfRule>
  </conditionalFormatting>
  <conditionalFormatting sqref="E80:F80">
    <cfRule type="cellIs" priority="512" operator="lessThan" dxfId="204">
      <formula>1000</formula>
    </cfRule>
  </conditionalFormatting>
  <conditionalFormatting sqref="E82:F82">
    <cfRule type="cellIs" priority="509" operator="lessThan" dxfId="164">
      <formula>1000</formula>
    </cfRule>
  </conditionalFormatting>
  <conditionalFormatting sqref="E83:F83">
    <cfRule type="expression" priority="444" dxfId="315">
      <formula>(C83="LIGHT SELECTION")</formula>
    </cfRule>
  </conditionalFormatting>
  <conditionalFormatting sqref="E93:F95">
    <cfRule type="expression" priority="494" dxfId="358">
      <formula>($D$14="CANOPY TYPE")</formula>
    </cfRule>
  </conditionalFormatting>
  <conditionalFormatting sqref="E97:F97">
    <cfRule type="cellIs" priority="481" operator="lessThan" dxfId="204">
      <formula>1000</formula>
    </cfRule>
  </conditionalFormatting>
  <conditionalFormatting sqref="E99:F99">
    <cfRule type="cellIs" priority="478" operator="lessThan" dxfId="164">
      <formula>1000</formula>
    </cfRule>
  </conditionalFormatting>
  <conditionalFormatting sqref="E100:F100">
    <cfRule type="expression" priority="440" dxfId="315">
      <formula>(C100="LIGHT SELECTION")</formula>
    </cfRule>
  </conditionalFormatting>
  <conditionalFormatting sqref="E110:F112 E127:F129 E161:F163 E178:F180">
    <cfRule type="expression" priority="464" dxfId="358">
      <formula>($D$14="CANOPY TYPE")</formula>
    </cfRule>
  </conditionalFormatting>
  <conditionalFormatting sqref="E114:F114">
    <cfRule type="cellIs" priority="313" operator="lessThan" dxfId="204">
      <formula>1000</formula>
    </cfRule>
  </conditionalFormatting>
  <conditionalFormatting sqref="E116:F116">
    <cfRule type="cellIs" priority="310" operator="lessThan" dxfId="164">
      <formula>1000</formula>
    </cfRule>
  </conditionalFormatting>
  <conditionalFormatting sqref="E117:F117">
    <cfRule type="expression" priority="294" dxfId="315">
      <formula>(C117="LIGHT SELECTION")</formula>
    </cfRule>
  </conditionalFormatting>
  <conditionalFormatting sqref="E131:F131">
    <cfRule type="cellIs" priority="176" operator="lessThan" dxfId="204">
      <formula>1000</formula>
    </cfRule>
  </conditionalFormatting>
  <conditionalFormatting sqref="E133:F133">
    <cfRule type="cellIs" priority="173" operator="lessThan" dxfId="164">
      <formula>1000</formula>
    </cfRule>
  </conditionalFormatting>
  <conditionalFormatting sqref="E134:F134">
    <cfRule type="expression" priority="125" dxfId="315">
      <formula>(C134="LIGHT SELECTION")</formula>
    </cfRule>
  </conditionalFormatting>
  <conditionalFormatting sqref="E144:F146">
    <cfRule type="expression" priority="158" dxfId="358">
      <formula>($D$14="CANOPY TYPE")</formula>
    </cfRule>
  </conditionalFormatting>
  <conditionalFormatting sqref="E148:F148">
    <cfRule type="cellIs" priority="145" operator="lessThan" dxfId="204">
      <formula>1000</formula>
    </cfRule>
  </conditionalFormatting>
  <conditionalFormatting sqref="E150:F150">
    <cfRule type="cellIs" priority="142" operator="lessThan" dxfId="164">
      <formula>1000</formula>
    </cfRule>
  </conditionalFormatting>
  <conditionalFormatting sqref="E151:F151">
    <cfRule type="expression" priority="121" dxfId="315">
      <formula>(C151="LIGHT SELECTION")</formula>
    </cfRule>
  </conditionalFormatting>
  <conditionalFormatting sqref="E165:F165">
    <cfRule type="cellIs" priority="69" operator="lessThan" dxfId="204">
      <formula>1000</formula>
    </cfRule>
  </conditionalFormatting>
  <conditionalFormatting sqref="E167:F167">
    <cfRule type="cellIs" priority="66" operator="lessThan" dxfId="164">
      <formula>1000</formula>
    </cfRule>
  </conditionalFormatting>
  <conditionalFormatting sqref="E168:F168">
    <cfRule type="expression" priority="50" dxfId="315">
      <formula>(C168="LIGHT SELECTION")</formula>
    </cfRule>
  </conditionalFormatting>
  <conditionalFormatting sqref="F12">
    <cfRule type="cellIs" priority="682" operator="greaterThan" dxfId="204">
      <formula>3001</formula>
    </cfRule>
  </conditionalFormatting>
  <conditionalFormatting sqref="F15">
    <cfRule type="expression" priority="457" dxfId="214">
      <formula>(C15="LED STRIP")</formula>
    </cfRule>
    <cfRule type="expression" priority="704" dxfId="315">
      <formula>(D49="LIGHT SELECTION")</formula>
    </cfRule>
    <cfRule type="expression" priority="670" dxfId="215">
      <formula>(C15="LIGHT SELECTION")</formula>
    </cfRule>
    <cfRule type="expression" priority="672" dxfId="216">
      <formula>(C15="FLO")</formula>
    </cfRule>
  </conditionalFormatting>
  <conditionalFormatting sqref="F22:F23">
    <cfRule type="expression" priority="702" dxfId="207">
      <formula>(((I14*3600)/(C22*I11))^2+20)&gt;180</formula>
    </cfRule>
    <cfRule type="expression" priority="700" dxfId="207">
      <formula>(((I14*3600)/(C22*I11))^2+20)&gt;300</formula>
    </cfRule>
    <cfRule type="expression" priority="699" dxfId="206" stopIfTrue="1">
      <formula>D14="canopy type"</formula>
    </cfRule>
    <cfRule type="expression" priority="695" dxfId="206">
      <formula>D22="NF"</formula>
    </cfRule>
    <cfRule type="expression" priority="696" dxfId="208">
      <formula>D22="WW PODS"</formula>
    </cfRule>
    <cfRule type="expression" priority="697" dxfId="206">
      <formula>D22="GRILLE"</formula>
    </cfRule>
    <cfRule type="expression" priority="698" dxfId="206">
      <formula>D22="CENTREX"</formula>
    </cfRule>
    <cfRule type="expression" priority="703" dxfId="205">
      <formula>D22="KSA"</formula>
    </cfRule>
    <cfRule type="expression" priority="701" dxfId="205" stopIfTrue="1">
      <formula>(ISNUMBER(SEARCH("UV",D14)))</formula>
    </cfRule>
  </conditionalFormatting>
  <conditionalFormatting sqref="F24">
    <cfRule type="cellIs" priority="676" operator="lessThan" dxfId="204">
      <formula>2100</formula>
    </cfRule>
  </conditionalFormatting>
  <conditionalFormatting sqref="F29">
    <cfRule type="cellIs" priority="603" operator="greaterThan" dxfId="204">
      <formula>3001</formula>
    </cfRule>
  </conditionalFormatting>
  <conditionalFormatting sqref="F32">
    <cfRule type="expression" priority="456" dxfId="216">
      <formula>(C32="FLO")</formula>
    </cfRule>
    <cfRule type="expression" priority="454" dxfId="215">
      <formula>(C32="LIGHT SELECTION")</formula>
    </cfRule>
    <cfRule type="expression" priority="453" dxfId="214">
      <formula>(C32="LED STRIP")</formula>
    </cfRule>
  </conditionalFormatting>
  <conditionalFormatting sqref="F39:F40">
    <cfRule type="expression" priority="400" dxfId="207">
      <formula>(((I31*3600)/(C39*I28))^2+20)&gt;180</formula>
    </cfRule>
    <cfRule type="expression" priority="401" dxfId="205">
      <formula>D39="KSA"</formula>
    </cfRule>
    <cfRule type="expression" priority="393" dxfId="206">
      <formula>D39="NF"</formula>
    </cfRule>
    <cfRule type="expression" priority="394" dxfId="208">
      <formula>D39="WW PODS"</formula>
    </cfRule>
    <cfRule type="expression" priority="395" dxfId="206">
      <formula>D39="GRILLE"</formula>
    </cfRule>
    <cfRule type="expression" priority="396" dxfId="206">
      <formula>D39="CENTREX"</formula>
    </cfRule>
    <cfRule type="expression" priority="397" dxfId="206" stopIfTrue="1">
      <formula>D31="canopy type"</formula>
    </cfRule>
    <cfRule type="expression" priority="398" dxfId="207">
      <formula>(((I31*3600)/(C39*I28))^2+20)&gt;300</formula>
    </cfRule>
    <cfRule type="expression" priority="399" dxfId="205" stopIfTrue="1">
      <formula>(ISNUMBER(SEARCH("UV",D31)))</formula>
    </cfRule>
  </conditionalFormatting>
  <conditionalFormatting sqref="F41">
    <cfRule type="cellIs" priority="597" operator="lessThan" dxfId="204">
      <formula>2100</formula>
    </cfRule>
  </conditionalFormatting>
  <conditionalFormatting sqref="F46">
    <cfRule type="cellIs" priority="572" operator="greaterThan" dxfId="204">
      <formula>3001</formula>
    </cfRule>
  </conditionalFormatting>
  <conditionalFormatting sqref="F49">
    <cfRule type="expression" priority="451" dxfId="215">
      <formula>(C49="LIGHT SELECTION")</formula>
    </cfRule>
    <cfRule type="expression" priority="452" dxfId="216">
      <formula>(C49="FLO")</formula>
    </cfRule>
    <cfRule type="expression" priority="705" dxfId="315">
      <formula>(#REF!="LIGHT SELECTION")</formula>
    </cfRule>
    <cfRule type="expression" priority="450" dxfId="214">
      <formula>(C49="LED STRIP")</formula>
    </cfRule>
  </conditionalFormatting>
  <conditionalFormatting sqref="F56:F57">
    <cfRule type="expression" priority="386" dxfId="205">
      <formula>D56="KSA"</formula>
    </cfRule>
    <cfRule type="expression" priority="385" dxfId="207">
      <formula>(((I48*3600)/(C56*I45))^2+20)&gt;180</formula>
    </cfRule>
    <cfRule type="expression" priority="384" dxfId="205" stopIfTrue="1">
      <formula>(ISNUMBER(SEARCH("UV",D48)))</formula>
    </cfRule>
    <cfRule type="expression" priority="383" dxfId="207">
      <formula>(((I48*3600)/(C56*I45))^2+20)&gt;300</formula>
    </cfRule>
    <cfRule type="expression" priority="382" dxfId="206" stopIfTrue="1">
      <formula>D48="canopy type"</formula>
    </cfRule>
    <cfRule type="expression" priority="381" dxfId="206">
      <formula>D56="CENTREX"</formula>
    </cfRule>
    <cfRule type="expression" priority="380" dxfId="206">
      <formula>D56="GRILLE"</formula>
    </cfRule>
    <cfRule type="expression" priority="379" dxfId="208">
      <formula>D56="WW PODS"</formula>
    </cfRule>
    <cfRule type="expression" priority="378" dxfId="206">
      <formula>D56="NF"</formula>
    </cfRule>
  </conditionalFormatting>
  <conditionalFormatting sqref="F58">
    <cfRule type="cellIs" priority="566" operator="lessThan" dxfId="204">
      <formula>2100</formula>
    </cfRule>
  </conditionalFormatting>
  <conditionalFormatting sqref="F63">
    <cfRule type="cellIs" priority="543" operator="greaterThan" dxfId="204">
      <formula>3001</formula>
    </cfRule>
  </conditionalFormatting>
  <conditionalFormatting sqref="F66">
    <cfRule type="expression" priority="446" dxfId="214">
      <formula>(C66="LED STRIP")</formula>
    </cfRule>
    <cfRule type="expression" priority="447" dxfId="215">
      <formula>(C66="LIGHT SELECTION")</formula>
    </cfRule>
    <cfRule type="expression" priority="449" dxfId="216">
      <formula>(C66="FLO")</formula>
    </cfRule>
  </conditionalFormatting>
  <conditionalFormatting sqref="F73:F74">
    <cfRule type="expression" priority="365" dxfId="206">
      <formula>D73="GRILLE"</formula>
    </cfRule>
    <cfRule type="expression" priority="363" dxfId="206">
      <formula>D73="NF"</formula>
    </cfRule>
    <cfRule type="expression" priority="364" dxfId="208">
      <formula>D73="WW PODS"</formula>
    </cfRule>
    <cfRule type="expression" priority="366" dxfId="206">
      <formula>D73="CENTREX"</formula>
    </cfRule>
    <cfRule type="expression" priority="367" dxfId="206" stopIfTrue="1">
      <formula>D65="canopy type"</formula>
    </cfRule>
    <cfRule type="expression" priority="368" dxfId="207">
      <formula>(((I65*3600)/(C73*I62))^2+20)&gt;300</formula>
    </cfRule>
    <cfRule type="expression" priority="369" dxfId="205" stopIfTrue="1">
      <formula>(ISNUMBER(SEARCH("UV",D65)))</formula>
    </cfRule>
    <cfRule type="expression" priority="370" dxfId="207">
      <formula>(((I65*3600)/(C73*I62))^2+20)&gt;180</formula>
    </cfRule>
    <cfRule type="expression" priority="371" dxfId="205">
      <formula>D73="KSA"</formula>
    </cfRule>
  </conditionalFormatting>
  <conditionalFormatting sqref="F75">
    <cfRule type="cellIs" priority="537" operator="lessThan" dxfId="204">
      <formula>2100</formula>
    </cfRule>
  </conditionalFormatting>
  <conditionalFormatting sqref="F80">
    <cfRule type="cellIs" priority="513" operator="greaterThan" dxfId="204">
      <formula>3001</formula>
    </cfRule>
  </conditionalFormatting>
  <conditionalFormatting sqref="F83">
    <cfRule type="expression" priority="445" dxfId="216">
      <formula>(C83="FLO")</formula>
    </cfRule>
    <cfRule type="expression" priority="442" dxfId="214">
      <formula>(C83="LED STRIP")</formula>
    </cfRule>
    <cfRule type="expression" priority="443" dxfId="215">
      <formula>(C83="LIGHT SELECTION")</formula>
    </cfRule>
  </conditionalFormatting>
  <conditionalFormatting sqref="F90:F91">
    <cfRule type="expression" priority="353" dxfId="207">
      <formula>(((I82*3600)/(C90*I79))^2+20)&gt;300</formula>
    </cfRule>
    <cfRule type="expression" priority="355" dxfId="207">
      <formula>(((I82*3600)/(C90*I79))^2+20)&gt;180</formula>
    </cfRule>
    <cfRule type="expression" priority="348" dxfId="206">
      <formula>D90="NF"</formula>
    </cfRule>
    <cfRule type="expression" priority="349" dxfId="208">
      <formula>D90="WW PODS"</formula>
    </cfRule>
    <cfRule type="expression" priority="350" dxfId="206">
      <formula>D90="GRILLE"</formula>
    </cfRule>
    <cfRule type="expression" priority="351" dxfId="206">
      <formula>D90="CENTREX"</formula>
    </cfRule>
    <cfRule type="expression" priority="352" dxfId="206" stopIfTrue="1">
      <formula>D82="canopy type"</formula>
    </cfRule>
    <cfRule type="expression" priority="354" dxfId="205" stopIfTrue="1">
      <formula>(ISNUMBER(SEARCH("UV",D82)))</formula>
    </cfRule>
    <cfRule type="expression" priority="356" dxfId="205">
      <formula>D90="KSA"</formula>
    </cfRule>
  </conditionalFormatting>
  <conditionalFormatting sqref="F92">
    <cfRule type="cellIs" priority="507" operator="lessThan" dxfId="204">
      <formula>2100</formula>
    </cfRule>
  </conditionalFormatting>
  <conditionalFormatting sqref="F97">
    <cfRule type="cellIs" priority="482" operator="greaterThan" dxfId="204">
      <formula>3001</formula>
    </cfRule>
  </conditionalFormatting>
  <conditionalFormatting sqref="F100">
    <cfRule type="expression" priority="438" dxfId="214">
      <formula>(C100="LED STRIP")</formula>
    </cfRule>
    <cfRule type="expression" priority="439" dxfId="215">
      <formula>(C100="LIGHT SELECTION")</formula>
    </cfRule>
    <cfRule type="expression" priority="441" dxfId="216">
      <formula>(C100="FLO")</formula>
    </cfRule>
  </conditionalFormatting>
  <conditionalFormatting sqref="F107:F108">
    <cfRule type="expression" priority="337" dxfId="206" stopIfTrue="1">
      <formula>D99="canopy type"</formula>
    </cfRule>
    <cfRule type="expression" priority="336" dxfId="206">
      <formula>D107="CENTREX"</formula>
    </cfRule>
    <cfRule type="expression" priority="335" dxfId="206">
      <formula>D107="GRILLE"</formula>
    </cfRule>
    <cfRule type="expression" priority="334" dxfId="208">
      <formula>D107="WW PODS"</formula>
    </cfRule>
    <cfRule type="expression" priority="333" dxfId="206">
      <formula>D107="NF"</formula>
    </cfRule>
    <cfRule type="expression" priority="341" dxfId="205">
      <formula>D107="KSA"</formula>
    </cfRule>
    <cfRule type="expression" priority="340" dxfId="207">
      <formula>(((I99*3600)/(C107*I96))^2+20)&gt;180</formula>
    </cfRule>
    <cfRule type="expression" priority="339" dxfId="205" stopIfTrue="1">
      <formula>(ISNUMBER(SEARCH("UV",D99)))</formula>
    </cfRule>
    <cfRule type="expression" priority="338" dxfId="207">
      <formula>(((I99*3600)/(C107*I96))^2+20)&gt;300</formula>
    </cfRule>
  </conditionalFormatting>
  <conditionalFormatting sqref="F109">
    <cfRule type="cellIs" priority="476" operator="lessThan" dxfId="204">
      <formula>2100</formula>
    </cfRule>
  </conditionalFormatting>
  <conditionalFormatting sqref="F114">
    <cfRule type="cellIs" priority="314" operator="greaterThan" dxfId="204">
      <formula>3001</formula>
    </cfRule>
  </conditionalFormatting>
  <conditionalFormatting sqref="F117">
    <cfRule type="expression" priority="292" dxfId="214">
      <formula>(C117="LED STRIP")</formula>
    </cfRule>
    <cfRule type="expression" priority="295" dxfId="216">
      <formula>(C117="FLO")</formula>
    </cfRule>
    <cfRule type="expression" priority="293" dxfId="215">
      <formula>(C117="LIGHT SELECTION")</formula>
    </cfRule>
  </conditionalFormatting>
  <conditionalFormatting sqref="F124:F125">
    <cfRule type="expression" priority="282" dxfId="206">
      <formula>D124="GRILLE"</formula>
    </cfRule>
    <cfRule type="expression" priority="281" dxfId="208">
      <formula>D124="WW PODS"</formula>
    </cfRule>
    <cfRule type="expression" priority="280" dxfId="206">
      <formula>D124="NF"</formula>
    </cfRule>
    <cfRule type="expression" priority="283" dxfId="206">
      <formula>D124="CENTREX"</formula>
    </cfRule>
    <cfRule type="expression" priority="284" dxfId="206" stopIfTrue="1">
      <formula>D116="canopy type"</formula>
    </cfRule>
    <cfRule type="expression" priority="285" dxfId="207">
      <formula>(((I116*3600)/(C124*I113))^2+20)&gt;300</formula>
    </cfRule>
    <cfRule type="expression" priority="286" dxfId="205" stopIfTrue="1">
      <formula>(ISNUMBER(SEARCH("UV",D116)))</formula>
    </cfRule>
    <cfRule type="expression" priority="287" dxfId="207">
      <formula>(((I116*3600)/(C124*I113))^2+20)&gt;180</formula>
    </cfRule>
    <cfRule type="expression" priority="288" dxfId="205">
      <formula>D124="KSA"</formula>
    </cfRule>
  </conditionalFormatting>
  <conditionalFormatting sqref="F126">
    <cfRule type="cellIs" priority="308" operator="lessThan" dxfId="204">
      <formula>2100</formula>
    </cfRule>
  </conditionalFormatting>
  <conditionalFormatting sqref="F131">
    <cfRule type="cellIs" priority="177" operator="greaterThan" dxfId="204">
      <formula>3001</formula>
    </cfRule>
  </conditionalFormatting>
  <conditionalFormatting sqref="F134">
    <cfRule type="expression" priority="126" dxfId="216">
      <formula>(C134="FLO")</formula>
    </cfRule>
    <cfRule type="expression" priority="124" dxfId="215">
      <formula>(C134="LIGHT SELECTION")</formula>
    </cfRule>
    <cfRule type="expression" priority="123" dxfId="214">
      <formula>(C134="LED STRIP")</formula>
    </cfRule>
  </conditionalFormatting>
  <conditionalFormatting sqref="F141:F142">
    <cfRule type="expression" priority="105" dxfId="208">
      <formula>D141="WW PODS"</formula>
    </cfRule>
    <cfRule type="expression" priority="111" dxfId="207">
      <formula>(((I133*3600)/(C141*I130))^2+20)&gt;180</formula>
    </cfRule>
    <cfRule type="expression" priority="106" dxfId="206">
      <formula>D141="GRILLE"</formula>
    </cfRule>
    <cfRule type="expression" priority="107" dxfId="206">
      <formula>D141="CENTREX"</formula>
    </cfRule>
    <cfRule type="expression" priority="108" dxfId="206" stopIfTrue="1">
      <formula>D133="canopy type"</formula>
    </cfRule>
    <cfRule type="expression" priority="112" dxfId="205">
      <formula>D141="KSA"</formula>
    </cfRule>
    <cfRule type="expression" priority="104" dxfId="206">
      <formula>D141="NF"</formula>
    </cfRule>
    <cfRule type="expression" priority="110" dxfId="205" stopIfTrue="1">
      <formula>(ISNUMBER(SEARCH("UV",D133)))</formula>
    </cfRule>
    <cfRule type="expression" priority="109" dxfId="207">
      <formula>(((I133*3600)/(C141*I130))^2+20)&gt;300</formula>
    </cfRule>
  </conditionalFormatting>
  <conditionalFormatting sqref="F143">
    <cfRule type="cellIs" priority="171" operator="lessThan" dxfId="204">
      <formula>2100</formula>
    </cfRule>
  </conditionalFormatting>
  <conditionalFormatting sqref="F148">
    <cfRule type="cellIs" priority="146" operator="greaterThan" dxfId="204">
      <formula>3001</formula>
    </cfRule>
  </conditionalFormatting>
  <conditionalFormatting sqref="F151">
    <cfRule type="expression" priority="119" dxfId="214">
      <formula>(C151="LED STRIP")</formula>
    </cfRule>
    <cfRule type="expression" priority="120" dxfId="215">
      <formula>(C151="LIGHT SELECTION")</formula>
    </cfRule>
    <cfRule type="expression" priority="122" dxfId="216">
      <formula>(C151="FLO")</formula>
    </cfRule>
  </conditionalFormatting>
  <conditionalFormatting sqref="F158:F159">
    <cfRule type="expression" priority="89" dxfId="206">
      <formula>D158="NF"</formula>
    </cfRule>
    <cfRule type="expression" priority="95" dxfId="205" stopIfTrue="1">
      <formula>(ISNUMBER(SEARCH("UV",D150)))</formula>
    </cfRule>
    <cfRule type="expression" priority="90" dxfId="208">
      <formula>D158="WW PODS"</formula>
    </cfRule>
    <cfRule type="expression" priority="91" dxfId="206">
      <formula>D158="GRILLE"</formula>
    </cfRule>
    <cfRule type="expression" priority="92" dxfId="206">
      <formula>D158="CENTREX"</formula>
    </cfRule>
    <cfRule type="expression" priority="97" dxfId="205">
      <formula>D158="KSA"</formula>
    </cfRule>
    <cfRule type="expression" priority="96" dxfId="207">
      <formula>(((I150*3600)/(C158*I147))^2+20)&gt;180</formula>
    </cfRule>
    <cfRule type="expression" priority="93" dxfId="206" stopIfTrue="1">
      <formula>D150="canopy type"</formula>
    </cfRule>
    <cfRule type="expression" priority="94" dxfId="207">
      <formula>(((I150*3600)/(C158*I147))^2+20)&gt;300</formula>
    </cfRule>
  </conditionalFormatting>
  <conditionalFormatting sqref="F160">
    <cfRule type="cellIs" priority="140" operator="lessThan" dxfId="204">
      <formula>2100</formula>
    </cfRule>
  </conditionalFormatting>
  <conditionalFormatting sqref="F165">
    <cfRule type="cellIs" priority="70" operator="greaterThan" dxfId="204">
      <formula>3001</formula>
    </cfRule>
  </conditionalFormatting>
  <conditionalFormatting sqref="F168">
    <cfRule type="expression" priority="48" dxfId="214">
      <formula>(C168="LED STRIP")</formula>
    </cfRule>
    <cfRule type="expression" priority="51" dxfId="216">
      <formula>(C168="FLO")</formula>
    </cfRule>
    <cfRule type="expression" priority="49" dxfId="215">
      <formula>(C168="LIGHT SELECTION")</formula>
    </cfRule>
  </conditionalFormatting>
  <conditionalFormatting sqref="F175:F176">
    <cfRule type="expression" priority="44" dxfId="205">
      <formula>D175="KSA"</formula>
    </cfRule>
    <cfRule type="expression" priority="43" dxfId="207">
      <formula>(((I167*3600)/(C175*I164))^2+20)&gt;180</formula>
    </cfRule>
    <cfRule type="expression" priority="42" dxfId="205" stopIfTrue="1">
      <formula>(ISNUMBER(SEARCH("UV",D167)))</formula>
    </cfRule>
    <cfRule type="expression" priority="41" dxfId="207">
      <formula>(((I167*3600)/(C175*I164))^2+20)&gt;300</formula>
    </cfRule>
    <cfRule type="expression" priority="40" dxfId="206" stopIfTrue="1">
      <formula>D167="canopy type"</formula>
    </cfRule>
    <cfRule type="expression" priority="36" dxfId="206">
      <formula>D175="NF"</formula>
    </cfRule>
    <cfRule type="expression" priority="39" dxfId="206">
      <formula>D175="CENTREX"</formula>
    </cfRule>
    <cfRule type="expression" priority="37" dxfId="208">
      <formula>D175="WW PODS"</formula>
    </cfRule>
    <cfRule type="expression" priority="38" dxfId="206">
      <formula>D175="GRILLE"</formula>
    </cfRule>
  </conditionalFormatting>
  <conditionalFormatting sqref="F177">
    <cfRule type="cellIs" priority="64" operator="lessThan" dxfId="204">
      <formula>2100</formula>
    </cfRule>
  </conditionalFormatting>
  <conditionalFormatting sqref="G11">
    <cfRule type="expression" priority="684" dxfId="176">
      <formula>((F14-50)/H14)&lt;950</formula>
    </cfRule>
  </conditionalFormatting>
  <conditionalFormatting sqref="G12">
    <cfRule type="expression" priority="683" dxfId="175">
      <formula>((F14-50)/H14)&lt;950</formula>
    </cfRule>
  </conditionalFormatting>
  <conditionalFormatting sqref="G14">
    <cfRule type="cellIs" priority="679" operator="lessThan" dxfId="164">
      <formula>400</formula>
    </cfRule>
  </conditionalFormatting>
  <conditionalFormatting sqref="G28">
    <cfRule type="expression" priority="626" dxfId="176">
      <formula>((F31-50)/H31)&lt;950</formula>
    </cfRule>
  </conditionalFormatting>
  <conditionalFormatting sqref="G29">
    <cfRule type="expression" priority="604" dxfId="175">
      <formula>((F31-50)/H31)&lt;950</formula>
    </cfRule>
  </conditionalFormatting>
  <conditionalFormatting sqref="G31">
    <cfRule type="cellIs" priority="600" operator="lessThan" dxfId="164">
      <formula>400</formula>
    </cfRule>
  </conditionalFormatting>
  <conditionalFormatting sqref="G45">
    <cfRule type="expression" priority="643" dxfId="176">
      <formula>((F48-50)/H48)&lt;950</formula>
    </cfRule>
  </conditionalFormatting>
  <conditionalFormatting sqref="G46">
    <cfRule type="expression" priority="573" dxfId="175">
      <formula>((F48-50)/H48)&lt;950</formula>
    </cfRule>
  </conditionalFormatting>
  <conditionalFormatting sqref="G48">
    <cfRule type="cellIs" priority="569" operator="lessThan" dxfId="164">
      <formula>400</formula>
    </cfRule>
  </conditionalFormatting>
  <conditionalFormatting sqref="G62">
    <cfRule type="expression" priority="644" dxfId="176">
      <formula>((F65-50)/H65)&lt;950</formula>
    </cfRule>
  </conditionalFormatting>
  <conditionalFormatting sqref="G63">
    <cfRule type="expression" priority="544" dxfId="175">
      <formula>((F65-50)/H65)&lt;950</formula>
    </cfRule>
  </conditionalFormatting>
  <conditionalFormatting sqref="G65">
    <cfRule type="cellIs" priority="540" operator="lessThan" dxfId="164">
      <formula>400</formula>
    </cfRule>
  </conditionalFormatting>
  <conditionalFormatting sqref="G79">
    <cfRule type="expression" priority="645" dxfId="176">
      <formula>((F82-50)/H82)&lt;950</formula>
    </cfRule>
  </conditionalFormatting>
  <conditionalFormatting sqref="G80">
    <cfRule type="expression" priority="514" dxfId="175">
      <formula>((F82-50)/H82)&lt;950</formula>
    </cfRule>
  </conditionalFormatting>
  <conditionalFormatting sqref="G82">
    <cfRule type="cellIs" priority="510" operator="lessThan" dxfId="164">
      <formula>400</formula>
    </cfRule>
  </conditionalFormatting>
  <conditionalFormatting sqref="G96">
    <cfRule type="expression" priority="653" dxfId="176">
      <formula>((F99-50)/H99)&lt;950</formula>
    </cfRule>
  </conditionalFormatting>
  <conditionalFormatting sqref="G97">
    <cfRule type="expression" priority="483" dxfId="175">
      <formula>((F99-50)/H99)&lt;950</formula>
    </cfRule>
  </conditionalFormatting>
  <conditionalFormatting sqref="G99">
    <cfRule type="cellIs" priority="479" operator="lessThan" dxfId="164">
      <formula>400</formula>
    </cfRule>
  </conditionalFormatting>
  <conditionalFormatting sqref="G113">
    <cfRule type="expression" priority="326" dxfId="176">
      <formula>((F116-50)/H116)&lt;950</formula>
    </cfRule>
  </conditionalFormatting>
  <conditionalFormatting sqref="G114">
    <cfRule type="expression" priority="315" dxfId="175">
      <formula>((F116-50)/H116)&lt;950</formula>
    </cfRule>
  </conditionalFormatting>
  <conditionalFormatting sqref="G116">
    <cfRule type="cellIs" priority="311" operator="lessThan" dxfId="164">
      <formula>400</formula>
    </cfRule>
  </conditionalFormatting>
  <conditionalFormatting sqref="G130">
    <cfRule type="expression" priority="190" dxfId="176">
      <formula>((F133-50)/H133)&lt;950</formula>
    </cfRule>
  </conditionalFormatting>
  <conditionalFormatting sqref="G131">
    <cfRule type="expression" priority="178" dxfId="175">
      <formula>((F133-50)/H133)&lt;950</formula>
    </cfRule>
  </conditionalFormatting>
  <conditionalFormatting sqref="G133">
    <cfRule type="cellIs" priority="174" operator="lessThan" dxfId="164">
      <formula>400</formula>
    </cfRule>
  </conditionalFormatting>
  <conditionalFormatting sqref="G147">
    <cfRule type="expression" priority="191" dxfId="176">
      <formula>((F150-50)/H150)&lt;950</formula>
    </cfRule>
  </conditionalFormatting>
  <conditionalFormatting sqref="G148">
    <cfRule type="expression" priority="147" dxfId="175">
      <formula>((F150-50)/H150)&lt;950</formula>
    </cfRule>
  </conditionalFormatting>
  <conditionalFormatting sqref="G150">
    <cfRule type="cellIs" priority="143" operator="lessThan" dxfId="164">
      <formula>400</formula>
    </cfRule>
  </conditionalFormatting>
  <conditionalFormatting sqref="G164">
    <cfRule type="expression" priority="82" dxfId="176">
      <formula>((F167-50)/H167)&lt;950</formula>
    </cfRule>
  </conditionalFormatting>
  <conditionalFormatting sqref="G165">
    <cfRule type="expression" priority="71" dxfId="175">
      <formula>((F167-50)/H167)&lt;950</formula>
    </cfRule>
  </conditionalFormatting>
  <conditionalFormatting sqref="G167">
    <cfRule type="cellIs" priority="67" operator="lessThan" dxfId="164">
      <formula>400</formula>
    </cfRule>
  </conditionalFormatting>
  <conditionalFormatting sqref="I14">
    <cfRule type="cellIs" priority="680" operator="lessThan" dxfId="164">
      <formula>0.1</formula>
    </cfRule>
  </conditionalFormatting>
  <conditionalFormatting sqref="I31">
    <cfRule type="cellIs" priority="601" operator="lessThan" dxfId="164">
      <formula>0.1</formula>
    </cfRule>
  </conditionalFormatting>
  <conditionalFormatting sqref="I48">
    <cfRule type="cellIs" priority="570" operator="lessThan" dxfId="164">
      <formula>0.1</formula>
    </cfRule>
  </conditionalFormatting>
  <conditionalFormatting sqref="I65">
    <cfRule type="cellIs" priority="541" operator="lessThan" dxfId="164">
      <formula>0.1</formula>
    </cfRule>
  </conditionalFormatting>
  <conditionalFormatting sqref="I82">
    <cfRule type="cellIs" priority="511" operator="lessThan" dxfId="164">
      <formula>0.1</formula>
    </cfRule>
  </conditionalFormatting>
  <conditionalFormatting sqref="I99">
    <cfRule type="cellIs" priority="480" operator="lessThan" dxfId="164">
      <formula>0.1</formula>
    </cfRule>
  </conditionalFormatting>
  <conditionalFormatting sqref="I116">
    <cfRule type="cellIs" priority="312" operator="lessThan" dxfId="164">
      <formula>0.1</formula>
    </cfRule>
  </conditionalFormatting>
  <conditionalFormatting sqref="I133">
    <cfRule type="cellIs" priority="175" operator="lessThan" dxfId="164">
      <formula>0.1</formula>
    </cfRule>
  </conditionalFormatting>
  <conditionalFormatting sqref="I150">
    <cfRule type="cellIs" priority="144" operator="lessThan" dxfId="164">
      <formula>0.1</formula>
    </cfRule>
  </conditionalFormatting>
  <conditionalFormatting sqref="I167">
    <cfRule type="cellIs" priority="68" operator="lessThan" dxfId="164">
      <formula>0.1</formula>
    </cfRule>
  </conditionalFormatting>
  <conditionalFormatting sqref="J14:J27">
    <cfRule type="cellIs" priority="404" operator="greaterThan" dxfId="153">
      <formula>0</formula>
    </cfRule>
  </conditionalFormatting>
  <conditionalFormatting sqref="J31:J44">
    <cfRule type="cellIs" priority="261" operator="greaterThan" dxfId="153">
      <formula>0</formula>
    </cfRule>
  </conditionalFormatting>
  <conditionalFormatting sqref="J48:J61">
    <cfRule type="cellIs" priority="250" operator="greaterThan" dxfId="153">
      <formula>0</formula>
    </cfRule>
  </conditionalFormatting>
  <conditionalFormatting sqref="J65:J78">
    <cfRule type="cellIs" priority="239" operator="greaterThan" dxfId="153">
      <formula>0</formula>
    </cfRule>
  </conditionalFormatting>
  <conditionalFormatting sqref="J82:J95">
    <cfRule type="cellIs" priority="228" operator="greaterThan" dxfId="153">
      <formula>0</formula>
    </cfRule>
  </conditionalFormatting>
  <conditionalFormatting sqref="J99:J112">
    <cfRule type="cellIs" priority="217" operator="greaterThan" dxfId="153">
      <formula>0</formula>
    </cfRule>
  </conditionalFormatting>
  <conditionalFormatting sqref="J116:J129 J167:J180">
    <cfRule type="cellIs" priority="206" operator="greaterThan" dxfId="153">
      <formula>0</formula>
    </cfRule>
  </conditionalFormatting>
  <conditionalFormatting sqref="J133:J146">
    <cfRule type="cellIs" priority="19" operator="greaterThan" dxfId="153">
      <formula>0</formula>
    </cfRule>
  </conditionalFormatting>
  <conditionalFormatting sqref="J150:J163">
    <cfRule type="cellIs" priority="8" operator="greaterThan" dxfId="153">
      <formula>0</formula>
    </cfRule>
  </conditionalFormatting>
  <conditionalFormatting sqref="J183:J197">
    <cfRule type="expression" priority="654" dxfId="153">
      <formula>C183&gt;0</formula>
    </cfRule>
  </conditionalFormatting>
  <conditionalFormatting sqref="J199">
    <cfRule type="expression" priority="659" dxfId="2">
      <formula>#REF!="EURO"</formula>
    </cfRule>
  </conditionalFormatting>
  <conditionalFormatting sqref="K14:K27">
    <cfRule type="cellIs" priority="418" operator="greaterThan" dxfId="141">
      <formula>0</formula>
    </cfRule>
  </conditionalFormatting>
  <conditionalFormatting sqref="K31:K44">
    <cfRule type="cellIs" priority="262" operator="greaterThan" dxfId="141">
      <formula>0</formula>
    </cfRule>
  </conditionalFormatting>
  <conditionalFormatting sqref="K48:K61">
    <cfRule type="cellIs" priority="251" operator="greaterThan" dxfId="141">
      <formula>0</formula>
    </cfRule>
  </conditionalFormatting>
  <conditionalFormatting sqref="K65:K78">
    <cfRule type="cellIs" priority="240" operator="greaterThan" dxfId="141">
      <formula>0</formula>
    </cfRule>
  </conditionalFormatting>
  <conditionalFormatting sqref="K82:K95">
    <cfRule type="cellIs" priority="229" operator="greaterThan" dxfId="141">
      <formula>0</formula>
    </cfRule>
  </conditionalFormatting>
  <conditionalFormatting sqref="K99:K112">
    <cfRule type="cellIs" priority="218" operator="greaterThan" dxfId="141">
      <formula>0</formula>
    </cfRule>
  </conditionalFormatting>
  <conditionalFormatting sqref="K116:K129 K167:K180">
    <cfRule type="cellIs" priority="207" operator="greaterThan" dxfId="141">
      <formula>0</formula>
    </cfRule>
  </conditionalFormatting>
  <conditionalFormatting sqref="K133:K146">
    <cfRule type="cellIs" priority="20" operator="greaterThan" dxfId="141">
      <formula>0</formula>
    </cfRule>
  </conditionalFormatting>
  <conditionalFormatting sqref="K150:K163">
    <cfRule type="cellIs" priority="9" operator="greaterThan" dxfId="141">
      <formula>0</formula>
    </cfRule>
  </conditionalFormatting>
  <conditionalFormatting sqref="K183:K197">
    <cfRule type="cellIs" priority="661" operator="greaterThan" dxfId="141">
      <formula>0</formula>
    </cfRule>
  </conditionalFormatting>
  <conditionalFormatting sqref="K199">
    <cfRule type="expression" priority="658" dxfId="2">
      <formula>$B$9="EURO"</formula>
    </cfRule>
    <cfRule type="expression" priority="657" dxfId="3">
      <formula>$B$9="USD"</formula>
    </cfRule>
    <cfRule type="expression" priority="656" dxfId="0">
      <formula>$B$9="CZK"</formula>
    </cfRule>
    <cfRule type="expression" priority="655" dxfId="4">
      <formula>$B$9="PLN"</formula>
    </cfRule>
  </conditionalFormatting>
  <conditionalFormatting sqref="L14:L27">
    <cfRule type="expression" priority="415" dxfId="116">
      <formula>$C$9&lt;0</formula>
    </cfRule>
    <cfRule type="expression" priority="416" dxfId="115">
      <formula>$C$9&gt;0</formula>
    </cfRule>
  </conditionalFormatting>
  <conditionalFormatting sqref="L31:L44">
    <cfRule type="expression" priority="205" dxfId="115">
      <formula>$C$9&gt;0</formula>
    </cfRule>
    <cfRule type="expression" priority="204" dxfId="116">
      <formula>$C$9&lt;0</formula>
    </cfRule>
  </conditionalFormatting>
  <conditionalFormatting sqref="L48:L61">
    <cfRule type="expression" priority="203" dxfId="115">
      <formula>$C$9&gt;0</formula>
    </cfRule>
    <cfRule type="expression" priority="202" dxfId="116">
      <formula>$C$9&lt;0</formula>
    </cfRule>
  </conditionalFormatting>
  <conditionalFormatting sqref="L65:L78">
    <cfRule type="expression" priority="200" dxfId="116">
      <formula>$C$9&lt;0</formula>
    </cfRule>
    <cfRule type="expression" priority="201" dxfId="115">
      <formula>$C$9&gt;0</formula>
    </cfRule>
  </conditionalFormatting>
  <conditionalFormatting sqref="L82:L95">
    <cfRule type="expression" priority="198" dxfId="116">
      <formula>$C$9&lt;0</formula>
    </cfRule>
    <cfRule type="expression" priority="199" dxfId="115">
      <formula>$C$9&gt;0</formula>
    </cfRule>
  </conditionalFormatting>
  <conditionalFormatting sqref="L99:L112">
    <cfRule type="expression" priority="196" dxfId="116">
      <formula>$C$9&lt;0</formula>
    </cfRule>
    <cfRule type="expression" priority="197" dxfId="115">
      <formula>$C$9&gt;0</formula>
    </cfRule>
  </conditionalFormatting>
  <conditionalFormatting sqref="L116:L129 L167:L180">
    <cfRule type="expression" priority="194" dxfId="116">
      <formula>$C$9&lt;0</formula>
    </cfRule>
    <cfRule type="expression" priority="195" dxfId="115">
      <formula>$C$9&gt;0</formula>
    </cfRule>
  </conditionalFormatting>
  <conditionalFormatting sqref="L133:L146">
    <cfRule type="expression" priority="3" dxfId="116">
      <formula>$C$9&lt;0</formula>
    </cfRule>
    <cfRule type="expression" priority="4" dxfId="115">
      <formula>$C$9&gt;0</formula>
    </cfRule>
  </conditionalFormatting>
  <conditionalFormatting sqref="L150:L163">
    <cfRule type="expression" priority="1" dxfId="116">
      <formula>$C$9&lt;0</formula>
    </cfRule>
    <cfRule type="expression" priority="2" dxfId="115">
      <formula>$C$9&gt;0</formula>
    </cfRule>
  </conditionalFormatting>
  <conditionalFormatting sqref="L183:L197">
    <cfRule type="expression" priority="193" dxfId="115">
      <formula>$C$9&gt;0</formula>
    </cfRule>
    <cfRule type="expression" priority="192" dxfId="116">
      <formula>$C$9&lt;0</formula>
    </cfRule>
  </conditionalFormatting>
  <conditionalFormatting sqref="N9 N12">
    <cfRule type="expression" priority="691" dxfId="4">
      <formula>$B$9="PLN"</formula>
    </cfRule>
    <cfRule type="expression" priority="694" dxfId="2">
      <formula>$B$9="EURO"</formula>
    </cfRule>
    <cfRule type="expression" priority="693" dxfId="3">
      <formula>$B$9="USD"</formula>
    </cfRule>
    <cfRule type="expression" priority="692" dxfId="0">
      <formula>$B$9="CZK"</formula>
    </cfRule>
  </conditionalFormatting>
  <conditionalFormatting sqref="N14:N27">
    <cfRule type="cellIs" priority="630" operator="greaterThan" dxfId="1">
      <formula>0</formula>
    </cfRule>
    <cfRule type="expression" priority="634" dxfId="0">
      <formula>$B$9="CZK"</formula>
    </cfRule>
    <cfRule type="expression" priority="633" dxfId="4">
      <formula>$B$9="PLN"</formula>
    </cfRule>
    <cfRule type="expression" priority="632" dxfId="3">
      <formula>$B$9="USD"</formula>
    </cfRule>
    <cfRule type="expression" priority="631" dxfId="2">
      <formula>$B$9="EURO"</formula>
    </cfRule>
  </conditionalFormatting>
  <conditionalFormatting sqref="N29">
    <cfRule type="expression" priority="610" dxfId="4">
      <formula>$B$9="PLN"</formula>
    </cfRule>
    <cfRule type="expression" priority="611" dxfId="0">
      <formula>$B$9="CZK"</formula>
    </cfRule>
    <cfRule type="expression" priority="612" dxfId="3">
      <formula>$B$9="USD"</formula>
    </cfRule>
    <cfRule type="expression" priority="613" dxfId="2">
      <formula>$B$9="EURO"</formula>
    </cfRule>
  </conditionalFormatting>
  <conditionalFormatting sqref="N31:N44">
    <cfRule type="cellIs" priority="265" operator="greaterThan" dxfId="1">
      <formula>0</formula>
    </cfRule>
    <cfRule type="expression" priority="266" dxfId="2">
      <formula>$B$9="EURO"</formula>
    </cfRule>
    <cfRule type="expression" priority="267" dxfId="3">
      <formula>$B$9="USD"</formula>
    </cfRule>
    <cfRule type="expression" priority="268" dxfId="4">
      <formula>$B$9="PLN"</formula>
    </cfRule>
    <cfRule type="expression" priority="269" dxfId="0">
      <formula>$B$9="CZK"</formula>
    </cfRule>
  </conditionalFormatting>
  <conditionalFormatting sqref="N46">
    <cfRule type="expression" priority="582" dxfId="2">
      <formula>$B$9="EURO"</formula>
    </cfRule>
    <cfRule type="expression" priority="581" dxfId="3">
      <formula>$B$9="USD"</formula>
    </cfRule>
    <cfRule type="expression" priority="580" dxfId="0">
      <formula>$B$9="CZK"</formula>
    </cfRule>
    <cfRule type="expression" priority="579" dxfId="4">
      <formula>$B$9="PLN"</formula>
    </cfRule>
  </conditionalFormatting>
  <conditionalFormatting sqref="N48:N61">
    <cfRule type="cellIs" priority="254" operator="greaterThan" dxfId="1">
      <formula>0</formula>
    </cfRule>
    <cfRule type="expression" priority="256" dxfId="3">
      <formula>$B$9="USD"</formula>
    </cfRule>
    <cfRule type="expression" priority="258" dxfId="0">
      <formula>$B$9="CZK"</formula>
    </cfRule>
    <cfRule type="expression" priority="257" dxfId="4">
      <formula>$B$9="PLN"</formula>
    </cfRule>
    <cfRule type="expression" priority="255" dxfId="2">
      <formula>$B$9="EURO"</formula>
    </cfRule>
  </conditionalFormatting>
  <conditionalFormatting sqref="N63">
    <cfRule type="expression" priority="550" dxfId="4">
      <formula>$B$9="PLN"</formula>
    </cfRule>
    <cfRule type="expression" priority="551" dxfId="0">
      <formula>$B$9="CZK"</formula>
    </cfRule>
    <cfRule type="expression" priority="552" dxfId="3">
      <formula>$B$9="USD"</formula>
    </cfRule>
    <cfRule type="expression" priority="553" dxfId="2">
      <formula>$B$9="EURO"</formula>
    </cfRule>
  </conditionalFormatting>
  <conditionalFormatting sqref="N65:N78">
    <cfRule type="expression" priority="247" dxfId="0">
      <formula>$B$9="CZK"</formula>
    </cfRule>
    <cfRule type="expression" priority="246" dxfId="4">
      <formula>$B$9="PLN"</formula>
    </cfRule>
    <cfRule type="expression" priority="245" dxfId="3">
      <formula>$B$9="USD"</formula>
    </cfRule>
    <cfRule type="expression" priority="244" dxfId="2">
      <formula>$B$9="EURO"</formula>
    </cfRule>
    <cfRule type="cellIs" priority="243" operator="greaterThan" dxfId="1">
      <formula>0</formula>
    </cfRule>
  </conditionalFormatting>
  <conditionalFormatting sqref="N80">
    <cfRule type="expression" priority="520" dxfId="4">
      <formula>$B$9="PLN"</formula>
    </cfRule>
    <cfRule type="expression" priority="523" dxfId="2">
      <formula>$B$9="EURO"</formula>
    </cfRule>
    <cfRule type="expression" priority="522" dxfId="3">
      <formula>$B$9="USD"</formula>
    </cfRule>
    <cfRule type="expression" priority="521" dxfId="0">
      <formula>$B$9="CZK"</formula>
    </cfRule>
  </conditionalFormatting>
  <conditionalFormatting sqref="N82:N95">
    <cfRule type="expression" priority="236" dxfId="0">
      <formula>$B$9="CZK"</formula>
    </cfRule>
    <cfRule type="expression" priority="235" dxfId="4">
      <formula>$B$9="PLN"</formula>
    </cfRule>
    <cfRule type="expression" priority="234" dxfId="3">
      <formula>$B$9="USD"</formula>
    </cfRule>
    <cfRule type="expression" priority="233" dxfId="2">
      <formula>$B$9="EURO"</formula>
    </cfRule>
    <cfRule type="cellIs" priority="232" operator="greaterThan" dxfId="1">
      <formula>0</formula>
    </cfRule>
  </conditionalFormatting>
  <conditionalFormatting sqref="N97">
    <cfRule type="expression" priority="489" dxfId="4">
      <formula>$B$9="PLN"</formula>
    </cfRule>
    <cfRule type="expression" priority="490" dxfId="0">
      <formula>$B$9="CZK"</formula>
    </cfRule>
    <cfRule type="expression" priority="491" dxfId="3">
      <formula>$B$9="USD"</formula>
    </cfRule>
    <cfRule type="expression" priority="492" dxfId="2">
      <formula>$B$9="EURO"</formula>
    </cfRule>
  </conditionalFormatting>
  <conditionalFormatting sqref="N99:N112">
    <cfRule type="expression" priority="223" dxfId="3">
      <formula>$B$9="USD"</formula>
    </cfRule>
    <cfRule type="cellIs" priority="221" operator="greaterThan" dxfId="1">
      <formula>0</formula>
    </cfRule>
    <cfRule type="expression" priority="225" dxfId="0">
      <formula>$B$9="CZK"</formula>
    </cfRule>
    <cfRule type="expression" priority="224" dxfId="4">
      <formula>$B$9="PLN"</formula>
    </cfRule>
    <cfRule type="expression" priority="222" dxfId="2">
      <formula>$B$9="EURO"</formula>
    </cfRule>
  </conditionalFormatting>
  <conditionalFormatting sqref="N114">
    <cfRule type="expression" priority="321" dxfId="4">
      <formula>$B$9="PLN"</formula>
    </cfRule>
    <cfRule type="expression" priority="322" dxfId="0">
      <formula>$B$9="CZK"</formula>
    </cfRule>
    <cfRule type="expression" priority="323" dxfId="3">
      <formula>$B$9="USD"</formula>
    </cfRule>
    <cfRule type="expression" priority="324" dxfId="2">
      <formula>$B$9="EURO"</formula>
    </cfRule>
  </conditionalFormatting>
  <conditionalFormatting sqref="N116:N129 N167:N180">
    <cfRule type="cellIs" priority="210" operator="greaterThan" dxfId="1">
      <formula>0</formula>
    </cfRule>
    <cfRule type="expression" priority="211" dxfId="2">
      <formula>$B$9="EURO"</formula>
    </cfRule>
    <cfRule type="expression" priority="212" dxfId="3">
      <formula>$B$9="USD"</formula>
    </cfRule>
    <cfRule type="expression" priority="213" dxfId="4">
      <formula>$B$9="PLN"</formula>
    </cfRule>
    <cfRule type="expression" priority="214" dxfId="0">
      <formula>$B$9="CZK"</formula>
    </cfRule>
  </conditionalFormatting>
  <conditionalFormatting sqref="N131">
    <cfRule type="expression" priority="184" dxfId="4">
      <formula>$B$9="PLN"</formula>
    </cfRule>
    <cfRule type="expression" priority="187" dxfId="2">
      <formula>$B$9="EURO"</formula>
    </cfRule>
    <cfRule type="expression" priority="186" dxfId="3">
      <formula>$B$9="USD"</formula>
    </cfRule>
    <cfRule type="expression" priority="185" dxfId="0">
      <formula>$B$9="CZK"</formula>
    </cfRule>
  </conditionalFormatting>
  <conditionalFormatting sqref="N133:N146">
    <cfRule type="cellIs" priority="23" operator="greaterThan" dxfId="1">
      <formula>0</formula>
    </cfRule>
    <cfRule type="expression" priority="24" dxfId="2">
      <formula>$B$9="EURO"</formula>
    </cfRule>
    <cfRule type="expression" priority="25" dxfId="3">
      <formula>$B$9="USD"</formula>
    </cfRule>
    <cfRule type="expression" priority="26" dxfId="4">
      <formula>$B$9="PLN"</formula>
    </cfRule>
    <cfRule type="expression" priority="27" dxfId="0">
      <formula>$B$9="CZK"</formula>
    </cfRule>
  </conditionalFormatting>
  <conditionalFormatting sqref="N148">
    <cfRule type="expression" priority="156" dxfId="2">
      <formula>$B$9="EURO"</formula>
    </cfRule>
    <cfRule type="expression" priority="155" dxfId="3">
      <formula>$B$9="USD"</formula>
    </cfRule>
    <cfRule type="expression" priority="154" dxfId="0">
      <formula>$B$9="CZK"</formula>
    </cfRule>
    <cfRule type="expression" priority="153" dxfId="4">
      <formula>$B$9="PLN"</formula>
    </cfRule>
  </conditionalFormatting>
  <conditionalFormatting sqref="N150:N163">
    <cfRule type="cellIs" priority="12" operator="greaterThan" dxfId="1">
      <formula>0</formula>
    </cfRule>
    <cfRule type="expression" priority="13" dxfId="2">
      <formula>$B$9="EURO"</formula>
    </cfRule>
    <cfRule type="expression" priority="14" dxfId="3">
      <formula>$B$9="USD"</formula>
    </cfRule>
    <cfRule type="expression" priority="15" dxfId="4">
      <formula>$B$9="PLN"</formula>
    </cfRule>
    <cfRule type="expression" priority="16" dxfId="0">
      <formula>$B$9="CZK"</formula>
    </cfRule>
  </conditionalFormatting>
  <conditionalFormatting sqref="N165">
    <cfRule type="expression" priority="79" dxfId="3">
      <formula>$B$9="USD"</formula>
    </cfRule>
    <cfRule type="expression" priority="80" dxfId="2">
      <formula>$B$9="EURO"</formula>
    </cfRule>
    <cfRule type="expression" priority="77" dxfId="4">
      <formula>$B$9="PLN"</formula>
    </cfRule>
    <cfRule type="expression" priority="78" dxfId="0">
      <formula>$B$9="CZK"</formula>
    </cfRule>
  </conditionalFormatting>
  <conditionalFormatting sqref="N183:N197">
    <cfRule type="cellIs" priority="638" operator="greaterThan" dxfId="1">
      <formula>0</formula>
    </cfRule>
    <cfRule type="expression" priority="639" dxfId="2">
      <formula>$B$9="EURO"</formula>
    </cfRule>
    <cfRule type="expression" priority="640" dxfId="3">
      <formula>$B$9="USD"</formula>
    </cfRule>
    <cfRule type="expression" priority="642" dxfId="0">
      <formula>$B$9="CZK"</formula>
    </cfRule>
    <cfRule type="expression" priority="641" dxfId="4">
      <formula>$B$9="PLN"</formula>
    </cfRule>
  </conditionalFormatting>
  <conditionalFormatting sqref="N182:O182">
    <cfRule type="expression" priority="648" dxfId="3">
      <formula>$B$9="USD"</formula>
    </cfRule>
    <cfRule type="expression" priority="649" dxfId="2">
      <formula>$B$9="EURO"</formula>
    </cfRule>
    <cfRule type="expression" priority="647" dxfId="0">
      <formula>$B$9="CZK"</formula>
    </cfRule>
    <cfRule type="expression" priority="646" dxfId="4">
      <formula>$B$9="PLN"</formula>
    </cfRule>
  </conditionalFormatting>
  <conditionalFormatting sqref="O14:O27">
    <cfRule type="cellIs" priority="635" operator="greaterThan" dxfId="5">
      <formula>0</formula>
    </cfRule>
  </conditionalFormatting>
  <conditionalFormatting sqref="O31:O44">
    <cfRule type="cellIs" priority="270" operator="greaterThan" dxfId="5">
      <formula>0</formula>
    </cfRule>
  </conditionalFormatting>
  <conditionalFormatting sqref="O48:O61">
    <cfRule type="cellIs" priority="259" operator="greaterThan" dxfId="5">
      <formula>0</formula>
    </cfRule>
  </conditionalFormatting>
  <conditionalFormatting sqref="O65:O78">
    <cfRule type="cellIs" priority="248" operator="greaterThan" dxfId="5">
      <formula>0</formula>
    </cfRule>
  </conditionalFormatting>
  <conditionalFormatting sqref="O82:O95">
    <cfRule type="cellIs" priority="237" operator="greaterThan" dxfId="5">
      <formula>0</formula>
    </cfRule>
  </conditionalFormatting>
  <conditionalFormatting sqref="O99:O112">
    <cfRule type="cellIs" priority="226" operator="greaterThan" dxfId="5">
      <formula>0</formula>
    </cfRule>
  </conditionalFormatting>
  <conditionalFormatting sqref="O116:O129 O167:O180">
    <cfRule type="cellIs" priority="215" operator="greaterThan" dxfId="5">
      <formula>0</formula>
    </cfRule>
  </conditionalFormatting>
  <conditionalFormatting sqref="O133:O146">
    <cfRule type="cellIs" priority="28" operator="greaterThan" dxfId="5">
      <formula>0</formula>
    </cfRule>
  </conditionalFormatting>
  <conditionalFormatting sqref="O150:O163">
    <cfRule type="cellIs" priority="17" operator="greaterThan" dxfId="5">
      <formula>0</formula>
    </cfRule>
  </conditionalFormatting>
  <conditionalFormatting sqref="O183:O197">
    <cfRule type="cellIs" priority="660" operator="greaterThan" dxfId="5">
      <formula>0</formula>
    </cfRule>
  </conditionalFormatting>
  <conditionalFormatting sqref="Q16">
    <cfRule type="expression" priority="409" dxfId="0">
      <formula>$B$9="CZK"</formula>
    </cfRule>
    <cfRule type="expression" priority="408" dxfId="4">
      <formula>$B$9="PLN"</formula>
    </cfRule>
    <cfRule type="expression" priority="407" dxfId="3">
      <formula>$B$9="USD"</formula>
    </cfRule>
    <cfRule type="expression" priority="406" dxfId="2">
      <formula>$B$9="EURO"</formula>
    </cfRule>
    <cfRule type="cellIs" priority="405" operator="greaterThan" dxfId="1">
      <formula>0</formula>
    </cfRule>
  </conditionalFormatting>
  <dataValidations count="7">
    <dataValidation sqref="D26 D43 D60 D77 D94 D111 D128 D145 D162 D179" showDropDown="0" showInputMessage="1" showErrorMessage="1" allowBlank="1" type="list">
      <formula1>"0,1,2,3,4,5,6,7,8,9,10"</formula1>
    </dataValidation>
    <dataValidation sqref="G181" showDropDown="0" showInputMessage="1" showErrorMessage="1" allowBlank="1" type="list">
      <formula1>#REF!</formula1>
    </dataValidation>
    <dataValidation sqref="C14 C31 C48 C65 C82 C99 C116 C133 C150 C167" showDropDown="0" showInputMessage="1" showErrorMessage="1" allowBlank="1" type="list">
      <formula1>"WALL, ISLAND"</formula1>
    </dataValidation>
    <dataValidation sqref="E14 E31 E48 E65 E82 E99 E116 E133 E150 E167" showDropDown="0" showInputMessage="1" showErrorMessage="1" allowBlank="1" operator="greaterThan"/>
    <dataValidation sqref="C20:C21 C37:C38 C54:C55 C71:C72 C88:C89 C105:C106 C122:C123 C139:C140 C156:C157 C173:C174 I16 I33 I50 I67 I84 I101 I118 I135 I152 I169" showDropDown="0" showInputMessage="1" showErrorMessage="1" allowBlank="1" type="list">
      <formula1>"0,1,2,3,4,5,6,7,8,9,10,11,12,13,14,15,16,17,18,19,20"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7 C44 C61 C78 C95 C112 C129 C146 C163 C180" showDropDown="0" showInputMessage="1" showErrorMessage="1" allowBlank="1" type="list">
      <formula1>"0,0.5,1,1.5,2,2.5,3,3.5,4,4.5,5"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2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 codeName="Sheet40">
    <tabColor theme="8" tint="0.7999816888943144"/>
    <outlinePr summaryBelow="1" summaryRight="1"/>
    <pageSetUpPr fitToPage="1"/>
  </sheetPr>
  <dimension ref="A1:Z310"/>
  <sheetViews>
    <sheetView showGridLines="0" zoomScale="80" zoomScaleNormal="80" zoomScaleSheetLayoutView="50" workbookViewId="0">
      <selection activeCell="G21" sqref="G21"/>
    </sheetView>
  </sheetViews>
  <sheetFormatPr baseColWidth="10" defaultColWidth="8.83203125" defaultRowHeight="15" customHeight="1" outlineLevelRow="1"/>
  <cols>
    <col width="2" customWidth="1" style="666" min="1" max="1"/>
    <col width="32.33203125" customWidth="1" style="1095" min="2" max="2"/>
    <col width="25.83203125" bestFit="1" customWidth="1" style="1095" min="3" max="3"/>
    <col width="27.1640625" customWidth="1" style="1095" min="4" max="4"/>
    <col width="24.83203125" customWidth="1" style="1095" min="5" max="5"/>
    <col width="18.83203125" customWidth="1" style="1095" min="6" max="6"/>
    <col width="20.33203125" customWidth="1" style="1095" min="7" max="7"/>
    <col width="9.33203125" bestFit="1" customWidth="1" style="1096" min="8" max="8"/>
    <col width="11.83203125" customWidth="1" style="1096" min="9" max="9"/>
    <col width="14.83203125" bestFit="1" customWidth="1" style="1097" min="10" max="10"/>
    <col width="17.5" customWidth="1" style="1098" min="11" max="11"/>
    <col width="7.6640625" bestFit="1" customWidth="1" style="1098" min="12" max="12"/>
    <col hidden="1" width="15.5" customWidth="1" style="1099" min="13" max="13"/>
    <col width="13.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8"/>
    <col width="8.83203125" customWidth="1" style="1095" min="99" max="16384"/>
  </cols>
  <sheetData>
    <row r="1" ht="15" customHeight="1" s="1085">
      <c r="B1" s="1116" t="inlineStr">
        <is>
          <t>Main Kitchen - First Floor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 t="inlineStr">
        <is>
          <t>3232</t>
        </is>
      </c>
      <c r="F3" s="690" t="inlineStr">
        <is>
          <t>Project Name</t>
        </is>
      </c>
      <c r="G3" s="1071" t="inlineStr">
        <is>
          <t>Cardiff Arena</t>
        </is>
      </c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 t="inlineStr">
        <is>
          <t>Yazan Hunjul (Halton)</t>
        </is>
      </c>
      <c r="F5" s="690" t="inlineStr">
        <is>
          <t>Location</t>
        </is>
      </c>
      <c r="G5" s="1071" t="inlineStr">
        <is>
          <t>London</t>
        </is>
      </c>
      <c r="M5" s="684" t="n"/>
      <c r="N5" s="685" t="n"/>
      <c r="P5" s="694" t="n"/>
      <c r="R5" s="687" t="n"/>
      <c r="S5" s="688" t="n"/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 t="inlineStr">
        <is>
          <t>KN/CD</t>
        </is>
      </c>
      <c r="F7" s="690" t="inlineStr">
        <is>
          <t>Date</t>
        </is>
      </c>
      <c r="G7" s="1075" t="inlineStr">
        <is>
          <t>02/04/2025</t>
        </is>
      </c>
      <c r="N7" s="699" t="inlineStr">
        <is>
          <t>Revision No</t>
        </is>
      </c>
      <c r="O7" s="1141" t="inlineStr">
        <is>
          <t>A</t>
        </is>
      </c>
      <c r="P7" s="694" t="n"/>
      <c r="R7" s="687" t="n"/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P8" s="694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52" t="n">
        <v>0</v>
      </c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9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>123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95" t="n"/>
      <c r="Q12" s="1095" t="n"/>
      <c r="R12" s="1095" t="n"/>
      <c r="S12" s="713" t="n"/>
      <c r="T12" s="1095" t="n"/>
      <c r="X12" s="1095" t="n"/>
      <c r="Y12" s="1095" t="n"/>
      <c r="Z12" s="1095" t="n"/>
    </row>
    <row r="13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CANOPY TYPE</t>
        </is>
      </c>
      <c r="E14" s="734" t="n"/>
      <c r="F14" s="734" t="n"/>
      <c r="G14" s="734" t="n"/>
      <c r="H14" s="735" t="n"/>
      <c r="I14" s="734" t="n"/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LIGHT SELECTION</t>
        </is>
      </c>
      <c r="D15" s="741" t="n"/>
      <c r="E15" s="848" t="n"/>
      <c r="F15" s="743" t="n"/>
      <c r="G15" s="744" t="n"/>
      <c r="H15" s="668" t="n"/>
      <c r="I15" s="668" t="n"/>
      <c r="J15" s="736">
        <f>IF(ISNA(C12),0,IF(D15=0,0,IF(C15="FLO",VLOOKUP(E15,'Base Costs'!$M$4:$N$12,2,FALSE),IF(C15="LED STRIP",VLOOKUP(E15,'Base Costs'!$M$4:$N$12,2,FALSE),(VLOOKUP(C15,'Base Costs'!$M$4:$N$12,2,FALSE))))))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outlineLevel="1" ht="15" customHeight="1" s="1085">
      <c r="A16" s="666" t="n">
        <v>234</v>
      </c>
      <c r="B16" s="269" t="inlineStr">
        <is>
          <t xml:space="preserve">FIRE SUPPRESSION </t>
        </is>
      </c>
      <c r="C16" s="953" t="inlineStr">
        <is>
          <t>FIRE SUPPRESSION</t>
        </is>
      </c>
      <c r="D16" s="746" t="n"/>
      <c r="E16" s="1103" t="n"/>
      <c r="F16" s="748" t="n"/>
      <c r="G16" s="749" t="n"/>
      <c r="H16" s="750" t="n"/>
      <c r="I16" s="751" t="n">
        <v>1</v>
      </c>
      <c r="J16" s="736">
        <f>VLOOKUP(C16,'Base Costs'!$U$4:$V$41,2,FALSE)</f>
        <v/>
      </c>
      <c r="K16" s="737">
        <f>J16*1</f>
        <v/>
      </c>
      <c r="L16" s="738" t="n">
        <v>0.25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outlineLevel="1" ht="15" customHeight="1" s="1085">
      <c r="B17" s="269" t="inlineStr">
        <is>
          <t>TANK INSTALL</t>
        </is>
      </c>
      <c r="C17" s="953" t="inlineStr">
        <is>
          <t>TANK INSTALL</t>
        </is>
      </c>
      <c r="D17" s="966" t="n">
        <v>1</v>
      </c>
      <c r="E17" s="753" t="n"/>
      <c r="F17" s="754" t="n"/>
      <c r="G17" s="749" t="n"/>
      <c r="H17" s="750" t="n"/>
      <c r="I17" s="755" t="n"/>
      <c r="J17" s="736">
        <f>VLOOKUP(C17,'Base Costs'!$U$44:$V$56,2,FALSE)</f>
        <v/>
      </c>
      <c r="K17" s="737">
        <f>J17*D17</f>
        <v/>
      </c>
      <c r="L17" s="738" t="n">
        <v>0.35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outlineLevel="1" ht="15" customHeight="1" s="1085">
      <c r="B18" s="269" t="inlineStr">
        <is>
          <t>SPECIAL WORKS</t>
        </is>
      </c>
      <c r="C18" s="752" t="inlineStr">
        <is>
          <t>SELECT WORKS</t>
        </is>
      </c>
      <c r="D18" s="735" t="n"/>
      <c r="E18" s="753">
        <f>IF(C18="","",VLOOKUP(C18,CCBASE!$A$53:$D$73,4,FALSE))</f>
        <v/>
      </c>
      <c r="F18" s="754" t="n"/>
      <c r="G18" s="749" t="n"/>
      <c r="H18" s="750" t="n"/>
      <c r="I18" s="755" t="n"/>
      <c r="J18" s="736">
        <f>IF(C18="",0,VLOOKUP(C18,CCBASE!$A$53:$C$73,2,FALSE))</f>
        <v/>
      </c>
      <c r="K18" s="737">
        <f>J18*D18</f>
        <v/>
      </c>
      <c r="L18" s="738" t="n">
        <v>0.44</v>
      </c>
      <c r="M18" s="739">
        <f>K18/(1-L18)*(1+$C$9)</f>
        <v/>
      </c>
      <c r="N18" s="737">
        <f>M18*VLOOKUP($B$9,'Base Costs'!$A$32:$B$37,2,FALSE)</f>
        <v/>
      </c>
      <c r="O18" s="740">
        <f>M18-K18</f>
        <v/>
      </c>
      <c r="S18" s="694" t="n"/>
      <c r="Y18" s="1095" t="n"/>
    </row>
    <row r="19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SELECT CLADDING</t>
        </is>
      </c>
      <c r="D19" s="756">
        <f>ROUNDUP($F14/1000,0)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S19" s="694" t="n"/>
      <c r="Y19" s="1095" t="n"/>
    </row>
    <row r="20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S22" s="694" t="n"/>
      <c r="Y22" s="1095" t="n"/>
    </row>
    <row r="23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 t="n"/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>133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95" t="n"/>
      <c r="Q29" s="1095" t="n"/>
      <c r="R29" s="1095" t="n"/>
      <c r="S29" s="713" t="n"/>
      <c r="T29" s="1095" t="n"/>
      <c r="X29" s="1095" t="n"/>
      <c r="Y29" s="1095" t="n"/>
      <c r="Z29" s="1095" t="n"/>
    </row>
    <row r="30" hidden="1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hidden="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hidden="1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hidden="1" outlineLevel="1" ht="15" customHeight="1" s="1085">
      <c r="A33" s="666" t="n">
        <v>234</v>
      </c>
      <c r="B33" s="269" t="inlineStr">
        <is>
          <t>FIRE SUPPRESSION</t>
        </is>
      </c>
      <c r="C33" s="953" t="inlineStr">
        <is>
          <t>FIRE SUPPRESSION</t>
        </is>
      </c>
      <c r="D33" s="746" t="n"/>
      <c r="E33" s="747" t="n"/>
      <c r="F33" s="748" t="n"/>
      <c r="G33" s="749" t="n"/>
      <c r="H33" s="750" t="n"/>
      <c r="I33" s="751" t="n">
        <v>1</v>
      </c>
      <c r="J33" s="736">
        <f>VLOOKUP(C33,'Base Costs'!$U$4:$V$41,2,FALSE)</f>
        <v/>
      </c>
      <c r="K33" s="737">
        <f>J33*1</f>
        <v/>
      </c>
      <c r="L33" s="738" t="n">
        <v>0.25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hidden="1" outlineLevel="1" ht="15" customHeight="1" s="1085">
      <c r="B34" s="269" t="inlineStr">
        <is>
          <t>TANK INSTALL</t>
        </is>
      </c>
      <c r="C34" s="953" t="inlineStr">
        <is>
          <t>TANK INSTALL</t>
        </is>
      </c>
      <c r="D34" s="966" t="n">
        <v>1</v>
      </c>
      <c r="E34" s="753" t="n"/>
      <c r="F34" s="754" t="n"/>
      <c r="G34" s="749" t="n"/>
      <c r="H34" s="750" t="n"/>
      <c r="I34" s="755" t="n"/>
      <c r="J34" s="736">
        <f>VLOOKUP(C34,'Base Costs'!$U$44:$V$56,2,FALSE)</f>
        <v/>
      </c>
      <c r="K34" s="737">
        <f>J34*D34</f>
        <v/>
      </c>
      <c r="L34" s="738" t="n">
        <v>0.35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hidden="1" outlineLevel="1" ht="15" customHeight="1" s="1085">
      <c r="B35" s="269" t="inlineStr">
        <is>
          <t>SPECIAL WORKS</t>
        </is>
      </c>
      <c r="C35" s="752" t="inlineStr">
        <is>
          <t>SELECT WORKS</t>
        </is>
      </c>
      <c r="D35" s="735" t="n"/>
      <c r="E35" s="1109" t="n"/>
      <c r="G35" s="749" t="n"/>
      <c r="H35" s="750" t="n"/>
      <c r="I35" s="755" t="n"/>
      <c r="J35" s="736">
        <f>IF(C35="",0,VLOOKUP(C35,CCBASE!$A$53:$C$73,2,FALSE))</f>
        <v/>
      </c>
      <c r="K35" s="737">
        <f>J35*D35</f>
        <v/>
      </c>
      <c r="L35" s="738" t="n">
        <v>0.44</v>
      </c>
      <c r="M35" s="739">
        <f>K35/(1-L35)*(1+$C$9)</f>
        <v/>
      </c>
      <c r="N35" s="737">
        <f>M35*VLOOKUP($B$9,'Base Costs'!$A$32:$B$37,2,FALSE)</f>
        <v/>
      </c>
      <c r="O35" s="740">
        <f>M35-K35</f>
        <v/>
      </c>
      <c r="S35" s="694" t="n"/>
      <c r="Y35" s="1095" t="n"/>
    </row>
    <row r="36" hidden="1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SELECT CLADDING</t>
        </is>
      </c>
      <c r="D36" s="756">
        <f>ROUNDUP($F31/1000,0)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Y36" s="1095" t="n"/>
    </row>
    <row r="37" hidden="1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hidden="1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hidden="1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S39" s="694" t="n"/>
      <c r="Y39" s="1095" t="n"/>
    </row>
    <row r="40" hidden="1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 t="n"/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hidden="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hidden="1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hidden="1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hidden="1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collapsed="1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95" t="n"/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269" t="inlineStr">
        <is>
          <t xml:space="preserve">FIRE SUPPRESSION </t>
        </is>
      </c>
      <c r="C50" s="953" t="inlineStr">
        <is>
          <t>FIRE SUPPRESSION</t>
        </is>
      </c>
      <c r="D50" s="746" t="n"/>
      <c r="E50" s="747" t="n"/>
      <c r="F50" s="748" t="n"/>
      <c r="G50" s="749" t="n"/>
      <c r="H50" s="750" t="n"/>
      <c r="I50" s="751" t="n">
        <v>1</v>
      </c>
      <c r="J50" s="736">
        <f>VLOOKUP(C50,'Base Costs'!$U$4:$V$41,2,FALSE)</f>
        <v/>
      </c>
      <c r="K50" s="737">
        <f>J50*1</f>
        <v/>
      </c>
      <c r="L50" s="738" t="n">
        <v>0.25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269" t="inlineStr">
        <is>
          <t>TANK INSTALL</t>
        </is>
      </c>
      <c r="C51" s="953" t="inlineStr">
        <is>
          <t>TANK INSTALL</t>
        </is>
      </c>
      <c r="D51" s="966" t="n">
        <v>1</v>
      </c>
      <c r="E51" s="753" t="n"/>
      <c r="F51" s="754" t="n"/>
      <c r="G51" s="749" t="n"/>
      <c r="H51" s="750" t="n"/>
      <c r="I51" s="755" t="n"/>
      <c r="J51" s="736">
        <f>VLOOKUP(C51,'Base Costs'!$U$44:$V$56,2,FALSE)</f>
        <v/>
      </c>
      <c r="K51" s="737">
        <f>J51*D51</f>
        <v/>
      </c>
      <c r="L51" s="738" t="n">
        <v>0.35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269" t="inlineStr">
        <is>
          <t>SPECIAL WORKS</t>
        </is>
      </c>
      <c r="C52" s="752" t="inlineStr">
        <is>
          <t>SELECT WORKS</t>
        </is>
      </c>
      <c r="D52" s="735" t="n"/>
      <c r="E52" s="753">
        <f>IF(C52="","",VLOOKUP(C52,CCBASE!$A$53:$D$73,4,FALSE))</f>
        <v/>
      </c>
      <c r="F52" s="754" t="n"/>
      <c r="G52" s="749" t="n"/>
      <c r="H52" s="750" t="n"/>
      <c r="I52" s="755" t="n"/>
      <c r="J52" s="736">
        <f>IF(C52="",0,VLOOKUP(C52,CCBASE!$A$53:$C$73,2,FALSE))</f>
        <v/>
      </c>
      <c r="K52" s="737">
        <f>J52*D52</f>
        <v/>
      </c>
      <c r="L52" s="738" t="n">
        <v>0.44</v>
      </c>
      <c r="M52" s="739">
        <f>K52/(1-L52)*(1+$C$9)</f>
        <v/>
      </c>
      <c r="N52" s="737">
        <f>M52*VLOOKUP($B$9,'Base Costs'!$A$32:$B$37,2,FALSE)</f>
        <v/>
      </c>
      <c r="O52" s="740">
        <f>M52-K52</f>
        <v/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SELECT CLADDING</t>
        </is>
      </c>
      <c r="D53" s="756">
        <f>ROUNDUP($F48/1000,0)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 t="n"/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95" t="n"/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269" t="inlineStr">
        <is>
          <t xml:space="preserve">FIRE SUPPRESSION </t>
        </is>
      </c>
      <c r="C67" s="953" t="inlineStr">
        <is>
          <t>FIRE SUPPRESSION</t>
        </is>
      </c>
      <c r="D67" s="746" t="n"/>
      <c r="E67" s="747" t="n"/>
      <c r="F67" s="748" t="n"/>
      <c r="G67" s="749" t="n"/>
      <c r="H67" s="750" t="n"/>
      <c r="I67" s="751" t="n">
        <v>1</v>
      </c>
      <c r="J67" s="736">
        <f>VLOOKUP(C67,'Base Costs'!$U$4:$V$41,2,FALSE)</f>
        <v/>
      </c>
      <c r="K67" s="737">
        <f>J67*1</f>
        <v/>
      </c>
      <c r="L67" s="738" t="n">
        <v>0.25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269" t="inlineStr">
        <is>
          <t>TANK INSTALL</t>
        </is>
      </c>
      <c r="C68" s="953" t="inlineStr">
        <is>
          <t>TANK INSTALL</t>
        </is>
      </c>
      <c r="D68" s="966" t="n">
        <v>1</v>
      </c>
      <c r="E68" s="753" t="n"/>
      <c r="F68" s="754" t="n"/>
      <c r="G68" s="749" t="n"/>
      <c r="H68" s="750" t="n"/>
      <c r="I68" s="755" t="n"/>
      <c r="J68" s="736">
        <f>VLOOKUP(C68,'Base Costs'!$U$44:$V$56,2,FALSE)</f>
        <v/>
      </c>
      <c r="K68" s="737">
        <f>J68*D68</f>
        <v/>
      </c>
      <c r="L68" s="738" t="n">
        <v>0.35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269" t="inlineStr">
        <is>
          <t>SPECIAL WORKS</t>
        </is>
      </c>
      <c r="C69" s="752" t="inlineStr">
        <is>
          <t>SELECT WORKS</t>
        </is>
      </c>
      <c r="D69" s="735" t="n"/>
      <c r="E69" s="753">
        <f>IF(C69="","",VLOOKUP(C69,CCBASE!$A$53:$D$73,4,FALSE))</f>
        <v/>
      </c>
      <c r="F69" s="754" t="n"/>
      <c r="G69" s="749" t="n"/>
      <c r="H69" s="750" t="n"/>
      <c r="I69" s="755" t="n"/>
      <c r="J69" s="736">
        <f>IF(C69="",0,VLOOKUP(C69,CCBASE!$A$53:$C$73,2,FALSE))</f>
        <v/>
      </c>
      <c r="K69" s="737">
        <f>J69*D69</f>
        <v/>
      </c>
      <c r="L69" s="738" t="n">
        <v>0.44</v>
      </c>
      <c r="M69" s="739">
        <f>K69/(1-L69)*(1+$C$9)</f>
        <v/>
      </c>
      <c r="N69" s="737">
        <f>M69*VLOOKUP($B$9,'Base Costs'!$A$32:$B$37,2,FALSE)</f>
        <v/>
      </c>
      <c r="O69" s="740">
        <f>M69-K69</f>
        <v/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ROUNDUP($F65/1000,0)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 t="n"/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95" t="n"/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269" t="inlineStr">
        <is>
          <t xml:space="preserve">FIRE SUPPRESSION </t>
        </is>
      </c>
      <c r="C84" s="953" t="inlineStr">
        <is>
          <t>FIRE SUPPRESSION</t>
        </is>
      </c>
      <c r="D84" s="746" t="n"/>
      <c r="E84" s="747" t="n"/>
      <c r="F84" s="748" t="n"/>
      <c r="G84" s="749" t="n"/>
      <c r="H84" s="750" t="n"/>
      <c r="I84" s="751" t="n">
        <v>1</v>
      </c>
      <c r="J84" s="736">
        <f>VLOOKUP(C84,'Base Costs'!$U$4:$V$41,2,FALSE)</f>
        <v/>
      </c>
      <c r="K84" s="737">
        <f>J84*1</f>
        <v/>
      </c>
      <c r="L84" s="738" t="n">
        <v>0.25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TANK INSTALL</t>
        </is>
      </c>
      <c r="C85" s="953" t="inlineStr">
        <is>
          <t>TANK INSTALL</t>
        </is>
      </c>
      <c r="D85" s="966" t="n">
        <v>1</v>
      </c>
      <c r="E85" s="753" t="n"/>
      <c r="F85" s="754" t="n"/>
      <c r="G85" s="749" t="n"/>
      <c r="H85" s="750" t="n"/>
      <c r="I85" s="755" t="n"/>
      <c r="J85" s="736">
        <f>VLOOKUP(C85,'Base Costs'!$U$44:$V$56,2,FALSE)</f>
        <v/>
      </c>
      <c r="K85" s="737">
        <f>J85*D85</f>
        <v/>
      </c>
      <c r="L85" s="738" t="n">
        <v>0.35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269" t="inlineStr">
        <is>
          <t>SPECIAL WORKS</t>
        </is>
      </c>
      <c r="C86" s="752" t="inlineStr">
        <is>
          <t>SELECT WORKS</t>
        </is>
      </c>
      <c r="D86" s="735" t="n"/>
      <c r="E86" s="753">
        <f>IF(C86="","",VLOOKUP(C86,CCBASE!$A$53:$D$73,4,FALSE))</f>
        <v/>
      </c>
      <c r="F86" s="754" t="n"/>
      <c r="G86" s="749" t="n"/>
      <c r="H86" s="750" t="n"/>
      <c r="I86" s="755" t="n"/>
      <c r="J86" s="736">
        <f>IF(C86="",0,VLOOKUP(C86,CCBASE!$A$53:$C$73,2,FALSE))</f>
        <v/>
      </c>
      <c r="K86" s="737">
        <f>J86*D86</f>
        <v/>
      </c>
      <c r="L86" s="738" t="n">
        <v>0.44</v>
      </c>
      <c r="M86" s="739">
        <f>K86/(1-L86)*(1+$C$9)</f>
        <v/>
      </c>
      <c r="N86" s="737">
        <f>M86*VLOOKUP($B$9,'Base Costs'!$A$32:$B$37,2,FALSE)</f>
        <v/>
      </c>
      <c r="O86" s="740">
        <f>M86-K86</f>
        <v/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ROUNDUP($F82/1000,0)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 t="n"/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IF(ISNUMBER(SEARCH("UV",HD4)),49.7,71.75)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95" t="n"/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269" t="inlineStr">
        <is>
          <t>FIRE SUPPRESSION</t>
        </is>
      </c>
      <c r="C101" s="953" t="inlineStr">
        <is>
          <t>FIRE SUPPRESSION</t>
        </is>
      </c>
      <c r="D101" s="746" t="n"/>
      <c r="E101" s="747" t="n"/>
      <c r="F101" s="748" t="n"/>
      <c r="G101" s="749" t="n"/>
      <c r="H101" s="750" t="n"/>
      <c r="I101" s="751" t="n">
        <v>1</v>
      </c>
      <c r="J101" s="736">
        <f>VLOOKUP(C101,'Base Costs'!$U$4:$V$41,2,FALSE)</f>
        <v/>
      </c>
      <c r="K101" s="737">
        <f>J101*1</f>
        <v/>
      </c>
      <c r="L101" s="738" t="n">
        <v>0.25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269" t="inlineStr">
        <is>
          <t>TANK INSTALL</t>
        </is>
      </c>
      <c r="C102" s="953" t="inlineStr">
        <is>
          <t>TANK INSTALL</t>
        </is>
      </c>
      <c r="D102" s="966" t="n">
        <v>1</v>
      </c>
      <c r="E102" s="753" t="n"/>
      <c r="F102" s="754" t="n"/>
      <c r="G102" s="749" t="n"/>
      <c r="H102" s="750" t="n"/>
      <c r="I102" s="755" t="n"/>
      <c r="J102" s="736">
        <f>VLOOKUP(C102,'Base Costs'!$U$44:$V$56,2,FALSE)</f>
        <v/>
      </c>
      <c r="K102" s="737">
        <f>J102*D102</f>
        <v/>
      </c>
      <c r="L102" s="738" t="n">
        <v>0.35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584" t="inlineStr">
        <is>
          <t>SPECIAL WORKS</t>
        </is>
      </c>
      <c r="C103" s="33" t="inlineStr">
        <is>
          <t>SELECT WORKS</t>
        </is>
      </c>
      <c r="D103" s="735" t="n"/>
      <c r="E103" s="753">
        <f>IF(C103="","",VLOOKUP(C103,CCBASE!$A$53:$D$73,4,FALSE))</f>
        <v/>
      </c>
      <c r="F103" s="754" t="n"/>
      <c r="G103" s="749" t="n"/>
      <c r="H103" s="750" t="n"/>
      <c r="I103" s="755" t="n"/>
      <c r="J103" s="736">
        <f>IF(C103="",0,VLOOKUP(C103,CCBASE!$A$53:$C$73,2,FALSE))</f>
        <v/>
      </c>
      <c r="K103" s="737">
        <f>J103*D103</f>
        <v/>
      </c>
      <c r="L103" s="738" t="n">
        <v>0.44</v>
      </c>
      <c r="M103" s="739">
        <f>K103/(1-L103)*(1+$C$9)</f>
        <v/>
      </c>
      <c r="N103" s="737">
        <f>M103*VLOOKUP($B$9,'Base Costs'!$A$32:$B$37,2,FALSE)</f>
        <v/>
      </c>
      <c r="O103" s="740">
        <f>M103-K103</f>
        <v/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ROUNDUP($F99/1000,0)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 t="n"/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IF(ISNUMBER(SEARCH("UV",HD21)),49.7,71.75)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95" t="n"/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269" t="inlineStr">
        <is>
          <t>FIRE SUPPRESSION</t>
        </is>
      </c>
      <c r="C118" s="953" t="inlineStr">
        <is>
          <t>FIRE SUPPRESSION</t>
        </is>
      </c>
      <c r="D118" s="746" t="n"/>
      <c r="E118" s="747" t="n"/>
      <c r="F118" s="748" t="n"/>
      <c r="G118" s="749" t="n"/>
      <c r="H118" s="750" t="n"/>
      <c r="I118" s="751" t="n">
        <v>1</v>
      </c>
      <c r="J118" s="736">
        <f>VLOOKUP(C118,'Base Costs'!$U$4:$V$41,2,FALSE)</f>
        <v/>
      </c>
      <c r="K118" s="737">
        <f>J118*1</f>
        <v/>
      </c>
      <c r="L118" s="738" t="n">
        <v>0.25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269" t="inlineStr">
        <is>
          <t>TANK INSTALL</t>
        </is>
      </c>
      <c r="C119" s="953" t="inlineStr">
        <is>
          <t>TANK INSTALL</t>
        </is>
      </c>
      <c r="D119" s="966" t="n">
        <v>1</v>
      </c>
      <c r="E119" s="753" t="n"/>
      <c r="F119" s="754" t="n"/>
      <c r="G119" s="749" t="n"/>
      <c r="H119" s="750" t="n"/>
      <c r="I119" s="755" t="n"/>
      <c r="J119" s="736">
        <f>VLOOKUP(C119,'Base Costs'!$U$44:$V$56,2,FALSE)</f>
        <v/>
      </c>
      <c r="K119" s="737">
        <f>J119*D119</f>
        <v/>
      </c>
      <c r="L119" s="738" t="n">
        <v>0.35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584" t="inlineStr">
        <is>
          <t>SPECIAL WORKS</t>
        </is>
      </c>
      <c r="C120" s="33" t="inlineStr">
        <is>
          <t>SELECT WORKS</t>
        </is>
      </c>
      <c r="D120" s="735" t="n"/>
      <c r="E120" s="753">
        <f>IF(C120="","",VLOOKUP(C120,CCBASE!$A$53:$D$73,4,FALSE))</f>
        <v/>
      </c>
      <c r="F120" s="754" t="n"/>
      <c r="G120" s="749" t="n"/>
      <c r="H120" s="750" t="n"/>
      <c r="I120" s="755" t="n"/>
      <c r="J120" s="736">
        <f>IF(C120="",0,VLOOKUP(C120,CCBASE!$A$53:$C$73,2,FALSE))</f>
        <v/>
      </c>
      <c r="K120" s="737">
        <f>J120*D120</f>
        <v/>
      </c>
      <c r="L120" s="738" t="n">
        <v>0.44</v>
      </c>
      <c r="M120" s="739">
        <f>K120/(1-L120)*(1+$C$9)</f>
        <v/>
      </c>
      <c r="N120" s="737">
        <f>M120*VLOOKUP($B$9,'Base Costs'!$A$32:$B$37,2,FALSE)</f>
        <v/>
      </c>
      <c r="O120" s="740">
        <f>M120-K120</f>
        <v/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ROUNDUP($F116/1000,0)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 t="n"/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95" t="n"/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850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269" t="inlineStr">
        <is>
          <t xml:space="preserve">FIRE SUPPRESSION </t>
        </is>
      </c>
      <c r="C135" s="953" t="inlineStr">
        <is>
          <t>FIRE SUPPRESSION</t>
        </is>
      </c>
      <c r="D135" s="746" t="n"/>
      <c r="E135" s="747" t="n"/>
      <c r="F135" s="748" t="n"/>
      <c r="G135" s="749" t="n"/>
      <c r="H135" s="750" t="n"/>
      <c r="I135" s="751" t="n">
        <v>1</v>
      </c>
      <c r="J135" s="736">
        <f>VLOOKUP(C135,'Base Costs'!$U$4:$V$41,2,FALSE)</f>
        <v/>
      </c>
      <c r="K135" s="737">
        <f>J135*1</f>
        <v/>
      </c>
      <c r="L135" s="738" t="n">
        <v>0.25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269" t="inlineStr">
        <is>
          <t>TANK INSTALL</t>
        </is>
      </c>
      <c r="C136" s="953" t="inlineStr">
        <is>
          <t>TANK INSTALL</t>
        </is>
      </c>
      <c r="D136" s="966" t="n">
        <v>1</v>
      </c>
      <c r="E136" s="753" t="n"/>
      <c r="F136" s="754" t="n"/>
      <c r="G136" s="749" t="n"/>
      <c r="H136" s="750" t="n"/>
      <c r="I136" s="755" t="n"/>
      <c r="J136" s="736">
        <f>VLOOKUP(C136,'Base Costs'!$U$44:$V$56,2,FALSE)</f>
        <v/>
      </c>
      <c r="K136" s="737">
        <f>J136*D136</f>
        <v/>
      </c>
      <c r="L136" s="738" t="n">
        <v>0.35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269" t="inlineStr">
        <is>
          <t>SPECIAL WORKS</t>
        </is>
      </c>
      <c r="C137" s="752" t="inlineStr">
        <is>
          <t>SELECT WORKS</t>
        </is>
      </c>
      <c r="D137" s="735" t="n"/>
      <c r="E137" s="753">
        <f>IF(C137="","",VLOOKUP(C137,CCBASE!$A$53:$D$73,4,FALSE))</f>
        <v/>
      </c>
      <c r="F137" s="754" t="n"/>
      <c r="G137" s="749" t="n"/>
      <c r="H137" s="750" t="n"/>
      <c r="I137" s="755" t="n"/>
      <c r="J137" s="736">
        <f>IF(C137="",0,VLOOKUP(C137,CCBASE!$A$53:$C$73,2,FALSE))</f>
        <v/>
      </c>
      <c r="K137" s="737">
        <f>J137*D137</f>
        <v/>
      </c>
      <c r="L137" s="738" t="n">
        <v>0.44</v>
      </c>
      <c r="M137" s="739">
        <f>K137/(1-L137)*(1+$C$9)</f>
        <v/>
      </c>
      <c r="N137" s="737">
        <f>M137*VLOOKUP($B$9,'Base Costs'!$A$32:$B$37,2,FALSE)</f>
        <v/>
      </c>
      <c r="O137" s="740">
        <f>M137-K137</f>
        <v/>
      </c>
      <c r="S137" s="694" t="n"/>
      <c r="Y137" s="1095" t="n"/>
    </row>
    <row r="138" hidden="1" outlineLevel="1" ht="15" customHeight="1" s="1085">
      <c r="A138" s="666" t="n">
        <v>289</v>
      </c>
      <c r="B138" s="731" t="inlineStr">
        <is>
          <t>WALL CLADDING</t>
        </is>
      </c>
      <c r="C138" s="752" t="inlineStr">
        <is>
          <t>SELECT CLADDING</t>
        </is>
      </c>
      <c r="D138" s="756">
        <f>ROUNDUP($F133/1000,0)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731" t="inlineStr">
        <is>
          <t>INFILL PANEL</t>
        </is>
      </c>
      <c r="C139" s="752" t="n"/>
      <c r="D139" s="742" t="inlineStr">
        <is>
          <t>m²</t>
        </is>
      </c>
      <c r="E139" s="749" t="inlineStr">
        <is>
          <t xml:space="preserve">Up to 500mm high only. </t>
        </is>
      </c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 t="n"/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IF(ISNUMBER(SEARCH("UV",HD55)),49.7,71.75)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95" t="n"/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269" t="inlineStr">
        <is>
          <t>FIRE SUPPRESSION</t>
        </is>
      </c>
      <c r="C152" s="953" t="inlineStr">
        <is>
          <t>FIRE SUPPRESSION</t>
        </is>
      </c>
      <c r="D152" s="746" t="n"/>
      <c r="E152" s="747" t="n"/>
      <c r="F152" s="748" t="n"/>
      <c r="G152" s="749" t="n"/>
      <c r="H152" s="750" t="n"/>
      <c r="I152" s="751" t="n">
        <v>1</v>
      </c>
      <c r="J152" s="736">
        <f>VLOOKUP(C152,'Base Costs'!$U$4:$V$41,2,FALSE)</f>
        <v/>
      </c>
      <c r="K152" s="737">
        <f>J152*1</f>
        <v/>
      </c>
      <c r="L152" s="738" t="n">
        <v>0.25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269" t="inlineStr">
        <is>
          <t>TANK INSTALL</t>
        </is>
      </c>
      <c r="C153" s="953" t="inlineStr">
        <is>
          <t>TANK INSTALL</t>
        </is>
      </c>
      <c r="D153" s="966" t="n">
        <v>1</v>
      </c>
      <c r="E153" s="753" t="n"/>
      <c r="F153" s="754" t="n"/>
      <c r="G153" s="749" t="n"/>
      <c r="H153" s="750" t="n"/>
      <c r="I153" s="755" t="n"/>
      <c r="J153" s="736">
        <f>VLOOKUP(C153,'Base Costs'!$U$44:$V$56,2,FALSE)</f>
        <v/>
      </c>
      <c r="K153" s="737">
        <f>J153*D153</f>
        <v/>
      </c>
      <c r="L153" s="738" t="n">
        <v>0.35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584" t="inlineStr">
        <is>
          <t>SPECIAL WORKS</t>
        </is>
      </c>
      <c r="C154" s="33" t="inlineStr">
        <is>
          <t>SELECT WORKS</t>
        </is>
      </c>
      <c r="D154" s="735" t="n"/>
      <c r="E154" s="753">
        <f>IF(C154="","",VLOOKUP(C154,CCBASE!$A$53:$D$73,4,FALSE))</f>
        <v/>
      </c>
      <c r="F154" s="754" t="n"/>
      <c r="G154" s="749" t="n"/>
      <c r="H154" s="750" t="n"/>
      <c r="I154" s="755" t="n"/>
      <c r="J154" s="736">
        <f>IF(C154="",0,VLOOKUP(C154,CCBASE!$A$53:$C$73,2,FALSE))</f>
        <v/>
      </c>
      <c r="K154" s="737">
        <f>J154*D154</f>
        <v/>
      </c>
      <c r="L154" s="738" t="n">
        <v>0.44</v>
      </c>
      <c r="M154" s="739">
        <f>K154/(1-L154)*(1+$C$9)</f>
        <v/>
      </c>
      <c r="N154" s="737">
        <f>M154*VLOOKUP($B$9,'Base Costs'!$A$32:$B$37,2,FALSE)</f>
        <v/>
      </c>
      <c r="O154" s="740">
        <f>M154-K154</f>
        <v/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ROUNDUP($F150/1000,0)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 t="n"/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IF(ISNUMBER(SEARCH("UV",HD72)),49.7,71.75)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95" t="n"/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269" t="inlineStr">
        <is>
          <t>FIRE SUPPRESSION</t>
        </is>
      </c>
      <c r="C169" s="953" t="inlineStr">
        <is>
          <t>FIRE SUPPRESSION</t>
        </is>
      </c>
      <c r="D169" s="746" t="n"/>
      <c r="E169" s="747" t="n"/>
      <c r="F169" s="748" t="n"/>
      <c r="G169" s="749" t="n"/>
      <c r="H169" s="750" t="n"/>
      <c r="I169" s="751" t="n">
        <v>1</v>
      </c>
      <c r="J169" s="736">
        <f>VLOOKUP(C169,'Base Costs'!$U$4:$V$41,2,FALSE)</f>
        <v/>
      </c>
      <c r="K169" s="737">
        <f>J169*1</f>
        <v/>
      </c>
      <c r="L169" s="738" t="n">
        <v>0.25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269" t="inlineStr">
        <is>
          <t>TANK INSTALL</t>
        </is>
      </c>
      <c r="C170" s="953" t="inlineStr">
        <is>
          <t>TANK INSTALL</t>
        </is>
      </c>
      <c r="D170" s="966" t="n">
        <v>1</v>
      </c>
      <c r="E170" s="753" t="n"/>
      <c r="F170" s="754" t="n"/>
      <c r="G170" s="749" t="n"/>
      <c r="H170" s="750" t="n"/>
      <c r="I170" s="755" t="n"/>
      <c r="J170" s="736">
        <f>VLOOKUP(C170,'Base Costs'!$U$44:$V$56,2,FALSE)</f>
        <v/>
      </c>
      <c r="K170" s="737">
        <f>J170*D170</f>
        <v/>
      </c>
      <c r="L170" s="738" t="n">
        <v>0.35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584" t="inlineStr">
        <is>
          <t>SPECIAL WORKS</t>
        </is>
      </c>
      <c r="C171" s="33" t="inlineStr">
        <is>
          <t>SELECT WORKS</t>
        </is>
      </c>
      <c r="D171" s="735" t="n"/>
      <c r="E171" s="753">
        <f>IF(C171="","",VLOOKUP(C171,CCBASE!$A$53:$D$73,4,FALSE))</f>
        <v/>
      </c>
      <c r="F171" s="754" t="n"/>
      <c r="G171" s="749" t="n"/>
      <c r="H171" s="750" t="n"/>
      <c r="I171" s="755" t="n"/>
      <c r="J171" s="736">
        <f>IF(C171="",0,VLOOKUP(C171,CCBASE!$A$53:$C$73,2,FALSE))</f>
        <v/>
      </c>
      <c r="K171" s="737">
        <f>J171*D171</f>
        <v/>
      </c>
      <c r="L171" s="738" t="n">
        <v>0.44</v>
      </c>
      <c r="M171" s="739">
        <f>K171/(1-L171)*(1+$C$9)</f>
        <v/>
      </c>
      <c r="N171" s="737">
        <f>M171*VLOOKUP($B$9,'Base Costs'!$A$32:$B$37,2,FALSE)</f>
        <v/>
      </c>
      <c r="O171" s="740">
        <f>M171-K171</f>
        <v/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ROUNDUP($F167/1000,0)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 t="n"/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10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S182" s="694" t="n"/>
    </row>
    <row r="183" ht="15" customHeight="1" s="1085">
      <c r="A183" s="666" t="n">
        <v>222</v>
      </c>
      <c r="B183" s="270" t="inlineStr">
        <is>
          <t>DELIVERY 1 x 7.5T TAIL LIFT 3200KGS</t>
        </is>
      </c>
      <c r="C183" s="774" t="n"/>
      <c r="D183" s="775" t="inlineStr">
        <is>
          <t>SELECT LOCATION…</t>
        </is>
      </c>
      <c r="E183" s="1109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/>
      <c r="D184" s="775" t="inlineStr">
        <is>
          <t>PLANT SELECTION (weekly)</t>
        </is>
      </c>
      <c r="E184" s="1126" t="inlineStr">
        <is>
          <t>OR 2.5% OF TOTAL CONTRACT VALUE</t>
        </is>
      </c>
      <c r="G184" s="748" t="n"/>
      <c r="H184" s="748" t="n"/>
      <c r="I184" s="748" t="n"/>
      <c r="J184" s="776">
        <f>VLOOKUP(D184,'Base Costs'!$A$4:$B$16,2,FALSE)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955" t="inlineStr">
        <is>
          <t xml:space="preserve">PLANT HIRE </t>
        </is>
      </c>
      <c r="C185" s="961" t="n">
        <v>1</v>
      </c>
      <c r="D185" s="954" t="inlineStr">
        <is>
          <t>PECO LIFT</t>
        </is>
      </c>
      <c r="E185" s="1123" t="inlineStr">
        <is>
          <t>OR 2.5% OF TOTAL CONTRACT VALUE</t>
        </is>
      </c>
      <c r="G185" s="748" t="n"/>
      <c r="H185" s="748" t="n"/>
      <c r="I185" s="748" t="n"/>
      <c r="J185" s="776">
        <f>VLOOKUP(D185,'Base Costs'!$A$4:$B$16,2,FALSE)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P185" s="1070" t="inlineStr">
        <is>
          <t>ALWAYS INCLUDE</t>
        </is>
      </c>
      <c r="S185" s="694" t="n"/>
    </row>
    <row r="186" ht="15" customHeight="1" s="1085">
      <c r="A186" s="666" t="n">
        <v>222</v>
      </c>
      <c r="B186" s="945" t="inlineStr">
        <is>
          <t>ANSUL DELIVERY</t>
        </is>
      </c>
      <c r="C186" s="962" t="n">
        <v>0.5</v>
      </c>
      <c r="D186" s="954" t="inlineStr">
        <is>
          <t>SELECT LOCATION…</t>
        </is>
      </c>
      <c r="E186" s="1125" t="inlineStr">
        <is>
          <t>0.5 Per Area/System</t>
        </is>
      </c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P186" s="1070" t="inlineStr">
        <is>
          <t>ALWAYS INCLUDE</t>
        </is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550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 t="n"/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955" t="inlineStr">
        <is>
          <t xml:space="preserve">INDUCTION </t>
        </is>
      </c>
      <c r="C189" s="777" t="n">
        <v>1</v>
      </c>
      <c r="D189" s="1122" t="inlineStr">
        <is>
          <t>PER PROJECT</t>
        </is>
      </c>
      <c r="G189" s="30" t="n"/>
      <c r="H189" s="30" t="n"/>
      <c r="I189" s="30" t="n"/>
      <c r="J189" s="776" t="n">
        <v>350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P189" s="1070" t="inlineStr">
        <is>
          <t>ALWAYS INCLUDE</t>
        </is>
      </c>
      <c r="S189" s="694" t="n"/>
    </row>
    <row r="190" ht="15" customHeight="1" s="1085">
      <c r="A190" s="666" t="n">
        <v>400</v>
      </c>
      <c r="B190" s="955" t="inlineStr">
        <is>
          <t>LIVE SITE TEST</t>
        </is>
      </c>
      <c r="C190" s="963" t="n">
        <v>1</v>
      </c>
      <c r="D190" s="1122" t="inlineStr">
        <is>
          <t>INCLUDE FOR ANSUL BUT SHOWN AS A LINE ITEM FOR AMEREX</t>
        </is>
      </c>
      <c r="G190" s="1121" t="inlineStr">
        <is>
          <t>JEM's ADHOC DAY RATE</t>
        </is>
      </c>
      <c r="J190" s="776" t="n">
        <v>550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P190" s="1070" t="inlineStr">
        <is>
          <t>ALWAYS INCLUDE</t>
        </is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550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24" t="inlineStr">
        <is>
          <t>ONE Engineer,  2 days per Pollustop,1 days per 3no UV &amp; W/W canopies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9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09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20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1">
    <mergeCell ref="B203:O203"/>
    <mergeCell ref="H91:I91"/>
    <mergeCell ref="G190:I190"/>
    <mergeCell ref="E121:F121"/>
    <mergeCell ref="D189:F189"/>
    <mergeCell ref="H38:I38"/>
    <mergeCell ref="H125:I125"/>
    <mergeCell ref="D194:F194"/>
    <mergeCell ref="G186:I186"/>
    <mergeCell ref="B200:O200"/>
    <mergeCell ref="C5:D5"/>
    <mergeCell ref="H55:I55"/>
    <mergeCell ref="E185:F185"/>
    <mergeCell ref="B182:G182"/>
    <mergeCell ref="B202:O202"/>
    <mergeCell ref="D197:F197"/>
    <mergeCell ref="H40:I40"/>
    <mergeCell ref="H74:I74"/>
    <mergeCell ref="H176:I176"/>
    <mergeCell ref="H56:I56"/>
    <mergeCell ref="E35:F35"/>
    <mergeCell ref="H39:I39"/>
    <mergeCell ref="G9:J9"/>
    <mergeCell ref="H21:I21"/>
    <mergeCell ref="E87:F87"/>
    <mergeCell ref="H73:I73"/>
    <mergeCell ref="H157:I157"/>
    <mergeCell ref="D195:E195"/>
    <mergeCell ref="E138:F138"/>
    <mergeCell ref="D193:F193"/>
    <mergeCell ref="B204:O204"/>
    <mergeCell ref="E19:F19"/>
    <mergeCell ref="H142:I142"/>
    <mergeCell ref="E155:F155"/>
    <mergeCell ref="H89:I89"/>
    <mergeCell ref="H123:I123"/>
    <mergeCell ref="B1:C1"/>
    <mergeCell ref="E9:F9"/>
    <mergeCell ref="H108:I108"/>
    <mergeCell ref="E186:F186"/>
    <mergeCell ref="H175:I175"/>
    <mergeCell ref="G183:I183"/>
    <mergeCell ref="E104:F104"/>
    <mergeCell ref="H72:I72"/>
    <mergeCell ref="H90:I90"/>
    <mergeCell ref="H174:I174"/>
    <mergeCell ref="B205:O205"/>
    <mergeCell ref="G7:J7"/>
    <mergeCell ref="E36:F36"/>
    <mergeCell ref="H57:I57"/>
    <mergeCell ref="H159:I159"/>
    <mergeCell ref="H22:I22"/>
    <mergeCell ref="E70:F70"/>
    <mergeCell ref="H140:I140"/>
    <mergeCell ref="H158:I158"/>
    <mergeCell ref="D196:E196"/>
    <mergeCell ref="D190:F190"/>
    <mergeCell ref="E172:F172"/>
    <mergeCell ref="C7:D7"/>
    <mergeCell ref="G3:J3"/>
    <mergeCell ref="H124:I124"/>
    <mergeCell ref="E183:F183"/>
    <mergeCell ref="B201:O201"/>
    <mergeCell ref="E184:F184"/>
    <mergeCell ref="H23:I23"/>
    <mergeCell ref="E53:F53"/>
    <mergeCell ref="H141:I141"/>
    <mergeCell ref="H107:I107"/>
    <mergeCell ref="C3:D3"/>
    <mergeCell ref="G5:J5"/>
    <mergeCell ref="H106:I106"/>
  </mergeCells>
  <conditionalFormatting sqref="B9">
    <cfRule type="containsText" priority="665" operator="containsText" dxfId="680" text="SELECT">
      <formula>NOT(ISERROR(SEARCH("SELECT",B9)))</formula>
    </cfRule>
    <cfRule type="expression" priority="666" dxfId="680">
      <formula>B9="CURRENCY"</formula>
    </cfRule>
  </conditionalFormatting>
  <conditionalFormatting sqref="B11">
    <cfRule type="expression" priority="627" dxfId="637">
      <formula>$B11&lt;&gt;""</formula>
    </cfRule>
  </conditionalFormatting>
  <conditionalFormatting sqref="B14:B23">
    <cfRule type="expression" priority="619" dxfId="633">
      <formula>$J14&gt;0</formula>
    </cfRule>
  </conditionalFormatting>
  <conditionalFormatting sqref="B24">
    <cfRule type="expression" priority="616" dxfId="633">
      <formula>ISNUMBER(SEARCH("UV",$D14))</formula>
    </cfRule>
    <cfRule type="expression" priority="617" dxfId="358">
      <formula>($D14="CANOPY TYPE")</formula>
    </cfRule>
  </conditionalFormatting>
  <conditionalFormatting sqref="B25:B27">
    <cfRule type="expression" priority="437" dxfId="633">
      <formula>$J25&gt;0</formula>
    </cfRule>
  </conditionalFormatting>
  <conditionalFormatting sqref="B28">
    <cfRule type="expression" priority="625" dxfId="637">
      <formula>$B28&lt;&gt;""</formula>
    </cfRule>
  </conditionalFormatting>
  <conditionalFormatting sqref="B31:B40">
    <cfRule type="expression" priority="263" dxfId="633">
      <formula>$J31&gt;0</formula>
    </cfRule>
  </conditionalFormatting>
  <conditionalFormatting sqref="B41">
    <cfRule type="expression" priority="585" dxfId="633">
      <formula>ISNUMBER(SEARCH("UV",$D31))</formula>
    </cfRule>
    <cfRule type="expression" priority="586" dxfId="358">
      <formula>($D31="CANOPY TYPE")</formula>
    </cfRule>
  </conditionalFormatting>
  <conditionalFormatting sqref="B42:B44">
    <cfRule type="expression" priority="587" dxfId="633">
      <formula>$J42&gt;0</formula>
    </cfRule>
  </conditionalFormatting>
  <conditionalFormatting sqref="B45">
    <cfRule type="expression" priority="624" dxfId="637">
      <formula>$B45&lt;&gt;""</formula>
    </cfRule>
  </conditionalFormatting>
  <conditionalFormatting sqref="B48:B57">
    <cfRule type="expression" priority="252" dxfId="633">
      <formula>$J48&gt;0</formula>
    </cfRule>
  </conditionalFormatting>
  <conditionalFormatting sqref="B58">
    <cfRule type="expression" priority="556" dxfId="633">
      <formula>ISNUMBER(SEARCH("UV",$D48))</formula>
    </cfRule>
    <cfRule type="expression" priority="557" dxfId="358">
      <formula>($D48="CANOPY TYPE")</formula>
    </cfRule>
  </conditionalFormatting>
  <conditionalFormatting sqref="B59:B61">
    <cfRule type="expression" priority="436" dxfId="633">
      <formula>$J59&gt;0</formula>
    </cfRule>
  </conditionalFormatting>
  <conditionalFormatting sqref="B62">
    <cfRule type="expression" priority="623" dxfId="637">
      <formula>$B62&lt;&gt;""</formula>
    </cfRule>
  </conditionalFormatting>
  <conditionalFormatting sqref="B65:B74">
    <cfRule type="expression" priority="241" dxfId="633">
      <formula>$J65&gt;0</formula>
    </cfRule>
  </conditionalFormatting>
  <conditionalFormatting sqref="B75">
    <cfRule type="expression" priority="526" dxfId="633">
      <formula>ISNUMBER(SEARCH("UV",$D65))</formula>
    </cfRule>
    <cfRule type="expression" priority="527" dxfId="358">
      <formula>($D65="CANOPY TYPE")</formula>
    </cfRule>
  </conditionalFormatting>
  <conditionalFormatting sqref="B76:B78">
    <cfRule type="expression" priority="435" dxfId="633">
      <formula>$J76&gt;0</formula>
    </cfRule>
  </conditionalFormatting>
  <conditionalFormatting sqref="B79">
    <cfRule type="expression" priority="622" dxfId="637">
      <formula>$B79&lt;&gt;""</formula>
    </cfRule>
  </conditionalFormatting>
  <conditionalFormatting sqref="B82:B91">
    <cfRule type="expression" priority="230" dxfId="633">
      <formula>$J82&gt;0</formula>
    </cfRule>
  </conditionalFormatting>
  <conditionalFormatting sqref="B92">
    <cfRule type="expression" priority="495" dxfId="633">
      <formula>ISNUMBER(SEARCH("UV",$D82))</formula>
    </cfRule>
    <cfRule type="expression" priority="496" dxfId="358">
      <formula>($D82="CANOPY TYPE")</formula>
    </cfRule>
  </conditionalFormatting>
  <conditionalFormatting sqref="B93:B95">
    <cfRule type="expression" priority="434" dxfId="633">
      <formula>$J93&gt;0</formula>
    </cfRule>
  </conditionalFormatting>
  <conditionalFormatting sqref="B96">
    <cfRule type="expression" priority="621" dxfId="637">
      <formula>$B96&lt;&gt;""</formula>
    </cfRule>
  </conditionalFormatting>
  <conditionalFormatting sqref="B99:B108">
    <cfRule type="expression" priority="219" dxfId="633">
      <formula>$J99&gt;0</formula>
    </cfRule>
  </conditionalFormatting>
  <conditionalFormatting sqref="B109">
    <cfRule type="expression" priority="465" dxfId="633">
      <formula>ISNUMBER(SEARCH("UV",$D99))</formula>
    </cfRule>
    <cfRule type="expression" priority="466" dxfId="358">
      <formula>($D99="CANOPY TYPE")</formula>
    </cfRule>
  </conditionalFormatting>
  <conditionalFormatting sqref="B110:B112 B127:B129 B161:B163 B178:B180">
    <cfRule type="expression" priority="433" dxfId="633">
      <formula>$J110&gt;0</formula>
    </cfRule>
  </conditionalFormatting>
  <conditionalFormatting sqref="B113">
    <cfRule type="expression" priority="325" dxfId="637">
      <formula>$B113&lt;&gt;""</formula>
    </cfRule>
  </conditionalFormatting>
  <conditionalFormatting sqref="B116:B125">
    <cfRule type="expression" priority="208" dxfId="633">
      <formula>$J116&gt;0</formula>
    </cfRule>
  </conditionalFormatting>
  <conditionalFormatting sqref="B126">
    <cfRule type="expression" priority="298" dxfId="633">
      <formula>ISNUMBER(SEARCH("UV",$D116))</formula>
    </cfRule>
    <cfRule type="expression" priority="299" dxfId="358">
      <formula>($D116="CANOPY TYPE")</formula>
    </cfRule>
  </conditionalFormatting>
  <conditionalFormatting sqref="B130">
    <cfRule type="expression" priority="189" dxfId="637">
      <formula>$B130&lt;&gt;""</formula>
    </cfRule>
  </conditionalFormatting>
  <conditionalFormatting sqref="B133:B142">
    <cfRule type="expression" priority="21" dxfId="633">
      <formula>$J133&gt;0</formula>
    </cfRule>
  </conditionalFormatting>
  <conditionalFormatting sqref="B143">
    <cfRule type="expression" priority="159" dxfId="633">
      <formula>ISNUMBER(SEARCH("UV",$D133))</formula>
    </cfRule>
    <cfRule type="expression" priority="160" dxfId="358">
      <formula>($D133="CANOPY TYPE")</formula>
    </cfRule>
  </conditionalFormatting>
  <conditionalFormatting sqref="B144:B146">
    <cfRule type="expression" priority="118" dxfId="633">
      <formula>$J144&gt;0</formula>
    </cfRule>
  </conditionalFormatting>
  <conditionalFormatting sqref="B147">
    <cfRule type="expression" priority="188" dxfId="637">
      <formula>$B147&lt;&gt;""</formula>
    </cfRule>
  </conditionalFormatting>
  <conditionalFormatting sqref="B150:B159">
    <cfRule type="expression" priority="10" dxfId="633">
      <formula>$J150&gt;0</formula>
    </cfRule>
  </conditionalFormatting>
  <conditionalFormatting sqref="B160">
    <cfRule type="expression" priority="130" dxfId="633">
      <formula>ISNUMBER(SEARCH("UV",$D150))</formula>
    </cfRule>
    <cfRule type="expression" priority="131" dxfId="358">
      <formula>($D150="CANOPY TYPE")</formula>
    </cfRule>
  </conditionalFormatting>
  <conditionalFormatting sqref="B164">
    <cfRule type="expression" priority="81" dxfId="637">
      <formula>$B164&lt;&gt;""</formula>
    </cfRule>
  </conditionalFormatting>
  <conditionalFormatting sqref="B167:B176">
    <cfRule type="expression" priority="5" dxfId="633">
      <formula>$J167&gt;0</formula>
    </cfRule>
  </conditionalFormatting>
  <conditionalFormatting sqref="B177">
    <cfRule type="expression" priority="54" dxfId="633">
      <formula>ISNUMBER(SEARCH("UV",$D167))</formula>
    </cfRule>
    <cfRule type="expression" priority="55" dxfId="358">
      <formula>($D167="CANOPY TYPE")</formula>
    </cfRule>
  </conditionalFormatting>
  <conditionalFormatting sqref="B183:B197">
    <cfRule type="expression" priority="618" dxfId="633">
      <formula>$C183&gt;0</formula>
    </cfRule>
  </conditionalFormatting>
  <conditionalFormatting sqref="C14">
    <cfRule type="containsText" priority="423" operator="containsText" dxfId="204" text="CONFIG">
      <formula>NOT(ISERROR(SEARCH("CONFIG",C14)))</formula>
    </cfRule>
  </conditionalFormatting>
  <conditionalFormatting sqref="C15">
    <cfRule type="containsText" priority="428" operator="containsText" dxfId="561" text="LIGHT SELECTION">
      <formula>NOT(ISERROR(SEARCH("LIGHT SELECTION",C15)))</formula>
    </cfRule>
  </conditionalFormatting>
  <conditionalFormatting sqref="C16:C17">
    <cfRule type="containsText" priority="674" operator="containsText" dxfId="561" text="ANSUL SELECTION">
      <formula>NOT(ISERROR(SEARCH("ANSUL SELECTION",C16)))</formula>
    </cfRule>
  </conditionalFormatting>
  <conditionalFormatting sqref="C20:C21">
    <cfRule type="cellIs" priority="671" operator="lessThan" dxfId="561">
      <formula>1</formula>
    </cfRule>
  </conditionalFormatting>
  <conditionalFormatting sqref="C22:C23">
    <cfRule type="expression" priority="403" dxfId="383">
      <formula>D22="WW PODS"</formula>
    </cfRule>
  </conditionalFormatting>
  <conditionalFormatting sqref="C24">
    <cfRule type="expression" priority="689" dxfId="559">
      <formula>ISNUMBER(SEARCH("UV",D14))</formula>
    </cfRule>
  </conditionalFormatting>
  <conditionalFormatting sqref="C25">
    <cfRule type="expression" priority="651" dxfId="472">
      <formula>(ISNUMBER(SEARCH("CMW",D14)))=TRUE</formula>
    </cfRule>
  </conditionalFormatting>
  <conditionalFormatting sqref="C26">
    <cfRule type="expression" priority="650" dxfId="472">
      <formula>(ISNUMBER(SEARCH("CMW",D14)))=TRUE</formula>
    </cfRule>
  </conditionalFormatting>
  <conditionalFormatting sqref="C27">
    <cfRule type="expression" priority="620" dxfId="472">
      <formula>(ISNUMBER(SEARCH("CMW",$D14)))=TRUE</formula>
    </cfRule>
  </conditionalFormatting>
  <conditionalFormatting sqref="C31">
    <cfRule type="containsText" priority="595" operator="containsText" dxfId="204" text="CONFIG">
      <formula>NOT(ISERROR(SEARCH("CONFIG",C31)))</formula>
    </cfRule>
  </conditionalFormatting>
  <conditionalFormatting sqref="C32">
    <cfRule type="containsText" priority="430" operator="containsText" dxfId="561" text="LIGHT SELECTION">
      <formula>NOT(ISERROR(SEARCH("LIGHT SELECTION",C32)))</formula>
    </cfRule>
  </conditionalFormatting>
  <conditionalFormatting sqref="C33:C34">
    <cfRule type="containsText" priority="271" operator="containsText" dxfId="561" text="ANSUL SELECTION">
      <formula>NOT(ISERROR(SEARCH("ANSUL SELECTION",C33)))</formula>
    </cfRule>
  </conditionalFormatting>
  <conditionalFormatting sqref="C37:C38">
    <cfRule type="cellIs" priority="594" operator="lessThan" dxfId="561">
      <formula>1</formula>
    </cfRule>
  </conditionalFormatting>
  <conditionalFormatting sqref="C39:C40">
    <cfRule type="expression" priority="388" dxfId="383">
      <formula>D39="WW PODS"</formula>
    </cfRule>
  </conditionalFormatting>
  <conditionalFormatting sqref="C41">
    <cfRule type="expression" priority="609" dxfId="559">
      <formula>ISNUMBER(SEARCH("UV",D31))</formula>
    </cfRule>
  </conditionalFormatting>
  <conditionalFormatting sqref="C42">
    <cfRule type="expression" priority="592" dxfId="472">
      <formula>(ISNUMBER(SEARCH("CMW",D31)))=TRUE</formula>
    </cfRule>
  </conditionalFormatting>
  <conditionalFormatting sqref="C43">
    <cfRule type="expression" priority="462" dxfId="472">
      <formula>(ISNUMBER(SEARCH("CMW",D31)))=TRUE</formula>
    </cfRule>
  </conditionalFormatting>
  <conditionalFormatting sqref="C44">
    <cfRule type="expression" priority="588" dxfId="472">
      <formula>(ISNUMBER(SEARCH("CMW",$D31)))=TRUE</formula>
    </cfRule>
  </conditionalFormatting>
  <conditionalFormatting sqref="C48">
    <cfRule type="containsText" priority="565" operator="containsText" dxfId="204" text="CONFIG">
      <formula>NOT(ISERROR(SEARCH("CONFIG",C48)))</formula>
    </cfRule>
  </conditionalFormatting>
  <conditionalFormatting sqref="C49">
    <cfRule type="containsText" priority="427" operator="containsText" dxfId="561" text="LIGHT SELECTION">
      <formula>NOT(ISERROR(SEARCH("LIGHT SELECTION",C49)))</formula>
    </cfRule>
  </conditionalFormatting>
  <conditionalFormatting sqref="C50:C51">
    <cfRule type="containsText" priority="260" operator="containsText" dxfId="561" text="ANSUL SELECTION">
      <formula>NOT(ISERROR(SEARCH("ANSUL SELECTION",C50)))</formula>
    </cfRule>
  </conditionalFormatting>
  <conditionalFormatting sqref="C54:C55">
    <cfRule type="cellIs" priority="564" operator="lessThan" dxfId="561">
      <formula>1</formula>
    </cfRule>
  </conditionalFormatting>
  <conditionalFormatting sqref="C56:C57">
    <cfRule type="expression" priority="373" dxfId="383">
      <formula>D56="WW PODS"</formula>
    </cfRule>
  </conditionalFormatting>
  <conditionalFormatting sqref="C58">
    <cfRule type="expression" priority="578" dxfId="559">
      <formula>ISNUMBER(SEARCH("UV",D48))</formula>
    </cfRule>
  </conditionalFormatting>
  <conditionalFormatting sqref="C59">
    <cfRule type="expression" priority="562" dxfId="472">
      <formula>(ISNUMBER(SEARCH("CMW",D48)))=TRUE</formula>
    </cfRule>
  </conditionalFormatting>
  <conditionalFormatting sqref="C60">
    <cfRule type="expression" priority="461" dxfId="472">
      <formula>(ISNUMBER(SEARCH("CMW",D48)))=TRUE</formula>
    </cfRule>
  </conditionalFormatting>
  <conditionalFormatting sqref="C61">
    <cfRule type="expression" priority="558" dxfId="472">
      <formula>(ISNUMBER(SEARCH("CMW",$D48)))=TRUE</formula>
    </cfRule>
  </conditionalFormatting>
  <conditionalFormatting sqref="C65">
    <cfRule type="containsText" priority="536" operator="containsText" dxfId="204" text="CONFIG">
      <formula>NOT(ISERROR(SEARCH("CONFIG",C65)))</formula>
    </cfRule>
  </conditionalFormatting>
  <conditionalFormatting sqref="C66">
    <cfRule type="containsText" priority="426" operator="containsText" dxfId="561" text="LIGHT SELECTION">
      <formula>NOT(ISERROR(SEARCH("LIGHT SELECTION",C66)))</formula>
    </cfRule>
  </conditionalFormatting>
  <conditionalFormatting sqref="C67:C68">
    <cfRule type="containsText" priority="249" operator="containsText" dxfId="561" text="ANSUL SELECTION">
      <formula>NOT(ISERROR(SEARCH("ANSUL SELECTION",C67)))</formula>
    </cfRule>
  </conditionalFormatting>
  <conditionalFormatting sqref="C71:C72">
    <cfRule type="cellIs" priority="535" operator="lessThan" dxfId="561">
      <formula>1</formula>
    </cfRule>
  </conditionalFormatting>
  <conditionalFormatting sqref="C73:C74">
    <cfRule type="expression" priority="358" dxfId="383">
      <formula>D73="WW PODS"</formula>
    </cfRule>
  </conditionalFormatting>
  <conditionalFormatting sqref="C75">
    <cfRule type="expression" priority="549" dxfId="559">
      <formula>ISNUMBER(SEARCH("UV",D65))</formula>
    </cfRule>
  </conditionalFormatting>
  <conditionalFormatting sqref="C76">
    <cfRule type="expression" priority="532" dxfId="472">
      <formula>(ISNUMBER(SEARCH("CMW",D65)))=TRUE</formula>
    </cfRule>
  </conditionalFormatting>
  <conditionalFormatting sqref="C77">
    <cfRule type="expression" priority="460" dxfId="472">
      <formula>(ISNUMBER(SEARCH("CMW",D65)))=TRUE</formula>
    </cfRule>
  </conditionalFormatting>
  <conditionalFormatting sqref="C78">
    <cfRule type="expression" priority="528" dxfId="472">
      <formula>(ISNUMBER(SEARCH("CMW",$D65)))=TRUE</formula>
    </cfRule>
  </conditionalFormatting>
  <conditionalFormatting sqref="C82">
    <cfRule type="containsText" priority="505" operator="containsText" dxfId="204" text="CONFIG">
      <formula>NOT(ISERROR(SEARCH("CONFIG",C82)))</formula>
    </cfRule>
  </conditionalFormatting>
  <conditionalFormatting sqref="C83">
    <cfRule type="containsText" priority="425" operator="containsText" dxfId="561" text="LIGHT SELECTION">
      <formula>NOT(ISERROR(SEARCH("LIGHT SELECTION",C83)))</formula>
    </cfRule>
  </conditionalFormatting>
  <conditionalFormatting sqref="C84:C85">
    <cfRule type="containsText" priority="238" operator="containsText" dxfId="561" text="ANSUL SELECTION">
      <formula>NOT(ISERROR(SEARCH("ANSUL SELECTION",C84)))</formula>
    </cfRule>
  </conditionalFormatting>
  <conditionalFormatting sqref="C88:C89">
    <cfRule type="cellIs" priority="504" operator="lessThan" dxfId="561">
      <formula>1</formula>
    </cfRule>
  </conditionalFormatting>
  <conditionalFormatting sqref="C90:C91">
    <cfRule type="expression" priority="343" dxfId="383">
      <formula>D90="WW PODS"</formula>
    </cfRule>
  </conditionalFormatting>
  <conditionalFormatting sqref="C92">
    <cfRule type="expression" priority="519" dxfId="559">
      <formula>ISNUMBER(SEARCH("UV",D82))</formula>
    </cfRule>
  </conditionalFormatting>
  <conditionalFormatting sqref="C93">
    <cfRule type="expression" priority="501" dxfId="472">
      <formula>(ISNUMBER(SEARCH("CMW",D82)))=TRUE</formula>
    </cfRule>
  </conditionalFormatting>
  <conditionalFormatting sqref="C94">
    <cfRule type="expression" priority="459" dxfId="472">
      <formula>(ISNUMBER(SEARCH("CMW",D82)))=TRUE</formula>
    </cfRule>
  </conditionalFormatting>
  <conditionalFormatting sqref="C95">
    <cfRule type="expression" priority="497" dxfId="472">
      <formula>(ISNUMBER(SEARCH("CMW",$D82)))=TRUE</formula>
    </cfRule>
  </conditionalFormatting>
  <conditionalFormatting sqref="C99">
    <cfRule type="containsText" priority="474" operator="containsText" dxfId="204" text="CONFIG">
      <formula>NOT(ISERROR(SEARCH("CONFIG",C99)))</formula>
    </cfRule>
  </conditionalFormatting>
  <conditionalFormatting sqref="C100">
    <cfRule type="containsText" priority="424" operator="containsText" dxfId="561" text="LIGHT SELECTION">
      <formula>NOT(ISERROR(SEARCH("LIGHT SELECTION",C100)))</formula>
    </cfRule>
  </conditionalFormatting>
  <conditionalFormatting sqref="C101:C102">
    <cfRule type="containsText" priority="227" operator="containsText" dxfId="561" text="ANSUL SELECTION">
      <formula>NOT(ISERROR(SEARCH("ANSUL SELECTION",C101)))</formula>
    </cfRule>
  </conditionalFormatting>
  <conditionalFormatting sqref="C105:C106">
    <cfRule type="cellIs" priority="473" operator="lessThan" dxfId="561">
      <formula>1</formula>
    </cfRule>
  </conditionalFormatting>
  <conditionalFormatting sqref="C107:C108">
    <cfRule type="expression" priority="328" dxfId="383">
      <formula>D107="WW PODS"</formula>
    </cfRule>
  </conditionalFormatting>
  <conditionalFormatting sqref="C109">
    <cfRule type="expression" priority="488" dxfId="559">
      <formula>ISNUMBER(SEARCH("UV",D99))</formula>
    </cfRule>
  </conditionalFormatting>
  <conditionalFormatting sqref="C110">
    <cfRule type="expression" priority="471" dxfId="472">
      <formula>(ISNUMBER(SEARCH("CMW",D99)))=TRUE</formula>
    </cfRule>
  </conditionalFormatting>
  <conditionalFormatting sqref="C111">
    <cfRule type="expression" priority="458" dxfId="472">
      <formula>(ISNUMBER(SEARCH("CMW",D99)))=TRUE</formula>
    </cfRule>
  </conditionalFormatting>
  <conditionalFormatting sqref="C112 C129 C163 C180">
    <cfRule type="expression" priority="467" dxfId="472">
      <formula>(ISNUMBER(SEARCH("CMW",$D99)))=TRUE</formula>
    </cfRule>
  </conditionalFormatting>
  <conditionalFormatting sqref="C116">
    <cfRule type="containsText" priority="306" operator="containsText" dxfId="204" text="CONFIG">
      <formula>NOT(ISERROR(SEARCH("CONFIG",C116)))</formula>
    </cfRule>
  </conditionalFormatting>
  <conditionalFormatting sqref="C117">
    <cfRule type="containsText" priority="291" operator="containsText" dxfId="561" text="LIGHT SELECTION">
      <formula>NOT(ISERROR(SEARCH("LIGHT SELECTION",C117)))</formula>
    </cfRule>
  </conditionalFormatting>
  <conditionalFormatting sqref="C118:C119">
    <cfRule type="containsText" priority="216" operator="containsText" dxfId="561" text="ANSUL SELECTION">
      <formula>NOT(ISERROR(SEARCH("ANSUL SELECTION",C118)))</formula>
    </cfRule>
  </conditionalFormatting>
  <conditionalFormatting sqref="C122:C123">
    <cfRule type="cellIs" priority="305" operator="lessThan" dxfId="561">
      <formula>1</formula>
    </cfRule>
  </conditionalFormatting>
  <conditionalFormatting sqref="C124:C125">
    <cfRule type="expression" priority="275" dxfId="383">
      <formula>D124="WW PODS"</formula>
    </cfRule>
  </conditionalFormatting>
  <conditionalFormatting sqref="C126">
    <cfRule type="expression" priority="320" dxfId="559">
      <formula>ISNUMBER(SEARCH("UV",D116))</formula>
    </cfRule>
  </conditionalFormatting>
  <conditionalFormatting sqref="C127">
    <cfRule type="expression" priority="303" dxfId="472">
      <formula>(ISNUMBER(SEARCH("CMW",D116)))=TRUE</formula>
    </cfRule>
  </conditionalFormatting>
  <conditionalFormatting sqref="C128">
    <cfRule type="expression" priority="296" dxfId="472">
      <formula>(ISNUMBER(SEARCH("CMW",D116)))=TRUE</formula>
    </cfRule>
  </conditionalFormatting>
  <conditionalFormatting sqref="C133">
    <cfRule type="containsText" priority="169" operator="containsText" dxfId="204" text="CONFIG">
      <formula>NOT(ISERROR(SEARCH("CONFIG",C133)))</formula>
    </cfRule>
  </conditionalFormatting>
  <conditionalFormatting sqref="C134">
    <cfRule type="containsText" priority="117" operator="containsText" dxfId="561" text="LIGHT SELECTION">
      <formula>NOT(ISERROR(SEARCH("LIGHT SELECTION",C134)))</formula>
    </cfRule>
  </conditionalFormatting>
  <conditionalFormatting sqref="C135:C136">
    <cfRule type="containsText" priority="29" operator="containsText" dxfId="561" text="ANSUL SELECTION">
      <formula>NOT(ISERROR(SEARCH("ANSUL SELECTION",C135)))</formula>
    </cfRule>
  </conditionalFormatting>
  <conditionalFormatting sqref="C139:C140">
    <cfRule type="cellIs" priority="168" operator="lessThan" dxfId="561">
      <formula>1</formula>
    </cfRule>
  </conditionalFormatting>
  <conditionalFormatting sqref="C141:C142">
    <cfRule type="expression" priority="99" dxfId="383">
      <formula>D141="WW PODS"</formula>
    </cfRule>
  </conditionalFormatting>
  <conditionalFormatting sqref="C143">
    <cfRule type="expression" priority="183" dxfId="559">
      <formula>ISNUMBER(SEARCH("UV",D133))</formula>
    </cfRule>
  </conditionalFormatting>
  <conditionalFormatting sqref="C144">
    <cfRule type="expression" priority="165" dxfId="472">
      <formula>(ISNUMBER(SEARCH("CMW",D133)))=TRUE</formula>
    </cfRule>
  </conditionalFormatting>
  <conditionalFormatting sqref="C145">
    <cfRule type="expression" priority="128" dxfId="472">
      <formula>(ISNUMBER(SEARCH("CMW",D133)))=TRUE</formula>
    </cfRule>
  </conditionalFormatting>
  <conditionalFormatting sqref="C146">
    <cfRule type="expression" priority="161" dxfId="472">
      <formula>(ISNUMBER(SEARCH("CMW",$D133)))=TRUE</formula>
    </cfRule>
  </conditionalFormatting>
  <conditionalFormatting sqref="C150">
    <cfRule type="containsText" priority="138" operator="containsText" dxfId="204" text="CONFIG">
      <formula>NOT(ISERROR(SEARCH("CONFIG",C150)))</formula>
    </cfRule>
  </conditionalFormatting>
  <conditionalFormatting sqref="C151">
    <cfRule type="containsText" priority="116" operator="containsText" dxfId="561" text="LIGHT SELECTION">
      <formula>NOT(ISERROR(SEARCH("LIGHT SELECTION",C151)))</formula>
    </cfRule>
  </conditionalFormatting>
  <conditionalFormatting sqref="C152:C153">
    <cfRule type="containsText" priority="18" operator="containsText" dxfId="561" text="ANSUL SELECTION">
      <formula>NOT(ISERROR(SEARCH("ANSUL SELECTION",C152)))</formula>
    </cfRule>
  </conditionalFormatting>
  <conditionalFormatting sqref="C156:C157">
    <cfRule type="cellIs" priority="137" operator="lessThan" dxfId="561">
      <formula>1</formula>
    </cfRule>
  </conditionalFormatting>
  <conditionalFormatting sqref="C158:C159">
    <cfRule type="expression" priority="84" dxfId="383">
      <formula>D158="WW PODS"</formula>
    </cfRule>
  </conditionalFormatting>
  <conditionalFormatting sqref="C160">
    <cfRule type="expression" priority="152" dxfId="559">
      <formula>ISNUMBER(SEARCH("UV",D150))</formula>
    </cfRule>
  </conditionalFormatting>
  <conditionalFormatting sqref="C161">
    <cfRule type="expression" priority="135" dxfId="472">
      <formula>(ISNUMBER(SEARCH("CMW",D150)))=TRUE</formula>
    </cfRule>
  </conditionalFormatting>
  <conditionalFormatting sqref="C162">
    <cfRule type="expression" priority="127" dxfId="472">
      <formula>(ISNUMBER(SEARCH("CMW",D150)))=TRUE</formula>
    </cfRule>
  </conditionalFormatting>
  <conditionalFormatting sqref="C167">
    <cfRule type="containsText" priority="62" operator="containsText" dxfId="204" text="CONFIG">
      <formula>NOT(ISERROR(SEARCH("CONFIG",C167)))</formula>
    </cfRule>
  </conditionalFormatting>
  <conditionalFormatting sqref="C168">
    <cfRule type="containsText" priority="47" operator="containsText" dxfId="561" text="LIGHT SELECTION">
      <formula>NOT(ISERROR(SEARCH("LIGHT SELECTION",C168)))</formula>
    </cfRule>
  </conditionalFormatting>
  <conditionalFormatting sqref="C169:C170">
    <cfRule type="containsText" priority="7" operator="containsText" dxfId="561" text="ANSUL SELECTION">
      <formula>NOT(ISERROR(SEARCH("ANSUL SELECTION",C169)))</formula>
    </cfRule>
  </conditionalFormatting>
  <conditionalFormatting sqref="C173:C174">
    <cfRule type="cellIs" priority="61" operator="lessThan" dxfId="561">
      <formula>1</formula>
    </cfRule>
  </conditionalFormatting>
  <conditionalFormatting sqref="C175:C176">
    <cfRule type="expression" priority="31" dxfId="383">
      <formula>D175="WW PODS"</formula>
    </cfRule>
  </conditionalFormatting>
  <conditionalFormatting sqref="C177">
    <cfRule type="expression" priority="76" dxfId="559">
      <formula>ISNUMBER(SEARCH("UV",D167))</formula>
    </cfRule>
  </conditionalFormatting>
  <conditionalFormatting sqref="C178">
    <cfRule type="expression" priority="59" dxfId="472">
      <formula>(ISNUMBER(SEARCH("CMW",D167)))=TRUE</formula>
    </cfRule>
  </conditionalFormatting>
  <conditionalFormatting sqref="C179">
    <cfRule type="expression" priority="52" dxfId="472">
      <formula>(ISNUMBER(SEARCH("CMW",D167)))=TRUE</formula>
    </cfRule>
  </conditionalFormatting>
  <conditionalFormatting sqref="C183:C184">
    <cfRule type="cellIs" priority="673" operator="lessThan" dxfId="554">
      <formula>1</formula>
    </cfRule>
  </conditionalFormatting>
  <conditionalFormatting sqref="C185:C186">
    <cfRule type="cellIs" priority="662" operator="lessThan" dxfId="164">
      <formula>1</formula>
    </cfRule>
  </conditionalFormatting>
  <conditionalFormatting sqref="C187:C197">
    <cfRule type="cellIs" priority="273" operator="lessThan" dxfId="554">
      <formula>1</formula>
    </cfRule>
  </conditionalFormatting>
  <conditionalFormatting sqref="C9:D9">
    <cfRule type="cellIs" priority="663" operator="lessThan" dxfId="207">
      <formula>0</formula>
    </cfRule>
    <cfRule type="cellIs" priority="664" operator="greaterThan" dxfId="552">
      <formula>0</formula>
    </cfRule>
  </conditionalFormatting>
  <conditionalFormatting sqref="D14">
    <cfRule type="containsText" priority="675" operator="containsText" dxfId="164" text="CANOPY TYPE">
      <formula>NOT(ISERROR(SEARCH("CANOPY TYPE",D14)))</formula>
    </cfRule>
  </conditionalFormatting>
  <conditionalFormatting sqref="D15">
    <cfRule type="expression" priority="419" dxfId="206">
      <formula>(C15="LIGHT SELECTION")</formula>
    </cfRule>
  </conditionalFormatting>
  <conditionalFormatting sqref="D18">
    <cfRule type="expression" priority="629" dxfId="206">
      <formula>($C18="SELECT WORKS")</formula>
    </cfRule>
  </conditionalFormatting>
  <conditionalFormatting sqref="D19">
    <cfRule type="expression" priority="272" dxfId="206">
      <formula>$C19="SELECT CLADDING"</formula>
    </cfRule>
  </conditionalFormatting>
  <conditionalFormatting sqref="D22:D23">
    <cfRule type="expression" priority="402" dxfId="358">
      <formula>($D$14="CANOPY TYPE")</formula>
    </cfRule>
  </conditionalFormatting>
  <conditionalFormatting sqref="D24">
    <cfRule type="expression" priority="688" dxfId="474">
      <formula>ISNUMBER(SEARCH("UV",D14))</formula>
    </cfRule>
  </conditionalFormatting>
  <conditionalFormatting sqref="D25">
    <cfRule type="expression" priority="614" dxfId="358">
      <formula>($D$14="CANOPY TYPE")</formula>
    </cfRule>
  </conditionalFormatting>
  <conditionalFormatting sqref="D26">
    <cfRule type="expression" priority="637" dxfId="472">
      <formula>(ISNUMBER(SEARCH("CMW",D14)))=TRUE</formula>
    </cfRule>
  </conditionalFormatting>
  <conditionalFormatting sqref="D31">
    <cfRule type="containsText" priority="596" operator="containsText" dxfId="164" text="CANOPY TYPE">
      <formula>NOT(ISERROR(SEARCH("CANOPY TYPE",D31)))</formula>
    </cfRule>
  </conditionalFormatting>
  <conditionalFormatting sqref="D32">
    <cfRule type="expression" priority="432" dxfId="206">
      <formula>(C32="LIGHT SELECTION")</formula>
    </cfRule>
  </conditionalFormatting>
  <conditionalFormatting sqref="D35">
    <cfRule type="expression" priority="589" dxfId="206">
      <formula>($C35="SELECT WORKS")</formula>
    </cfRule>
  </conditionalFormatting>
  <conditionalFormatting sqref="D36">
    <cfRule type="expression" priority="411" dxfId="206">
      <formula>$C36="SELECT CLADDING"</formula>
    </cfRule>
  </conditionalFormatting>
  <conditionalFormatting sqref="D39:D40">
    <cfRule type="expression" priority="387" dxfId="358">
      <formula>($D$14="CANOPY TYPE")</formula>
    </cfRule>
  </conditionalFormatting>
  <conditionalFormatting sqref="D41">
    <cfRule type="expression" priority="608" dxfId="474">
      <formula>ISNUMBER(SEARCH("UV",D31))</formula>
    </cfRule>
  </conditionalFormatting>
  <conditionalFormatting sqref="D42">
    <cfRule type="expression" priority="583" dxfId="358">
      <formula>($D$14="CANOPY TYPE")</formula>
    </cfRule>
  </conditionalFormatting>
  <conditionalFormatting sqref="D43">
    <cfRule type="expression" priority="591" dxfId="472">
      <formula>(ISNUMBER(SEARCH("CMW",D31)))=TRUE</formula>
    </cfRule>
  </conditionalFormatting>
  <conditionalFormatting sqref="D48">
    <cfRule type="containsText" priority="414" operator="containsText" dxfId="164" text="CANOPY TYPE">
      <formula>NOT(ISERROR(SEARCH("CANOPY TYPE",D48)))</formula>
    </cfRule>
  </conditionalFormatting>
  <conditionalFormatting sqref="D49">
    <cfRule type="expression" priority="429" dxfId="206">
      <formula>(C15="LIGHT SELECTION")</formula>
    </cfRule>
  </conditionalFormatting>
  <conditionalFormatting sqref="D52">
    <cfRule type="expression" priority="559" dxfId="206">
      <formula>($C52="SELECT WORKS")</formula>
    </cfRule>
  </conditionalFormatting>
  <conditionalFormatting sqref="D53">
    <cfRule type="expression" priority="412" dxfId="206">
      <formula>$C53="SELECT CLADDING"</formula>
    </cfRule>
  </conditionalFormatting>
  <conditionalFormatting sqref="D56:D57">
    <cfRule type="expression" priority="372" dxfId="358">
      <formula>($D$14="CANOPY TYPE")</formula>
    </cfRule>
  </conditionalFormatting>
  <conditionalFormatting sqref="D58">
    <cfRule type="expression" priority="577" dxfId="474">
      <formula>ISNUMBER(SEARCH("UV",D48))</formula>
    </cfRule>
  </conditionalFormatting>
  <conditionalFormatting sqref="D59">
    <cfRule type="expression" priority="554" dxfId="358">
      <formula>($D$14="CANOPY TYPE")</formula>
    </cfRule>
  </conditionalFormatting>
  <conditionalFormatting sqref="D60">
    <cfRule type="expression" priority="561" dxfId="472">
      <formula>(ISNUMBER(SEARCH("CMW",D48)))=TRUE</formula>
    </cfRule>
  </conditionalFormatting>
  <conditionalFormatting sqref="D65">
    <cfRule type="containsText" priority="413" operator="containsText" dxfId="164" text="CANOPY TYPE">
      <formula>NOT(ISERROR(SEARCH("CANOPY TYPE",D65)))</formula>
    </cfRule>
  </conditionalFormatting>
  <conditionalFormatting sqref="D66">
    <cfRule type="expression" priority="422" dxfId="206">
      <formula>(C66="LIGHT SELECTION")</formula>
    </cfRule>
  </conditionalFormatting>
  <conditionalFormatting sqref="D69">
    <cfRule type="expression" priority="529" dxfId="206">
      <formula>($C69="SELECT WORKS")</formula>
    </cfRule>
  </conditionalFormatting>
  <conditionalFormatting sqref="D70">
    <cfRule type="expression" priority="533" dxfId="206">
      <formula>$C70="SELECT CLADDING"</formula>
    </cfRule>
  </conditionalFormatting>
  <conditionalFormatting sqref="D73:D74">
    <cfRule type="expression" priority="357" dxfId="358">
      <formula>($D$14="CANOPY TYPE")</formula>
    </cfRule>
  </conditionalFormatting>
  <conditionalFormatting sqref="D75">
    <cfRule type="expression" priority="548" dxfId="474">
      <formula>ISNUMBER(SEARCH("UV",D65))</formula>
    </cfRule>
  </conditionalFormatting>
  <conditionalFormatting sqref="D76">
    <cfRule type="expression" priority="524" dxfId="358">
      <formula>($D$14="CANOPY TYPE")</formula>
    </cfRule>
  </conditionalFormatting>
  <conditionalFormatting sqref="D77">
    <cfRule type="expression" priority="531" dxfId="472">
      <formula>(ISNUMBER(SEARCH("CMW",D65)))=TRUE</formula>
    </cfRule>
  </conditionalFormatting>
  <conditionalFormatting sqref="D82">
    <cfRule type="containsText" priority="506" operator="containsText" dxfId="164" text="CANOPY TYPE">
      <formula>NOT(ISERROR(SEARCH("CANOPY TYPE",D82)))</formula>
    </cfRule>
  </conditionalFormatting>
  <conditionalFormatting sqref="D83">
    <cfRule type="expression" priority="421" dxfId="206">
      <formula>(C83="LIGHT SELECTION")</formula>
    </cfRule>
  </conditionalFormatting>
  <conditionalFormatting sqref="D86">
    <cfRule type="expression" priority="498" dxfId="206">
      <formula>($C86="SELECT WORKS")</formula>
    </cfRule>
  </conditionalFormatting>
  <conditionalFormatting sqref="D87">
    <cfRule type="expression" priority="502" dxfId="206">
      <formula>$C87="SELECT CLADDING"</formula>
    </cfRule>
  </conditionalFormatting>
  <conditionalFormatting sqref="D90:D91">
    <cfRule type="expression" priority="342" dxfId="358">
      <formula>($D$14="CANOPY TYPE")</formula>
    </cfRule>
  </conditionalFormatting>
  <conditionalFormatting sqref="D92">
    <cfRule type="expression" priority="518" dxfId="474">
      <formula>ISNUMBER(SEARCH("UV",D82))</formula>
    </cfRule>
  </conditionalFormatting>
  <conditionalFormatting sqref="D93">
    <cfRule type="expression" priority="493" dxfId="358">
      <formula>($D$14="CANOPY TYPE")</formula>
    </cfRule>
  </conditionalFormatting>
  <conditionalFormatting sqref="D94">
    <cfRule type="expression" priority="500" dxfId="472">
      <formula>(ISNUMBER(SEARCH("CMW",D82)))=TRUE</formula>
    </cfRule>
  </conditionalFormatting>
  <conditionalFormatting sqref="D99">
    <cfRule type="containsText" priority="475" operator="containsText" dxfId="164" text="CANOPY TYPE">
      <formula>NOT(ISERROR(SEARCH("CANOPY TYPE",D99)))</formula>
    </cfRule>
  </conditionalFormatting>
  <conditionalFormatting sqref="D100">
    <cfRule type="expression" priority="420" dxfId="206">
      <formula>(C100="LIGHT SELECTION")</formula>
    </cfRule>
  </conditionalFormatting>
  <conditionalFormatting sqref="D103">
    <cfRule type="expression" priority="468" dxfId="206">
      <formula>($C103="SELECT WORKS")</formula>
    </cfRule>
  </conditionalFormatting>
  <conditionalFormatting sqref="D104">
    <cfRule type="expression" priority="410" dxfId="206">
      <formula>$C104="SELECT CLADDING"</formula>
    </cfRule>
  </conditionalFormatting>
  <conditionalFormatting sqref="D107:D108">
    <cfRule type="expression" priority="327" dxfId="358">
      <formula>($D$14="CANOPY TYPE")</formula>
    </cfRule>
  </conditionalFormatting>
  <conditionalFormatting sqref="D109">
    <cfRule type="expression" priority="487" dxfId="474">
      <formula>ISNUMBER(SEARCH("UV",D99))</formula>
    </cfRule>
  </conditionalFormatting>
  <conditionalFormatting sqref="D110">
    <cfRule type="expression" priority="463" dxfId="358">
      <formula>($D$14="CANOPY TYPE")</formula>
    </cfRule>
  </conditionalFormatting>
  <conditionalFormatting sqref="D111">
    <cfRule type="expression" priority="470" dxfId="472">
      <formula>(ISNUMBER(SEARCH("CMW",D99)))=TRUE</formula>
    </cfRule>
  </conditionalFormatting>
  <conditionalFormatting sqref="D116">
    <cfRule type="containsText" priority="307" operator="containsText" dxfId="164" text="CANOPY TYPE">
      <formula>NOT(ISERROR(SEARCH("CANOPY TYPE",D116)))</formula>
    </cfRule>
  </conditionalFormatting>
  <conditionalFormatting sqref="D117">
    <cfRule type="expression" priority="290" dxfId="206">
      <formula>(C117="LIGHT SELECTION")</formula>
    </cfRule>
  </conditionalFormatting>
  <conditionalFormatting sqref="D120">
    <cfRule type="expression" priority="300" dxfId="206">
      <formula>($C120="SELECT WORKS")</formula>
    </cfRule>
  </conditionalFormatting>
  <conditionalFormatting sqref="D121">
    <cfRule type="expression" priority="289" dxfId="206">
      <formula>$C121="SELECT CLADDING"</formula>
    </cfRule>
  </conditionalFormatting>
  <conditionalFormatting sqref="D124:D125">
    <cfRule type="expression" priority="274" dxfId="358">
      <formula>($D$14="CANOPY TYPE")</formula>
    </cfRule>
  </conditionalFormatting>
  <conditionalFormatting sqref="D126">
    <cfRule type="expression" priority="319" dxfId="474">
      <formula>ISNUMBER(SEARCH("UV",D116))</formula>
    </cfRule>
  </conditionalFormatting>
  <conditionalFormatting sqref="D127">
    <cfRule type="expression" priority="297" dxfId="358">
      <formula>($D$14="CANOPY TYPE")</formula>
    </cfRule>
  </conditionalFormatting>
  <conditionalFormatting sqref="D128">
    <cfRule type="expression" priority="302" dxfId="472">
      <formula>(ISNUMBER(SEARCH("CMW",D116)))=TRUE</formula>
    </cfRule>
  </conditionalFormatting>
  <conditionalFormatting sqref="D133">
    <cfRule type="containsText" priority="170" operator="containsText" dxfId="164" text="CANOPY TYPE">
      <formula>NOT(ISERROR(SEARCH("CANOPY TYPE",D133)))</formula>
    </cfRule>
  </conditionalFormatting>
  <conditionalFormatting sqref="D134">
    <cfRule type="expression" priority="115" dxfId="206">
      <formula>(C134="LIGHT SELECTION")</formula>
    </cfRule>
  </conditionalFormatting>
  <conditionalFormatting sqref="D137">
    <cfRule type="expression" priority="162" dxfId="206">
      <formula>($C137="SELECT WORKS")</formula>
    </cfRule>
  </conditionalFormatting>
  <conditionalFormatting sqref="D138">
    <cfRule type="expression" priority="166" dxfId="206">
      <formula>$C138="SELECT CLADDING"</formula>
    </cfRule>
  </conditionalFormatting>
  <conditionalFormatting sqref="D141:D142">
    <cfRule type="expression" priority="98" dxfId="358">
      <formula>($D$14="CANOPY TYPE")</formula>
    </cfRule>
  </conditionalFormatting>
  <conditionalFormatting sqref="D143">
    <cfRule type="expression" priority="182" dxfId="474">
      <formula>ISNUMBER(SEARCH("UV",D133))</formula>
    </cfRule>
  </conditionalFormatting>
  <conditionalFormatting sqref="D144">
    <cfRule type="expression" priority="157" dxfId="358">
      <formula>($D$14="CANOPY TYPE")</formula>
    </cfRule>
  </conditionalFormatting>
  <conditionalFormatting sqref="D145">
    <cfRule type="expression" priority="164" dxfId="472">
      <formula>(ISNUMBER(SEARCH("CMW",D133)))=TRUE</formula>
    </cfRule>
  </conditionalFormatting>
  <conditionalFormatting sqref="D150">
    <cfRule type="containsText" priority="139" operator="containsText" dxfId="164" text="CANOPY TYPE">
      <formula>NOT(ISERROR(SEARCH("CANOPY TYPE",D150)))</formula>
    </cfRule>
  </conditionalFormatting>
  <conditionalFormatting sqref="D151">
    <cfRule type="expression" priority="114" dxfId="206">
      <formula>(C151="LIGHT SELECTION")</formula>
    </cfRule>
  </conditionalFormatting>
  <conditionalFormatting sqref="D154">
    <cfRule type="expression" priority="132" dxfId="206">
      <formula>($C154="SELECT WORKS")</formula>
    </cfRule>
  </conditionalFormatting>
  <conditionalFormatting sqref="D155">
    <cfRule type="expression" priority="113" dxfId="206">
      <formula>$C155="SELECT CLADDING"</formula>
    </cfRule>
  </conditionalFormatting>
  <conditionalFormatting sqref="D158:D159">
    <cfRule type="expression" priority="83" dxfId="358">
      <formula>($D$14="CANOPY TYPE")</formula>
    </cfRule>
  </conditionalFormatting>
  <conditionalFormatting sqref="D160">
    <cfRule type="expression" priority="151" dxfId="474">
      <formula>ISNUMBER(SEARCH("UV",D150))</formula>
    </cfRule>
  </conditionalFormatting>
  <conditionalFormatting sqref="D161">
    <cfRule type="expression" priority="129" dxfId="358">
      <formula>($D$14="CANOPY TYPE")</formula>
    </cfRule>
  </conditionalFormatting>
  <conditionalFormatting sqref="D162">
    <cfRule type="expression" priority="134" dxfId="472">
      <formula>(ISNUMBER(SEARCH("CMW",D150)))=TRUE</formula>
    </cfRule>
  </conditionalFormatting>
  <conditionalFormatting sqref="D167">
    <cfRule type="containsText" priority="63" operator="containsText" dxfId="164" text="CANOPY TYPE">
      <formula>NOT(ISERROR(SEARCH("CANOPY TYPE",D167)))</formula>
    </cfRule>
  </conditionalFormatting>
  <conditionalFormatting sqref="D168">
    <cfRule type="expression" priority="46" dxfId="206">
      <formula>(C168="LIGHT SELECTION")</formula>
    </cfRule>
  </conditionalFormatting>
  <conditionalFormatting sqref="D171">
    <cfRule type="expression" priority="56" dxfId="206">
      <formula>($C171="SELECT WORKS")</formula>
    </cfRule>
  </conditionalFormatting>
  <conditionalFormatting sqref="D172">
    <cfRule type="expression" priority="45" dxfId="206">
      <formula>$C172="SELECT CLADDING"</formula>
    </cfRule>
  </conditionalFormatting>
  <conditionalFormatting sqref="D175:D176">
    <cfRule type="expression" priority="30" dxfId="358">
      <formula>($D$14="CANOPY TYPE")</formula>
    </cfRule>
  </conditionalFormatting>
  <conditionalFormatting sqref="D177">
    <cfRule type="expression" priority="75" dxfId="474">
      <formula>ISNUMBER(SEARCH("UV",D167))</formula>
    </cfRule>
  </conditionalFormatting>
  <conditionalFormatting sqref="D178">
    <cfRule type="expression" priority="53" dxfId="358">
      <formula>($D$14="CANOPY TYPE")</formula>
    </cfRule>
  </conditionalFormatting>
  <conditionalFormatting sqref="D179">
    <cfRule type="expression" priority="58" dxfId="472">
      <formula>(ISNUMBER(SEARCH("CMW",D167)))=TRUE</formula>
    </cfRule>
  </conditionalFormatting>
  <conditionalFormatting sqref="E12">
    <cfRule type="expression" priority="685" dxfId="386">
      <formula>AND((ISNUMBER(SEARCH("I-MUAP",$D$14))),E12&lt;2500)</formula>
    </cfRule>
    <cfRule type="expression" priority="686" dxfId="387">
      <formula>ISNUMBER(SEARCH("I-MUAP",$D$14))</formula>
    </cfRule>
    <cfRule type="cellIs" priority="687" operator="greaterThan" dxfId="204">
      <formula>2000</formula>
    </cfRule>
  </conditionalFormatting>
  <conditionalFormatting sqref="E15">
    <cfRule type="expression" priority="417" dxfId="315">
      <formula>(C15="LIGHT SELECTION")</formula>
    </cfRule>
  </conditionalFormatting>
  <conditionalFormatting sqref="E17:E18">
    <cfRule type="expression" priority="628" dxfId="381">
      <formula>$C17="SELECT WORKS"</formula>
    </cfRule>
  </conditionalFormatting>
  <conditionalFormatting sqref="E22:E23">
    <cfRule type="expression" priority="667" dxfId="384">
      <formula>D22="WW PODS"</formula>
    </cfRule>
    <cfRule type="expression" priority="668" dxfId="383">
      <formula>D22="FILTER TYPE"</formula>
    </cfRule>
    <cfRule type="expression" priority="669" dxfId="382">
      <formula>D22="KSA"</formula>
    </cfRule>
    <cfRule type="expression" priority="690" dxfId="381">
      <formula>(D14="CANOPY TYPE")</formula>
    </cfRule>
  </conditionalFormatting>
  <conditionalFormatting sqref="E24">
    <cfRule type="containsText" priority="677" operator="containsText" dxfId="380" text="LONG ">
      <formula>NOT(ISERROR(SEARCH("LONG ",E24)))</formula>
    </cfRule>
  </conditionalFormatting>
  <conditionalFormatting sqref="E29">
    <cfRule type="expression" priority="605" dxfId="386">
      <formula>AND((ISNUMBER(SEARCH("I-MUAP",$D$14))),E29&lt;2500)</formula>
    </cfRule>
    <cfRule type="expression" priority="606" dxfId="387">
      <formula>ISNUMBER(SEARCH("I-MUAP",$D$14))</formula>
    </cfRule>
    <cfRule type="cellIs" priority="607" operator="greaterThan" dxfId="204">
      <formula>2000</formula>
    </cfRule>
  </conditionalFormatting>
  <conditionalFormatting sqref="E34">
    <cfRule type="expression" priority="264" dxfId="381">
      <formula>$C34="SELECT WORKS"</formula>
    </cfRule>
  </conditionalFormatting>
  <conditionalFormatting sqref="E39:E40">
    <cfRule type="expression" priority="389" dxfId="384">
      <formula>D39="WW PODS"</formula>
    </cfRule>
    <cfRule type="expression" priority="390" dxfId="383">
      <formula>D39="FILTER TYPE"</formula>
    </cfRule>
    <cfRule type="expression" priority="391" dxfId="382">
      <formula>D39="KSA"</formula>
    </cfRule>
    <cfRule type="expression" priority="392" dxfId="381">
      <formula>(D31="CANOPY TYPE")</formula>
    </cfRule>
  </conditionalFormatting>
  <conditionalFormatting sqref="E41">
    <cfRule type="containsText" priority="598" operator="containsText" dxfId="380" text="LONG ">
      <formula>NOT(ISERROR(SEARCH("LONG ",E41)))</formula>
    </cfRule>
  </conditionalFormatting>
  <conditionalFormatting sqref="E46">
    <cfRule type="expression" priority="574" dxfId="386">
      <formula>AND((ISNUMBER(SEARCH("I-MUAP",$D$14))),E46&lt;2500)</formula>
    </cfRule>
    <cfRule type="expression" priority="575" dxfId="387">
      <formula>ISNUMBER(SEARCH("I-MUAP",$D$14))</formula>
    </cfRule>
    <cfRule type="cellIs" priority="576" operator="greaterThan" dxfId="204">
      <formula>2000</formula>
    </cfRule>
  </conditionalFormatting>
  <conditionalFormatting sqref="E49">
    <cfRule type="expression" priority="431" dxfId="315">
      <formula>(C49="LIGHT SELECTION")</formula>
    </cfRule>
  </conditionalFormatting>
  <conditionalFormatting sqref="E51:E52">
    <cfRule type="expression" priority="253" dxfId="381">
      <formula>$C51="SELECT WORKS"</formula>
    </cfRule>
  </conditionalFormatting>
  <conditionalFormatting sqref="E56:E57">
    <cfRule type="expression" priority="374" dxfId="384">
      <formula>D56="WW PODS"</formula>
    </cfRule>
    <cfRule type="expression" priority="375" dxfId="383">
      <formula>D56="FILTER TYPE"</formula>
    </cfRule>
    <cfRule type="expression" priority="376" dxfId="382">
      <formula>D56="KSA"</formula>
    </cfRule>
    <cfRule type="expression" priority="377" dxfId="381">
      <formula>(D48="CANOPY TYPE")</formula>
    </cfRule>
  </conditionalFormatting>
  <conditionalFormatting sqref="E58">
    <cfRule type="containsText" priority="567" operator="containsText" dxfId="380" text="LONG ">
      <formula>NOT(ISERROR(SEARCH("LONG ",E58)))</formula>
    </cfRule>
  </conditionalFormatting>
  <conditionalFormatting sqref="E63">
    <cfRule type="expression" priority="545" dxfId="386">
      <formula>AND((ISNUMBER(SEARCH("I-MUAP",$D$14))),E63&lt;2500)</formula>
    </cfRule>
    <cfRule type="expression" priority="546" dxfId="387">
      <formula>ISNUMBER(SEARCH("I-MUAP",$D$14))</formula>
    </cfRule>
    <cfRule type="cellIs" priority="547" operator="greaterThan" dxfId="204">
      <formula>2000</formula>
    </cfRule>
  </conditionalFormatting>
  <conditionalFormatting sqref="E68:E69">
    <cfRule type="expression" priority="242" dxfId="381">
      <formula>$C68="SELECT WORKS"</formula>
    </cfRule>
  </conditionalFormatting>
  <conditionalFormatting sqref="E73:E74">
    <cfRule type="expression" priority="359" dxfId="384">
      <formula>D73="WW PODS"</formula>
    </cfRule>
    <cfRule type="expression" priority="360" dxfId="383">
      <formula>D73="FILTER TYPE"</formula>
    </cfRule>
    <cfRule type="expression" priority="361" dxfId="382">
      <formula>D73="KSA"</formula>
    </cfRule>
    <cfRule type="expression" priority="362" dxfId="381">
      <formula>(D65="CANOPY TYPE")</formula>
    </cfRule>
  </conditionalFormatting>
  <conditionalFormatting sqref="E75">
    <cfRule type="containsText" priority="538" operator="containsText" dxfId="380" text="LONG ">
      <formula>NOT(ISERROR(SEARCH("LONG ",E75)))</formula>
    </cfRule>
  </conditionalFormatting>
  <conditionalFormatting sqref="E80">
    <cfRule type="expression" priority="515" dxfId="386">
      <formula>AND((ISNUMBER(SEARCH("I-MUAP",$D$14))),E80&lt;2500)</formula>
    </cfRule>
    <cfRule type="expression" priority="516" dxfId="387">
      <formula>ISNUMBER(SEARCH("I-MUAP",$D$14))</formula>
    </cfRule>
    <cfRule type="cellIs" priority="517" operator="greaterThan" dxfId="204">
      <formula>2000</formula>
    </cfRule>
  </conditionalFormatting>
  <conditionalFormatting sqref="E85:E86">
    <cfRule type="expression" priority="231" dxfId="381">
      <formula>$C85="SELECT WORKS"</formula>
    </cfRule>
  </conditionalFormatting>
  <conditionalFormatting sqref="E90:E91">
    <cfRule type="expression" priority="344" dxfId="384">
      <formula>D90="WW PODS"</formula>
    </cfRule>
    <cfRule type="expression" priority="345" dxfId="383">
      <formula>D90="FILTER TYPE"</formula>
    </cfRule>
    <cfRule type="expression" priority="346" dxfId="382">
      <formula>D90="KSA"</formula>
    </cfRule>
    <cfRule type="expression" priority="347" dxfId="381">
      <formula>(D82="CANOPY TYPE")</formula>
    </cfRule>
  </conditionalFormatting>
  <conditionalFormatting sqref="E92">
    <cfRule type="containsText" priority="508" operator="containsText" dxfId="380" text="LONG ">
      <formula>NOT(ISERROR(SEARCH("LONG ",E92)))</formula>
    </cfRule>
  </conditionalFormatting>
  <conditionalFormatting sqref="E97">
    <cfRule type="expression" priority="484" dxfId="386">
      <formula>AND((ISNUMBER(SEARCH("I-MUAP",$D$14))),E97&lt;2500)</formula>
    </cfRule>
    <cfRule type="expression" priority="485" dxfId="387">
      <formula>ISNUMBER(SEARCH("I-MUAP",$D$14))</formula>
    </cfRule>
    <cfRule type="cellIs" priority="486" operator="greaterThan" dxfId="204">
      <formula>2000</formula>
    </cfRule>
  </conditionalFormatting>
  <conditionalFormatting sqref="E102:E103">
    <cfRule type="expression" priority="220" dxfId="381">
      <formula>$C102="SELECT WORKS"</formula>
    </cfRule>
  </conditionalFormatting>
  <conditionalFormatting sqref="E107:E108">
    <cfRule type="expression" priority="329" dxfId="384">
      <formula>D107="WW PODS"</formula>
    </cfRule>
    <cfRule type="expression" priority="330" dxfId="383">
      <formula>D107="FILTER TYPE"</formula>
    </cfRule>
    <cfRule type="expression" priority="331" dxfId="382">
      <formula>D107="KSA"</formula>
    </cfRule>
    <cfRule type="expression" priority="332" dxfId="381">
      <formula>(D99="CANOPY TYPE")</formula>
    </cfRule>
  </conditionalFormatting>
  <conditionalFormatting sqref="E109">
    <cfRule type="containsText" priority="477" operator="containsText" dxfId="380" text="LONG ">
      <formula>NOT(ISERROR(SEARCH("LONG ",E109)))</formula>
    </cfRule>
  </conditionalFormatting>
  <conditionalFormatting sqref="E114">
    <cfRule type="expression" priority="316" dxfId="386">
      <formula>AND((ISNUMBER(SEARCH("I-MUAP",$D$14))),E114&lt;2500)</formula>
    </cfRule>
    <cfRule type="expression" priority="317" dxfId="387">
      <formula>ISNUMBER(SEARCH("I-MUAP",$D$14))</formula>
    </cfRule>
    <cfRule type="cellIs" priority="318" operator="greaterThan" dxfId="204">
      <formula>2000</formula>
    </cfRule>
  </conditionalFormatting>
  <conditionalFormatting sqref="E119:E120">
    <cfRule type="expression" priority="209" dxfId="381">
      <formula>$C119="SELECT WORKS"</formula>
    </cfRule>
  </conditionalFormatting>
  <conditionalFormatting sqref="E124:E125">
    <cfRule type="expression" priority="276" dxfId="384">
      <formula>D124="WW PODS"</formula>
    </cfRule>
    <cfRule type="expression" priority="277" dxfId="383">
      <formula>D124="FILTER TYPE"</formula>
    </cfRule>
    <cfRule type="expression" priority="278" dxfId="382">
      <formula>D124="KSA"</formula>
    </cfRule>
    <cfRule type="expression" priority="279" dxfId="381">
      <formula>(D116="CANOPY TYPE")</formula>
    </cfRule>
  </conditionalFormatting>
  <conditionalFormatting sqref="E126">
    <cfRule type="containsText" priority="309" operator="containsText" dxfId="380" text="LONG ">
      <formula>NOT(ISERROR(SEARCH("LONG ",E126)))</formula>
    </cfRule>
  </conditionalFormatting>
  <conditionalFormatting sqref="E131">
    <cfRule type="expression" priority="179" dxfId="386">
      <formula>AND((ISNUMBER(SEARCH("I-MUAP",$D$14))),E131&lt;2500)</formula>
    </cfRule>
    <cfRule type="expression" priority="180" dxfId="387">
      <formula>ISNUMBER(SEARCH("I-MUAP",$D$14))</formula>
    </cfRule>
    <cfRule type="cellIs" priority="181" operator="greaterThan" dxfId="204">
      <formula>2000</formula>
    </cfRule>
  </conditionalFormatting>
  <conditionalFormatting sqref="E136:E137">
    <cfRule type="expression" priority="22" dxfId="381">
      <formula>$C136="SELECT WORKS"</formula>
    </cfRule>
  </conditionalFormatting>
  <conditionalFormatting sqref="E141:E142">
    <cfRule type="expression" priority="100" dxfId="384">
      <formula>D141="WW PODS"</formula>
    </cfRule>
    <cfRule type="expression" priority="101" dxfId="383">
      <formula>D141="FILTER TYPE"</formula>
    </cfRule>
    <cfRule type="expression" priority="102" dxfId="382">
      <formula>D141="KSA"</formula>
    </cfRule>
    <cfRule type="expression" priority="103" dxfId="381">
      <formula>(D133="CANOPY TYPE")</formula>
    </cfRule>
  </conditionalFormatting>
  <conditionalFormatting sqref="E143">
    <cfRule type="containsText" priority="172" operator="containsText" dxfId="380" text="LONG ">
      <formula>NOT(ISERROR(SEARCH("LONG ",E143)))</formula>
    </cfRule>
  </conditionalFormatting>
  <conditionalFormatting sqref="E148">
    <cfRule type="expression" priority="148" dxfId="386">
      <formula>AND((ISNUMBER(SEARCH("I-MUAP",$D$14))),E148&lt;2500)</formula>
    </cfRule>
    <cfRule type="expression" priority="149" dxfId="387">
      <formula>ISNUMBER(SEARCH("I-MUAP",$D$14))</formula>
    </cfRule>
    <cfRule type="cellIs" priority="150" operator="greaterThan" dxfId="204">
      <formula>2000</formula>
    </cfRule>
  </conditionalFormatting>
  <conditionalFormatting sqref="E153:E154">
    <cfRule type="expression" priority="11" dxfId="381">
      <formula>$C153="SELECT WORKS"</formula>
    </cfRule>
  </conditionalFormatting>
  <conditionalFormatting sqref="E158:E159">
    <cfRule type="expression" priority="85" dxfId="384">
      <formula>D158="WW PODS"</formula>
    </cfRule>
    <cfRule type="expression" priority="86" dxfId="383">
      <formula>D158="FILTER TYPE"</formula>
    </cfRule>
    <cfRule type="expression" priority="87" dxfId="382">
      <formula>D158="KSA"</formula>
    </cfRule>
    <cfRule type="expression" priority="88" dxfId="381">
      <formula>(D150="CANOPY TYPE")</formula>
    </cfRule>
  </conditionalFormatting>
  <conditionalFormatting sqref="E160">
    <cfRule type="containsText" priority="141" operator="containsText" dxfId="380" text="LONG ">
      <formula>NOT(ISERROR(SEARCH("LONG ",E160)))</formula>
    </cfRule>
  </conditionalFormatting>
  <conditionalFormatting sqref="E165">
    <cfRule type="expression" priority="72" dxfId="386">
      <formula>AND((ISNUMBER(SEARCH("I-MUAP",$D$14))),E165&lt;2500)</formula>
    </cfRule>
    <cfRule type="expression" priority="73" dxfId="387">
      <formula>ISNUMBER(SEARCH("I-MUAP",$D$14))</formula>
    </cfRule>
    <cfRule type="cellIs" priority="74" operator="greaterThan" dxfId="204">
      <formula>2000</formula>
    </cfRule>
  </conditionalFormatting>
  <conditionalFormatting sqref="E170:E171">
    <cfRule type="expression" priority="6" dxfId="381">
      <formula>$C170="SELECT WORKS"</formula>
    </cfRule>
  </conditionalFormatting>
  <conditionalFormatting sqref="E175:E176">
    <cfRule type="expression" priority="32" dxfId="384">
      <formula>D175="WW PODS"</formula>
    </cfRule>
    <cfRule type="expression" priority="33" dxfId="383">
      <formula>D175="FILTER TYPE"</formula>
    </cfRule>
    <cfRule type="expression" priority="34" dxfId="382">
      <formula>D175="KSA"</formula>
    </cfRule>
    <cfRule type="expression" priority="35" dxfId="381">
      <formula>(D167="CANOPY TYPE")</formula>
    </cfRule>
  </conditionalFormatting>
  <conditionalFormatting sqref="E177">
    <cfRule type="containsText" priority="65" operator="containsText" dxfId="380" text="LONG ">
      <formula>NOT(ISERROR(SEARCH("LONG ",E177)))</formula>
    </cfRule>
  </conditionalFormatting>
  <conditionalFormatting sqref="E12:F12">
    <cfRule type="cellIs" priority="681" operator="lessThan" dxfId="204">
      <formula>1000</formula>
    </cfRule>
  </conditionalFormatting>
  <conditionalFormatting sqref="E14:F14">
    <cfRule type="cellIs" priority="678" operator="lessThan" dxfId="164">
      <formula>1000</formula>
    </cfRule>
  </conditionalFormatting>
  <conditionalFormatting sqref="E25:F27">
    <cfRule type="expression" priority="615" dxfId="358">
      <formula>($D$14="CANOPY TYPE")</formula>
    </cfRule>
  </conditionalFormatting>
  <conditionalFormatting sqref="E29:F29">
    <cfRule type="cellIs" priority="602" operator="lessThan" dxfId="204">
      <formula>1000</formula>
    </cfRule>
  </conditionalFormatting>
  <conditionalFormatting sqref="E31:F31">
    <cfRule type="cellIs" priority="599" operator="lessThan" dxfId="164">
      <formula>1000</formula>
    </cfRule>
  </conditionalFormatting>
  <conditionalFormatting sqref="E32:F32">
    <cfRule type="expression" priority="455" dxfId="315">
      <formula>(C32="LIGHT SELECTION")</formula>
    </cfRule>
  </conditionalFormatting>
  <conditionalFormatting sqref="E42:F44">
    <cfRule type="expression" priority="584" dxfId="358">
      <formula>($D$14="CANOPY TYPE")</formula>
    </cfRule>
  </conditionalFormatting>
  <conditionalFormatting sqref="E46:F46">
    <cfRule type="cellIs" priority="571" operator="lessThan" dxfId="204">
      <formula>1000</formula>
    </cfRule>
  </conditionalFormatting>
  <conditionalFormatting sqref="E48:F48">
    <cfRule type="cellIs" priority="568" operator="lessThan" dxfId="164">
      <formula>1000</formula>
    </cfRule>
  </conditionalFormatting>
  <conditionalFormatting sqref="E59:F61">
    <cfRule type="expression" priority="555" dxfId="358">
      <formula>($D$14="CANOPY TYPE")</formula>
    </cfRule>
  </conditionalFormatting>
  <conditionalFormatting sqref="E63:F63">
    <cfRule type="cellIs" priority="542" operator="lessThan" dxfId="204">
      <formula>1000</formula>
    </cfRule>
  </conditionalFormatting>
  <conditionalFormatting sqref="E65:F65">
    <cfRule type="cellIs" priority="539" operator="lessThan" dxfId="164">
      <formula>1000</formula>
    </cfRule>
  </conditionalFormatting>
  <conditionalFormatting sqref="E66:F66">
    <cfRule type="expression" priority="448" dxfId="315">
      <formula>(C66="LIGHT SELECTION")</formula>
    </cfRule>
  </conditionalFormatting>
  <conditionalFormatting sqref="E76:F78">
    <cfRule type="expression" priority="525" dxfId="358">
      <formula>($D$14="CANOPY TYPE")</formula>
    </cfRule>
  </conditionalFormatting>
  <conditionalFormatting sqref="E80:F80">
    <cfRule type="cellIs" priority="512" operator="lessThan" dxfId="204">
      <formula>1000</formula>
    </cfRule>
  </conditionalFormatting>
  <conditionalFormatting sqref="E82:F82">
    <cfRule type="cellIs" priority="509" operator="lessThan" dxfId="164">
      <formula>1000</formula>
    </cfRule>
  </conditionalFormatting>
  <conditionalFormatting sqref="E83:F83">
    <cfRule type="expression" priority="444" dxfId="315">
      <formula>(C83="LIGHT SELECTION")</formula>
    </cfRule>
  </conditionalFormatting>
  <conditionalFormatting sqref="E93:F95">
    <cfRule type="expression" priority="494" dxfId="358">
      <formula>($D$14="CANOPY TYPE")</formula>
    </cfRule>
  </conditionalFormatting>
  <conditionalFormatting sqref="E97:F97">
    <cfRule type="cellIs" priority="481" operator="lessThan" dxfId="204">
      <formula>1000</formula>
    </cfRule>
  </conditionalFormatting>
  <conditionalFormatting sqref="E99:F99">
    <cfRule type="cellIs" priority="478" operator="lessThan" dxfId="164">
      <formula>1000</formula>
    </cfRule>
  </conditionalFormatting>
  <conditionalFormatting sqref="E100:F100">
    <cfRule type="expression" priority="440" dxfId="315">
      <formula>(C100="LIGHT SELECTION")</formula>
    </cfRule>
  </conditionalFormatting>
  <conditionalFormatting sqref="E110:F112 E127:F129 E161:F163 E178:F180">
    <cfRule type="expression" priority="464" dxfId="358">
      <formula>($D$14="CANOPY TYPE")</formula>
    </cfRule>
  </conditionalFormatting>
  <conditionalFormatting sqref="E114:F114">
    <cfRule type="cellIs" priority="313" operator="lessThan" dxfId="204">
      <formula>1000</formula>
    </cfRule>
  </conditionalFormatting>
  <conditionalFormatting sqref="E116:F116">
    <cfRule type="cellIs" priority="310" operator="lessThan" dxfId="164">
      <formula>1000</formula>
    </cfRule>
  </conditionalFormatting>
  <conditionalFormatting sqref="E117:F117">
    <cfRule type="expression" priority="294" dxfId="315">
      <formula>(C117="LIGHT SELECTION")</formula>
    </cfRule>
  </conditionalFormatting>
  <conditionalFormatting sqref="E131:F131">
    <cfRule type="cellIs" priority="176" operator="lessThan" dxfId="204">
      <formula>1000</formula>
    </cfRule>
  </conditionalFormatting>
  <conditionalFormatting sqref="E133:F133">
    <cfRule type="cellIs" priority="173" operator="lessThan" dxfId="164">
      <formula>1000</formula>
    </cfRule>
  </conditionalFormatting>
  <conditionalFormatting sqref="E134:F134">
    <cfRule type="expression" priority="125" dxfId="315">
      <formula>(C134="LIGHT SELECTION")</formula>
    </cfRule>
  </conditionalFormatting>
  <conditionalFormatting sqref="E144:F146">
    <cfRule type="expression" priority="158" dxfId="358">
      <formula>($D$14="CANOPY TYPE")</formula>
    </cfRule>
  </conditionalFormatting>
  <conditionalFormatting sqref="E148:F148">
    <cfRule type="cellIs" priority="145" operator="lessThan" dxfId="204">
      <formula>1000</formula>
    </cfRule>
  </conditionalFormatting>
  <conditionalFormatting sqref="E150:F150">
    <cfRule type="cellIs" priority="142" operator="lessThan" dxfId="164">
      <formula>1000</formula>
    </cfRule>
  </conditionalFormatting>
  <conditionalFormatting sqref="E151:F151">
    <cfRule type="expression" priority="121" dxfId="315">
      <formula>(C151="LIGHT SELECTION")</formula>
    </cfRule>
  </conditionalFormatting>
  <conditionalFormatting sqref="E165:F165">
    <cfRule type="cellIs" priority="69" operator="lessThan" dxfId="204">
      <formula>1000</formula>
    </cfRule>
  </conditionalFormatting>
  <conditionalFormatting sqref="E167:F167">
    <cfRule type="cellIs" priority="66" operator="lessThan" dxfId="164">
      <formula>1000</formula>
    </cfRule>
  </conditionalFormatting>
  <conditionalFormatting sqref="E168:F168">
    <cfRule type="expression" priority="50" dxfId="315">
      <formula>(C168="LIGHT SELECTION")</formula>
    </cfRule>
  </conditionalFormatting>
  <conditionalFormatting sqref="F12">
    <cfRule type="cellIs" priority="682" operator="greaterThan" dxfId="204">
      <formula>3001</formula>
    </cfRule>
  </conditionalFormatting>
  <conditionalFormatting sqref="F15">
    <cfRule type="expression" priority="457" dxfId="214">
      <formula>(C15="LED STRIP")</formula>
    </cfRule>
    <cfRule type="expression" priority="670" dxfId="215">
      <formula>(C15="LIGHT SELECTION")</formula>
    </cfRule>
    <cfRule type="expression" priority="672" dxfId="216">
      <formula>(C15="FLO")</formula>
    </cfRule>
    <cfRule type="expression" priority="704" dxfId="315">
      <formula>(D49="LIGHT SELECTION")</formula>
    </cfRule>
  </conditionalFormatting>
  <conditionalFormatting sqref="F22:F23">
    <cfRule type="expression" priority="695" dxfId="206">
      <formula>D22="NF"</formula>
    </cfRule>
    <cfRule type="expression" priority="696" dxfId="208">
      <formula>D22="WW PODS"</formula>
    </cfRule>
    <cfRule type="expression" priority="697" dxfId="206">
      <formula>D22="GRILLE"</formula>
    </cfRule>
    <cfRule type="expression" priority="698" dxfId="206">
      <formula>D22="CENTREX"</formula>
    </cfRule>
    <cfRule type="expression" priority="699" dxfId="206" stopIfTrue="1">
      <formula>D14="canopy type"</formula>
    </cfRule>
    <cfRule type="expression" priority="700" dxfId="207">
      <formula>(((I14*3600)/(C22*I11))^2+20)&gt;300</formula>
    </cfRule>
    <cfRule type="expression" priority="701" dxfId="205" stopIfTrue="1">
      <formula>(ISNUMBER(SEARCH("UV",D14)))</formula>
    </cfRule>
    <cfRule type="expression" priority="702" dxfId="207">
      <formula>(((I14*3600)/(C22*I11))^2+20)&gt;180</formula>
    </cfRule>
    <cfRule type="expression" priority="703" dxfId="205">
      <formula>D22="KSA"</formula>
    </cfRule>
  </conditionalFormatting>
  <conditionalFormatting sqref="F24">
    <cfRule type="cellIs" priority="676" operator="lessThan" dxfId="204">
      <formula>2100</formula>
    </cfRule>
  </conditionalFormatting>
  <conditionalFormatting sqref="F29">
    <cfRule type="cellIs" priority="603" operator="greaterThan" dxfId="204">
      <formula>3001</formula>
    </cfRule>
  </conditionalFormatting>
  <conditionalFormatting sqref="F32">
    <cfRule type="expression" priority="453" dxfId="214">
      <formula>(C32="LED STRIP")</formula>
    </cfRule>
    <cfRule type="expression" priority="454" dxfId="215">
      <formula>(C32="LIGHT SELECTION")</formula>
    </cfRule>
    <cfRule type="expression" priority="456" dxfId="216">
      <formula>(C32="FLO")</formula>
    </cfRule>
  </conditionalFormatting>
  <conditionalFormatting sqref="F39:F40">
    <cfRule type="expression" priority="393" dxfId="206">
      <formula>D39="NF"</formula>
    </cfRule>
    <cfRule type="expression" priority="394" dxfId="208">
      <formula>D39="WW PODS"</formula>
    </cfRule>
    <cfRule type="expression" priority="395" dxfId="206">
      <formula>D39="GRILLE"</formula>
    </cfRule>
    <cfRule type="expression" priority="396" dxfId="206">
      <formula>D39="CENTREX"</formula>
    </cfRule>
    <cfRule type="expression" priority="397" dxfId="206" stopIfTrue="1">
      <formula>D31="canopy type"</formula>
    </cfRule>
    <cfRule type="expression" priority="398" dxfId="207">
      <formula>(((I31*3600)/(C39*I28))^2+20)&gt;300</formula>
    </cfRule>
    <cfRule type="expression" priority="399" dxfId="205" stopIfTrue="1">
      <formula>(ISNUMBER(SEARCH("UV",D31)))</formula>
    </cfRule>
    <cfRule type="expression" priority="400" dxfId="207">
      <formula>(((I31*3600)/(C39*I28))^2+20)&gt;180</formula>
    </cfRule>
    <cfRule type="expression" priority="401" dxfId="205">
      <formula>D39="KSA"</formula>
    </cfRule>
  </conditionalFormatting>
  <conditionalFormatting sqref="F41">
    <cfRule type="cellIs" priority="597" operator="lessThan" dxfId="204">
      <formula>2100</formula>
    </cfRule>
  </conditionalFormatting>
  <conditionalFormatting sqref="F46">
    <cfRule type="cellIs" priority="572" operator="greaterThan" dxfId="204">
      <formula>3001</formula>
    </cfRule>
  </conditionalFormatting>
  <conditionalFormatting sqref="F49">
    <cfRule type="expression" priority="450" dxfId="214">
      <formula>(C49="LED STRIP")</formula>
    </cfRule>
    <cfRule type="expression" priority="451" dxfId="215">
      <formula>(C49="LIGHT SELECTION")</formula>
    </cfRule>
    <cfRule type="expression" priority="452" dxfId="216">
      <formula>(C49="FLO")</formula>
    </cfRule>
    <cfRule type="expression" priority="705" dxfId="315">
      <formula>(#REF!="LIGHT SELECTION")</formula>
    </cfRule>
  </conditionalFormatting>
  <conditionalFormatting sqref="F56:F57">
    <cfRule type="expression" priority="378" dxfId="206">
      <formula>D56="NF"</formula>
    </cfRule>
    <cfRule type="expression" priority="379" dxfId="208">
      <formula>D56="WW PODS"</formula>
    </cfRule>
    <cfRule type="expression" priority="380" dxfId="206">
      <formula>D56="GRILLE"</formula>
    </cfRule>
    <cfRule type="expression" priority="381" dxfId="206">
      <formula>D56="CENTREX"</formula>
    </cfRule>
    <cfRule type="expression" priority="382" dxfId="206" stopIfTrue="1">
      <formula>D48="canopy type"</formula>
    </cfRule>
    <cfRule type="expression" priority="383" dxfId="207">
      <formula>(((I48*3600)/(C56*I45))^2+20)&gt;300</formula>
    </cfRule>
    <cfRule type="expression" priority="384" dxfId="205" stopIfTrue="1">
      <formula>(ISNUMBER(SEARCH("UV",D48)))</formula>
    </cfRule>
    <cfRule type="expression" priority="385" dxfId="207">
      <formula>(((I48*3600)/(C56*I45))^2+20)&gt;180</formula>
    </cfRule>
    <cfRule type="expression" priority="386" dxfId="205">
      <formula>D56="KSA"</formula>
    </cfRule>
  </conditionalFormatting>
  <conditionalFormatting sqref="F58">
    <cfRule type="cellIs" priority="566" operator="lessThan" dxfId="204">
      <formula>2100</formula>
    </cfRule>
  </conditionalFormatting>
  <conditionalFormatting sqref="F63">
    <cfRule type="cellIs" priority="543" operator="greaterThan" dxfId="204">
      <formula>3001</formula>
    </cfRule>
  </conditionalFormatting>
  <conditionalFormatting sqref="F66">
    <cfRule type="expression" priority="446" dxfId="214">
      <formula>(C66="LED STRIP")</formula>
    </cfRule>
    <cfRule type="expression" priority="447" dxfId="215">
      <formula>(C66="LIGHT SELECTION")</formula>
    </cfRule>
    <cfRule type="expression" priority="449" dxfId="216">
      <formula>(C66="FLO")</formula>
    </cfRule>
  </conditionalFormatting>
  <conditionalFormatting sqref="F73:F74">
    <cfRule type="expression" priority="363" dxfId="206">
      <formula>D73="NF"</formula>
    </cfRule>
    <cfRule type="expression" priority="364" dxfId="208">
      <formula>D73="WW PODS"</formula>
    </cfRule>
    <cfRule type="expression" priority="365" dxfId="206">
      <formula>D73="GRILLE"</formula>
    </cfRule>
    <cfRule type="expression" priority="366" dxfId="206">
      <formula>D73="CENTREX"</formula>
    </cfRule>
    <cfRule type="expression" priority="367" dxfId="206" stopIfTrue="1">
      <formula>D65="canopy type"</formula>
    </cfRule>
    <cfRule type="expression" priority="368" dxfId="207">
      <formula>(((I65*3600)/(C73*I62))^2+20)&gt;300</formula>
    </cfRule>
    <cfRule type="expression" priority="369" dxfId="205" stopIfTrue="1">
      <formula>(ISNUMBER(SEARCH("UV",D65)))</formula>
    </cfRule>
    <cfRule type="expression" priority="370" dxfId="207">
      <formula>(((I65*3600)/(C73*I62))^2+20)&gt;180</formula>
    </cfRule>
    <cfRule type="expression" priority="371" dxfId="205">
      <formula>D73="KSA"</formula>
    </cfRule>
  </conditionalFormatting>
  <conditionalFormatting sqref="F75">
    <cfRule type="cellIs" priority="537" operator="lessThan" dxfId="204">
      <formula>2100</formula>
    </cfRule>
  </conditionalFormatting>
  <conditionalFormatting sqref="F80">
    <cfRule type="cellIs" priority="513" operator="greaterThan" dxfId="204">
      <formula>3001</formula>
    </cfRule>
  </conditionalFormatting>
  <conditionalFormatting sqref="F83">
    <cfRule type="expression" priority="442" dxfId="214">
      <formula>(C83="LED STRIP")</formula>
    </cfRule>
    <cfRule type="expression" priority="443" dxfId="215">
      <formula>(C83="LIGHT SELECTION")</formula>
    </cfRule>
    <cfRule type="expression" priority="445" dxfId="216">
      <formula>(C83="FLO")</formula>
    </cfRule>
  </conditionalFormatting>
  <conditionalFormatting sqref="F90:F91">
    <cfRule type="expression" priority="348" dxfId="206">
      <formula>D90="NF"</formula>
    </cfRule>
    <cfRule type="expression" priority="349" dxfId="208">
      <formula>D90="WW PODS"</formula>
    </cfRule>
    <cfRule type="expression" priority="350" dxfId="206">
      <formula>D90="GRILLE"</formula>
    </cfRule>
    <cfRule type="expression" priority="351" dxfId="206">
      <formula>D90="CENTREX"</formula>
    </cfRule>
    <cfRule type="expression" priority="352" dxfId="206" stopIfTrue="1">
      <formula>D82="canopy type"</formula>
    </cfRule>
    <cfRule type="expression" priority="353" dxfId="207">
      <formula>(((I82*3600)/(C90*I79))^2+20)&gt;300</formula>
    </cfRule>
    <cfRule type="expression" priority="354" dxfId="205" stopIfTrue="1">
      <formula>(ISNUMBER(SEARCH("UV",D82)))</formula>
    </cfRule>
    <cfRule type="expression" priority="355" dxfId="207">
      <formula>(((I82*3600)/(C90*I79))^2+20)&gt;180</formula>
    </cfRule>
    <cfRule type="expression" priority="356" dxfId="205">
      <formula>D90="KSA"</formula>
    </cfRule>
  </conditionalFormatting>
  <conditionalFormatting sqref="F92">
    <cfRule type="cellIs" priority="507" operator="lessThan" dxfId="204">
      <formula>2100</formula>
    </cfRule>
  </conditionalFormatting>
  <conditionalFormatting sqref="F97">
    <cfRule type="cellIs" priority="482" operator="greaterThan" dxfId="204">
      <formula>3001</formula>
    </cfRule>
  </conditionalFormatting>
  <conditionalFormatting sqref="F100">
    <cfRule type="expression" priority="438" dxfId="214">
      <formula>(C100="LED STRIP")</formula>
    </cfRule>
    <cfRule type="expression" priority="439" dxfId="215">
      <formula>(C100="LIGHT SELECTION")</formula>
    </cfRule>
    <cfRule type="expression" priority="441" dxfId="216">
      <formula>(C100="FLO")</formula>
    </cfRule>
  </conditionalFormatting>
  <conditionalFormatting sqref="F107:F108">
    <cfRule type="expression" priority="333" dxfId="206">
      <formula>D107="NF"</formula>
    </cfRule>
    <cfRule type="expression" priority="334" dxfId="208">
      <formula>D107="WW PODS"</formula>
    </cfRule>
    <cfRule type="expression" priority="335" dxfId="206">
      <formula>D107="GRILLE"</formula>
    </cfRule>
    <cfRule type="expression" priority="336" dxfId="206">
      <formula>D107="CENTREX"</formula>
    </cfRule>
    <cfRule type="expression" priority="337" dxfId="206" stopIfTrue="1">
      <formula>D99="canopy type"</formula>
    </cfRule>
    <cfRule type="expression" priority="338" dxfId="207">
      <formula>(((I99*3600)/(C107*I96))^2+20)&gt;300</formula>
    </cfRule>
    <cfRule type="expression" priority="339" dxfId="205" stopIfTrue="1">
      <formula>(ISNUMBER(SEARCH("UV",D99)))</formula>
    </cfRule>
    <cfRule type="expression" priority="340" dxfId="207">
      <formula>(((I99*3600)/(C107*I96))^2+20)&gt;180</formula>
    </cfRule>
    <cfRule type="expression" priority="341" dxfId="205">
      <formula>D107="KSA"</formula>
    </cfRule>
  </conditionalFormatting>
  <conditionalFormatting sqref="F109">
    <cfRule type="cellIs" priority="476" operator="lessThan" dxfId="204">
      <formula>2100</formula>
    </cfRule>
  </conditionalFormatting>
  <conditionalFormatting sqref="F114">
    <cfRule type="cellIs" priority="314" operator="greaterThan" dxfId="204">
      <formula>3001</formula>
    </cfRule>
  </conditionalFormatting>
  <conditionalFormatting sqref="F117">
    <cfRule type="expression" priority="292" dxfId="214">
      <formula>(C117="LED STRIP")</formula>
    </cfRule>
    <cfRule type="expression" priority="293" dxfId="215">
      <formula>(C117="LIGHT SELECTION")</formula>
    </cfRule>
    <cfRule type="expression" priority="295" dxfId="216">
      <formula>(C117="FLO")</formula>
    </cfRule>
  </conditionalFormatting>
  <conditionalFormatting sqref="F124:F125">
    <cfRule type="expression" priority="280" dxfId="206">
      <formula>D124="NF"</formula>
    </cfRule>
    <cfRule type="expression" priority="281" dxfId="208">
      <formula>D124="WW PODS"</formula>
    </cfRule>
    <cfRule type="expression" priority="282" dxfId="206">
      <formula>D124="GRILLE"</formula>
    </cfRule>
    <cfRule type="expression" priority="283" dxfId="206">
      <formula>D124="CENTREX"</formula>
    </cfRule>
    <cfRule type="expression" priority="284" dxfId="206" stopIfTrue="1">
      <formula>D116="canopy type"</formula>
    </cfRule>
    <cfRule type="expression" priority="285" dxfId="207">
      <formula>(((I116*3600)/(C124*I113))^2+20)&gt;300</formula>
    </cfRule>
    <cfRule type="expression" priority="286" dxfId="205" stopIfTrue="1">
      <formula>(ISNUMBER(SEARCH("UV",D116)))</formula>
    </cfRule>
    <cfRule type="expression" priority="287" dxfId="207">
      <formula>(((I116*3600)/(C124*I113))^2+20)&gt;180</formula>
    </cfRule>
    <cfRule type="expression" priority="288" dxfId="205">
      <formula>D124="KSA"</formula>
    </cfRule>
  </conditionalFormatting>
  <conditionalFormatting sqref="F126">
    <cfRule type="cellIs" priority="308" operator="lessThan" dxfId="204">
      <formula>2100</formula>
    </cfRule>
  </conditionalFormatting>
  <conditionalFormatting sqref="F131">
    <cfRule type="cellIs" priority="177" operator="greaterThan" dxfId="204">
      <formula>3001</formula>
    </cfRule>
  </conditionalFormatting>
  <conditionalFormatting sqref="F134">
    <cfRule type="expression" priority="123" dxfId="214">
      <formula>(C134="LED STRIP")</formula>
    </cfRule>
    <cfRule type="expression" priority="124" dxfId="215">
      <formula>(C134="LIGHT SELECTION")</formula>
    </cfRule>
    <cfRule type="expression" priority="126" dxfId="216">
      <formula>(C134="FLO")</formula>
    </cfRule>
  </conditionalFormatting>
  <conditionalFormatting sqref="F141:F142">
    <cfRule type="expression" priority="104" dxfId="206">
      <formula>D141="NF"</formula>
    </cfRule>
    <cfRule type="expression" priority="105" dxfId="208">
      <formula>D141="WW PODS"</formula>
    </cfRule>
    <cfRule type="expression" priority="106" dxfId="206">
      <formula>D141="GRILLE"</formula>
    </cfRule>
    <cfRule type="expression" priority="107" dxfId="206">
      <formula>D141="CENTREX"</formula>
    </cfRule>
    <cfRule type="expression" priority="108" dxfId="206" stopIfTrue="1">
      <formula>D133="canopy type"</formula>
    </cfRule>
    <cfRule type="expression" priority="109" dxfId="207">
      <formula>(((I133*3600)/(C141*I130))^2+20)&gt;300</formula>
    </cfRule>
    <cfRule type="expression" priority="110" dxfId="205" stopIfTrue="1">
      <formula>(ISNUMBER(SEARCH("UV",D133)))</formula>
    </cfRule>
    <cfRule type="expression" priority="111" dxfId="207">
      <formula>(((I133*3600)/(C141*I130))^2+20)&gt;180</formula>
    </cfRule>
    <cfRule type="expression" priority="112" dxfId="205">
      <formula>D141="KSA"</formula>
    </cfRule>
  </conditionalFormatting>
  <conditionalFormatting sqref="F143">
    <cfRule type="cellIs" priority="171" operator="lessThan" dxfId="204">
      <formula>2100</formula>
    </cfRule>
  </conditionalFormatting>
  <conditionalFormatting sqref="F148">
    <cfRule type="cellIs" priority="146" operator="greaterThan" dxfId="204">
      <formula>3001</formula>
    </cfRule>
  </conditionalFormatting>
  <conditionalFormatting sqref="F151">
    <cfRule type="expression" priority="119" dxfId="214">
      <formula>(C151="LED STRIP")</formula>
    </cfRule>
    <cfRule type="expression" priority="120" dxfId="215">
      <formula>(C151="LIGHT SELECTION")</formula>
    </cfRule>
    <cfRule type="expression" priority="122" dxfId="216">
      <formula>(C151="FLO")</formula>
    </cfRule>
  </conditionalFormatting>
  <conditionalFormatting sqref="F158:F159">
    <cfRule type="expression" priority="89" dxfId="206">
      <formula>D158="NF"</formula>
    </cfRule>
    <cfRule type="expression" priority="90" dxfId="208">
      <formula>D158="WW PODS"</formula>
    </cfRule>
    <cfRule type="expression" priority="91" dxfId="206">
      <formula>D158="GRILLE"</formula>
    </cfRule>
    <cfRule type="expression" priority="92" dxfId="206">
      <formula>D158="CENTREX"</formula>
    </cfRule>
    <cfRule type="expression" priority="93" dxfId="206" stopIfTrue="1">
      <formula>D150="canopy type"</formula>
    </cfRule>
    <cfRule type="expression" priority="94" dxfId="207">
      <formula>(((I150*3600)/(C158*I147))^2+20)&gt;300</formula>
    </cfRule>
    <cfRule type="expression" priority="95" dxfId="205" stopIfTrue="1">
      <formula>(ISNUMBER(SEARCH("UV",D150)))</formula>
    </cfRule>
    <cfRule type="expression" priority="96" dxfId="207">
      <formula>(((I150*3600)/(C158*I147))^2+20)&gt;180</formula>
    </cfRule>
    <cfRule type="expression" priority="97" dxfId="205">
      <formula>D158="KSA"</formula>
    </cfRule>
  </conditionalFormatting>
  <conditionalFormatting sqref="F160">
    <cfRule type="cellIs" priority="140" operator="lessThan" dxfId="204">
      <formula>2100</formula>
    </cfRule>
  </conditionalFormatting>
  <conditionalFormatting sqref="F165">
    <cfRule type="cellIs" priority="70" operator="greaterThan" dxfId="204">
      <formula>3001</formula>
    </cfRule>
  </conditionalFormatting>
  <conditionalFormatting sqref="F168">
    <cfRule type="expression" priority="48" dxfId="214">
      <formula>(C168="LED STRIP")</formula>
    </cfRule>
    <cfRule type="expression" priority="49" dxfId="215">
      <formula>(C168="LIGHT SELECTION")</formula>
    </cfRule>
    <cfRule type="expression" priority="51" dxfId="216">
      <formula>(C168="FLO")</formula>
    </cfRule>
  </conditionalFormatting>
  <conditionalFormatting sqref="F175:F176">
    <cfRule type="expression" priority="36" dxfId="206">
      <formula>D175="NF"</formula>
    </cfRule>
    <cfRule type="expression" priority="37" dxfId="208">
      <formula>D175="WW PODS"</formula>
    </cfRule>
    <cfRule type="expression" priority="38" dxfId="206">
      <formula>D175="GRILLE"</formula>
    </cfRule>
    <cfRule type="expression" priority="39" dxfId="206">
      <formula>D175="CENTREX"</formula>
    </cfRule>
    <cfRule type="expression" priority="40" dxfId="206" stopIfTrue="1">
      <formula>D167="canopy type"</formula>
    </cfRule>
    <cfRule type="expression" priority="41" dxfId="207">
      <formula>(((I167*3600)/(C175*I164))^2+20)&gt;300</formula>
    </cfRule>
    <cfRule type="expression" priority="42" dxfId="205" stopIfTrue="1">
      <formula>(ISNUMBER(SEARCH("UV",D167)))</formula>
    </cfRule>
    <cfRule type="expression" priority="43" dxfId="207">
      <formula>(((I167*3600)/(C175*I164))^2+20)&gt;180</formula>
    </cfRule>
    <cfRule type="expression" priority="44" dxfId="205">
      <formula>D175="KSA"</formula>
    </cfRule>
  </conditionalFormatting>
  <conditionalFormatting sqref="F177">
    <cfRule type="cellIs" priority="64" operator="lessThan" dxfId="204">
      <formula>2100</formula>
    </cfRule>
  </conditionalFormatting>
  <conditionalFormatting sqref="G11">
    <cfRule type="expression" priority="684" dxfId="176">
      <formula>((F14-50)/H14)&lt;950</formula>
    </cfRule>
  </conditionalFormatting>
  <conditionalFormatting sqref="G12">
    <cfRule type="expression" priority="683" dxfId="175">
      <formula>((F14-50)/H14)&lt;950</formula>
    </cfRule>
  </conditionalFormatting>
  <conditionalFormatting sqref="G14">
    <cfRule type="cellIs" priority="679" operator="lessThan" dxfId="164">
      <formula>400</formula>
    </cfRule>
  </conditionalFormatting>
  <conditionalFormatting sqref="G28">
    <cfRule type="expression" priority="626" dxfId="176">
      <formula>((F31-50)/H31)&lt;950</formula>
    </cfRule>
  </conditionalFormatting>
  <conditionalFormatting sqref="G29">
    <cfRule type="expression" priority="604" dxfId="175">
      <formula>((F31-50)/H31)&lt;950</formula>
    </cfRule>
  </conditionalFormatting>
  <conditionalFormatting sqref="G31">
    <cfRule type="cellIs" priority="600" operator="lessThan" dxfId="164">
      <formula>400</formula>
    </cfRule>
  </conditionalFormatting>
  <conditionalFormatting sqref="G45">
    <cfRule type="expression" priority="643" dxfId="176">
      <formula>((F48-50)/H48)&lt;950</formula>
    </cfRule>
  </conditionalFormatting>
  <conditionalFormatting sqref="G46">
    <cfRule type="expression" priority="573" dxfId="175">
      <formula>((F48-50)/H48)&lt;950</formula>
    </cfRule>
  </conditionalFormatting>
  <conditionalFormatting sqref="G48">
    <cfRule type="cellIs" priority="569" operator="lessThan" dxfId="164">
      <formula>400</formula>
    </cfRule>
  </conditionalFormatting>
  <conditionalFormatting sqref="G62">
    <cfRule type="expression" priority="644" dxfId="176">
      <formula>((F65-50)/H65)&lt;950</formula>
    </cfRule>
  </conditionalFormatting>
  <conditionalFormatting sqref="G63">
    <cfRule type="expression" priority="544" dxfId="175">
      <formula>((F65-50)/H65)&lt;950</formula>
    </cfRule>
  </conditionalFormatting>
  <conditionalFormatting sqref="G65">
    <cfRule type="cellIs" priority="540" operator="lessThan" dxfId="164">
      <formula>400</formula>
    </cfRule>
  </conditionalFormatting>
  <conditionalFormatting sqref="G79">
    <cfRule type="expression" priority="645" dxfId="176">
      <formula>((F82-50)/H82)&lt;950</formula>
    </cfRule>
  </conditionalFormatting>
  <conditionalFormatting sqref="G80">
    <cfRule type="expression" priority="514" dxfId="175">
      <formula>((F82-50)/H82)&lt;950</formula>
    </cfRule>
  </conditionalFormatting>
  <conditionalFormatting sqref="G82">
    <cfRule type="cellIs" priority="510" operator="lessThan" dxfId="164">
      <formula>400</formula>
    </cfRule>
  </conditionalFormatting>
  <conditionalFormatting sqref="G96">
    <cfRule type="expression" priority="653" dxfId="176">
      <formula>((F99-50)/H99)&lt;950</formula>
    </cfRule>
  </conditionalFormatting>
  <conditionalFormatting sqref="G97">
    <cfRule type="expression" priority="483" dxfId="175">
      <formula>((F99-50)/H99)&lt;950</formula>
    </cfRule>
  </conditionalFormatting>
  <conditionalFormatting sqref="G99">
    <cfRule type="cellIs" priority="479" operator="lessThan" dxfId="164">
      <formula>400</formula>
    </cfRule>
  </conditionalFormatting>
  <conditionalFormatting sqref="G113">
    <cfRule type="expression" priority="326" dxfId="176">
      <formula>((F116-50)/H116)&lt;950</formula>
    </cfRule>
  </conditionalFormatting>
  <conditionalFormatting sqref="G114">
    <cfRule type="expression" priority="315" dxfId="175">
      <formula>((F116-50)/H116)&lt;950</formula>
    </cfRule>
  </conditionalFormatting>
  <conditionalFormatting sqref="G116">
    <cfRule type="cellIs" priority="311" operator="lessThan" dxfId="164">
      <formula>400</formula>
    </cfRule>
  </conditionalFormatting>
  <conditionalFormatting sqref="G130">
    <cfRule type="expression" priority="190" dxfId="176">
      <formula>((F133-50)/H133)&lt;950</formula>
    </cfRule>
  </conditionalFormatting>
  <conditionalFormatting sqref="G131">
    <cfRule type="expression" priority="178" dxfId="175">
      <formula>((F133-50)/H133)&lt;950</formula>
    </cfRule>
  </conditionalFormatting>
  <conditionalFormatting sqref="G133">
    <cfRule type="cellIs" priority="174" operator="lessThan" dxfId="164">
      <formula>400</formula>
    </cfRule>
  </conditionalFormatting>
  <conditionalFormatting sqref="G147">
    <cfRule type="expression" priority="191" dxfId="176">
      <formula>((F150-50)/H150)&lt;950</formula>
    </cfRule>
  </conditionalFormatting>
  <conditionalFormatting sqref="G148">
    <cfRule type="expression" priority="147" dxfId="175">
      <formula>((F150-50)/H150)&lt;950</formula>
    </cfRule>
  </conditionalFormatting>
  <conditionalFormatting sqref="G150">
    <cfRule type="cellIs" priority="143" operator="lessThan" dxfId="164">
      <formula>400</formula>
    </cfRule>
  </conditionalFormatting>
  <conditionalFormatting sqref="G164">
    <cfRule type="expression" priority="82" dxfId="176">
      <formula>((F167-50)/H167)&lt;950</formula>
    </cfRule>
  </conditionalFormatting>
  <conditionalFormatting sqref="G165">
    <cfRule type="expression" priority="71" dxfId="175">
      <formula>((F167-50)/H167)&lt;950</formula>
    </cfRule>
  </conditionalFormatting>
  <conditionalFormatting sqref="G167">
    <cfRule type="cellIs" priority="67" operator="lessThan" dxfId="164">
      <formula>400</formula>
    </cfRule>
  </conditionalFormatting>
  <conditionalFormatting sqref="I14">
    <cfRule type="cellIs" priority="680" operator="lessThan" dxfId="164">
      <formula>0.1</formula>
    </cfRule>
  </conditionalFormatting>
  <conditionalFormatting sqref="I31">
    <cfRule type="cellIs" priority="601" operator="lessThan" dxfId="164">
      <formula>0.1</formula>
    </cfRule>
  </conditionalFormatting>
  <conditionalFormatting sqref="I48">
    <cfRule type="cellIs" priority="570" operator="lessThan" dxfId="164">
      <formula>0.1</formula>
    </cfRule>
  </conditionalFormatting>
  <conditionalFormatting sqref="I65">
    <cfRule type="cellIs" priority="541" operator="lessThan" dxfId="164">
      <formula>0.1</formula>
    </cfRule>
  </conditionalFormatting>
  <conditionalFormatting sqref="I82">
    <cfRule type="cellIs" priority="511" operator="lessThan" dxfId="164">
      <formula>0.1</formula>
    </cfRule>
  </conditionalFormatting>
  <conditionalFormatting sqref="I99">
    <cfRule type="cellIs" priority="480" operator="lessThan" dxfId="164">
      <formula>0.1</formula>
    </cfRule>
  </conditionalFormatting>
  <conditionalFormatting sqref="I116">
    <cfRule type="cellIs" priority="312" operator="lessThan" dxfId="164">
      <formula>0.1</formula>
    </cfRule>
  </conditionalFormatting>
  <conditionalFormatting sqref="I133">
    <cfRule type="cellIs" priority="175" operator="lessThan" dxfId="164">
      <formula>0.1</formula>
    </cfRule>
  </conditionalFormatting>
  <conditionalFormatting sqref="I150">
    <cfRule type="cellIs" priority="144" operator="lessThan" dxfId="164">
      <formula>0.1</formula>
    </cfRule>
  </conditionalFormatting>
  <conditionalFormatting sqref="I167">
    <cfRule type="cellIs" priority="68" operator="lessThan" dxfId="164">
      <formula>0.1</formula>
    </cfRule>
  </conditionalFormatting>
  <conditionalFormatting sqref="J14:J27">
    <cfRule type="cellIs" priority="404" operator="greaterThan" dxfId="153">
      <formula>0</formula>
    </cfRule>
  </conditionalFormatting>
  <conditionalFormatting sqref="J31:J44">
    <cfRule type="cellIs" priority="261" operator="greaterThan" dxfId="153">
      <formula>0</formula>
    </cfRule>
  </conditionalFormatting>
  <conditionalFormatting sqref="J48:J61">
    <cfRule type="cellIs" priority="250" operator="greaterThan" dxfId="153">
      <formula>0</formula>
    </cfRule>
  </conditionalFormatting>
  <conditionalFormatting sqref="J65:J78">
    <cfRule type="cellIs" priority="239" operator="greaterThan" dxfId="153">
      <formula>0</formula>
    </cfRule>
  </conditionalFormatting>
  <conditionalFormatting sqref="J82:J95">
    <cfRule type="cellIs" priority="228" operator="greaterThan" dxfId="153">
      <formula>0</formula>
    </cfRule>
  </conditionalFormatting>
  <conditionalFormatting sqref="J99:J112">
    <cfRule type="cellIs" priority="217" operator="greaterThan" dxfId="153">
      <formula>0</formula>
    </cfRule>
  </conditionalFormatting>
  <conditionalFormatting sqref="J116:J129 J167:J180">
    <cfRule type="cellIs" priority="206" operator="greaterThan" dxfId="153">
      <formula>0</formula>
    </cfRule>
  </conditionalFormatting>
  <conditionalFormatting sqref="J133:J146">
    <cfRule type="cellIs" priority="19" operator="greaterThan" dxfId="153">
      <formula>0</formula>
    </cfRule>
  </conditionalFormatting>
  <conditionalFormatting sqref="J150:J163">
    <cfRule type="cellIs" priority="8" operator="greaterThan" dxfId="153">
      <formula>0</formula>
    </cfRule>
  </conditionalFormatting>
  <conditionalFormatting sqref="J183:J197">
    <cfRule type="expression" priority="654" dxfId="153">
      <formula>C183&gt;0</formula>
    </cfRule>
  </conditionalFormatting>
  <conditionalFormatting sqref="J199">
    <cfRule type="expression" priority="659" dxfId="2">
      <formula>#REF!="EURO"</formula>
    </cfRule>
  </conditionalFormatting>
  <conditionalFormatting sqref="K14:K27">
    <cfRule type="cellIs" priority="418" operator="greaterThan" dxfId="141">
      <formula>0</formula>
    </cfRule>
  </conditionalFormatting>
  <conditionalFormatting sqref="K31:K44">
    <cfRule type="cellIs" priority="262" operator="greaterThan" dxfId="141">
      <formula>0</formula>
    </cfRule>
  </conditionalFormatting>
  <conditionalFormatting sqref="K48:K61">
    <cfRule type="cellIs" priority="251" operator="greaterThan" dxfId="141">
      <formula>0</formula>
    </cfRule>
  </conditionalFormatting>
  <conditionalFormatting sqref="K65:K78">
    <cfRule type="cellIs" priority="240" operator="greaterThan" dxfId="141">
      <formula>0</formula>
    </cfRule>
  </conditionalFormatting>
  <conditionalFormatting sqref="K82:K95">
    <cfRule type="cellIs" priority="229" operator="greaterThan" dxfId="141">
      <formula>0</formula>
    </cfRule>
  </conditionalFormatting>
  <conditionalFormatting sqref="K99:K112">
    <cfRule type="cellIs" priority="218" operator="greaterThan" dxfId="141">
      <formula>0</formula>
    </cfRule>
  </conditionalFormatting>
  <conditionalFormatting sqref="K116:K129 K167:K180">
    <cfRule type="cellIs" priority="207" operator="greaterThan" dxfId="141">
      <formula>0</formula>
    </cfRule>
  </conditionalFormatting>
  <conditionalFormatting sqref="K133:K146">
    <cfRule type="cellIs" priority="20" operator="greaterThan" dxfId="141">
      <formula>0</formula>
    </cfRule>
  </conditionalFormatting>
  <conditionalFormatting sqref="K150:K163">
    <cfRule type="cellIs" priority="9" operator="greaterThan" dxfId="141">
      <formula>0</formula>
    </cfRule>
  </conditionalFormatting>
  <conditionalFormatting sqref="K183:K197">
    <cfRule type="cellIs" priority="661" operator="greaterThan" dxfId="141">
      <formula>0</formula>
    </cfRule>
  </conditionalFormatting>
  <conditionalFormatting sqref="K199">
    <cfRule type="expression" priority="655" dxfId="4">
      <formula>$B$9="PLN"</formula>
    </cfRule>
    <cfRule type="expression" priority="656" dxfId="0">
      <formula>$B$9="CZK"</formula>
    </cfRule>
    <cfRule type="expression" priority="657" dxfId="3">
      <formula>$B$9="USD"</formula>
    </cfRule>
    <cfRule type="expression" priority="658" dxfId="2">
      <formula>$B$9="EURO"</formula>
    </cfRule>
  </conditionalFormatting>
  <conditionalFormatting sqref="L14:L27">
    <cfRule type="expression" priority="415" dxfId="116">
      <formula>$C$9&lt;0</formula>
    </cfRule>
    <cfRule type="expression" priority="416" dxfId="115">
      <formula>$C$9&gt;0</formula>
    </cfRule>
  </conditionalFormatting>
  <conditionalFormatting sqref="L31:L44">
    <cfRule type="expression" priority="204" dxfId="116">
      <formula>$C$9&lt;0</formula>
    </cfRule>
    <cfRule type="expression" priority="205" dxfId="115">
      <formula>$C$9&gt;0</formula>
    </cfRule>
  </conditionalFormatting>
  <conditionalFormatting sqref="L48:L61">
    <cfRule type="expression" priority="202" dxfId="116">
      <formula>$C$9&lt;0</formula>
    </cfRule>
    <cfRule type="expression" priority="203" dxfId="115">
      <formula>$C$9&gt;0</formula>
    </cfRule>
  </conditionalFormatting>
  <conditionalFormatting sqref="L65:L78">
    <cfRule type="expression" priority="200" dxfId="116">
      <formula>$C$9&lt;0</formula>
    </cfRule>
    <cfRule type="expression" priority="201" dxfId="115">
      <formula>$C$9&gt;0</formula>
    </cfRule>
  </conditionalFormatting>
  <conditionalFormatting sqref="L82:L95">
    <cfRule type="expression" priority="198" dxfId="116">
      <formula>$C$9&lt;0</formula>
    </cfRule>
    <cfRule type="expression" priority="199" dxfId="115">
      <formula>$C$9&gt;0</formula>
    </cfRule>
  </conditionalFormatting>
  <conditionalFormatting sqref="L99:L112">
    <cfRule type="expression" priority="196" dxfId="116">
      <formula>$C$9&lt;0</formula>
    </cfRule>
    <cfRule type="expression" priority="197" dxfId="115">
      <formula>$C$9&gt;0</formula>
    </cfRule>
  </conditionalFormatting>
  <conditionalFormatting sqref="L116:L129 L167:L180">
    <cfRule type="expression" priority="194" dxfId="116">
      <formula>$C$9&lt;0</formula>
    </cfRule>
    <cfRule type="expression" priority="195" dxfId="115">
      <formula>$C$9&gt;0</formula>
    </cfRule>
  </conditionalFormatting>
  <conditionalFormatting sqref="L133:L146">
    <cfRule type="expression" priority="3" dxfId="116">
      <formula>$C$9&lt;0</formula>
    </cfRule>
    <cfRule type="expression" priority="4" dxfId="115">
      <formula>$C$9&gt;0</formula>
    </cfRule>
  </conditionalFormatting>
  <conditionalFormatting sqref="L150:L163">
    <cfRule type="expression" priority="1" dxfId="116">
      <formula>$C$9&lt;0</formula>
    </cfRule>
    <cfRule type="expression" priority="2" dxfId="115">
      <formula>$C$9&gt;0</formula>
    </cfRule>
  </conditionalFormatting>
  <conditionalFormatting sqref="L183:L197">
    <cfRule type="expression" priority="192" dxfId="116">
      <formula>$C$9&lt;0</formula>
    </cfRule>
    <cfRule type="expression" priority="193" dxfId="115">
      <formula>$C$9&gt;0</formula>
    </cfRule>
  </conditionalFormatting>
  <conditionalFormatting sqref="N9 N12">
    <cfRule type="expression" priority="691" dxfId="4">
      <formula>$B$9="PLN"</formula>
    </cfRule>
    <cfRule type="expression" priority="692" dxfId="0">
      <formula>$B$9="CZK"</formula>
    </cfRule>
    <cfRule type="expression" priority="693" dxfId="3">
      <formula>$B$9="USD"</formula>
    </cfRule>
    <cfRule type="expression" priority="694" dxfId="2">
      <formula>$B$9="EURO"</formula>
    </cfRule>
  </conditionalFormatting>
  <conditionalFormatting sqref="N14:N27">
    <cfRule type="cellIs" priority="630" operator="greaterThan" dxfId="1">
      <formula>0</formula>
    </cfRule>
    <cfRule type="expression" priority="631" dxfId="2">
      <formula>$B$9="EURO"</formula>
    </cfRule>
    <cfRule type="expression" priority="632" dxfId="3">
      <formula>$B$9="USD"</formula>
    </cfRule>
    <cfRule type="expression" priority="633" dxfId="4">
      <formula>$B$9="PLN"</formula>
    </cfRule>
    <cfRule type="expression" priority="634" dxfId="0">
      <formula>$B$9="CZK"</formula>
    </cfRule>
  </conditionalFormatting>
  <conditionalFormatting sqref="N29">
    <cfRule type="expression" priority="610" dxfId="4">
      <formula>$B$9="PLN"</formula>
    </cfRule>
    <cfRule type="expression" priority="611" dxfId="0">
      <formula>$B$9="CZK"</formula>
    </cfRule>
    <cfRule type="expression" priority="612" dxfId="3">
      <formula>$B$9="USD"</formula>
    </cfRule>
    <cfRule type="expression" priority="613" dxfId="2">
      <formula>$B$9="EURO"</formula>
    </cfRule>
  </conditionalFormatting>
  <conditionalFormatting sqref="N31:N44">
    <cfRule type="cellIs" priority="265" operator="greaterThan" dxfId="1">
      <formula>0</formula>
    </cfRule>
    <cfRule type="expression" priority="266" dxfId="2">
      <formula>$B$9="EURO"</formula>
    </cfRule>
    <cfRule type="expression" priority="267" dxfId="3">
      <formula>$B$9="USD"</formula>
    </cfRule>
    <cfRule type="expression" priority="268" dxfId="4">
      <formula>$B$9="PLN"</formula>
    </cfRule>
    <cfRule type="expression" priority="269" dxfId="0">
      <formula>$B$9="CZK"</formula>
    </cfRule>
  </conditionalFormatting>
  <conditionalFormatting sqref="N46">
    <cfRule type="expression" priority="579" dxfId="4">
      <formula>$B$9="PLN"</formula>
    </cfRule>
    <cfRule type="expression" priority="580" dxfId="0">
      <formula>$B$9="CZK"</formula>
    </cfRule>
    <cfRule type="expression" priority="581" dxfId="3">
      <formula>$B$9="USD"</formula>
    </cfRule>
    <cfRule type="expression" priority="582" dxfId="2">
      <formula>$B$9="EURO"</formula>
    </cfRule>
  </conditionalFormatting>
  <conditionalFormatting sqref="N48:N61">
    <cfRule type="cellIs" priority="254" operator="greaterThan" dxfId="1">
      <formula>0</formula>
    </cfRule>
    <cfRule type="expression" priority="255" dxfId="2">
      <formula>$B$9="EURO"</formula>
    </cfRule>
    <cfRule type="expression" priority="256" dxfId="3">
      <formula>$B$9="USD"</formula>
    </cfRule>
    <cfRule type="expression" priority="257" dxfId="4">
      <formula>$B$9="PLN"</formula>
    </cfRule>
    <cfRule type="expression" priority="258" dxfId="0">
      <formula>$B$9="CZK"</formula>
    </cfRule>
  </conditionalFormatting>
  <conditionalFormatting sqref="N63">
    <cfRule type="expression" priority="550" dxfId="4">
      <formula>$B$9="PLN"</formula>
    </cfRule>
    <cfRule type="expression" priority="551" dxfId="0">
      <formula>$B$9="CZK"</formula>
    </cfRule>
    <cfRule type="expression" priority="552" dxfId="3">
      <formula>$B$9="USD"</formula>
    </cfRule>
    <cfRule type="expression" priority="553" dxfId="2">
      <formula>$B$9="EURO"</formula>
    </cfRule>
  </conditionalFormatting>
  <conditionalFormatting sqref="N65:N78">
    <cfRule type="cellIs" priority="243" operator="greaterThan" dxfId="1">
      <formula>0</formula>
    </cfRule>
    <cfRule type="expression" priority="244" dxfId="2">
      <formula>$B$9="EURO"</formula>
    </cfRule>
    <cfRule type="expression" priority="245" dxfId="3">
      <formula>$B$9="USD"</formula>
    </cfRule>
    <cfRule type="expression" priority="246" dxfId="4">
      <formula>$B$9="PLN"</formula>
    </cfRule>
    <cfRule type="expression" priority="247" dxfId="0">
      <formula>$B$9="CZK"</formula>
    </cfRule>
  </conditionalFormatting>
  <conditionalFormatting sqref="N80">
    <cfRule type="expression" priority="520" dxfId="4">
      <formula>$B$9="PLN"</formula>
    </cfRule>
    <cfRule type="expression" priority="521" dxfId="0">
      <formula>$B$9="CZK"</formula>
    </cfRule>
    <cfRule type="expression" priority="522" dxfId="3">
      <formula>$B$9="USD"</formula>
    </cfRule>
    <cfRule type="expression" priority="523" dxfId="2">
      <formula>$B$9="EURO"</formula>
    </cfRule>
  </conditionalFormatting>
  <conditionalFormatting sqref="N82:N95">
    <cfRule type="cellIs" priority="232" operator="greaterThan" dxfId="1">
      <formula>0</formula>
    </cfRule>
    <cfRule type="expression" priority="233" dxfId="2">
      <formula>$B$9="EURO"</formula>
    </cfRule>
    <cfRule type="expression" priority="234" dxfId="3">
      <formula>$B$9="USD"</formula>
    </cfRule>
    <cfRule type="expression" priority="235" dxfId="4">
      <formula>$B$9="PLN"</formula>
    </cfRule>
    <cfRule type="expression" priority="236" dxfId="0">
      <formula>$B$9="CZK"</formula>
    </cfRule>
  </conditionalFormatting>
  <conditionalFormatting sqref="N97">
    <cfRule type="expression" priority="489" dxfId="4">
      <formula>$B$9="PLN"</formula>
    </cfRule>
    <cfRule type="expression" priority="490" dxfId="0">
      <formula>$B$9="CZK"</formula>
    </cfRule>
    <cfRule type="expression" priority="491" dxfId="3">
      <formula>$B$9="USD"</formula>
    </cfRule>
    <cfRule type="expression" priority="492" dxfId="2">
      <formula>$B$9="EURO"</formula>
    </cfRule>
  </conditionalFormatting>
  <conditionalFormatting sqref="N99:N112">
    <cfRule type="cellIs" priority="221" operator="greaterThan" dxfId="1">
      <formula>0</formula>
    </cfRule>
    <cfRule type="expression" priority="222" dxfId="2">
      <formula>$B$9="EURO"</formula>
    </cfRule>
    <cfRule type="expression" priority="223" dxfId="3">
      <formula>$B$9="USD"</formula>
    </cfRule>
    <cfRule type="expression" priority="224" dxfId="4">
      <formula>$B$9="PLN"</formula>
    </cfRule>
    <cfRule type="expression" priority="225" dxfId="0">
      <formula>$B$9="CZK"</formula>
    </cfRule>
  </conditionalFormatting>
  <conditionalFormatting sqref="N114">
    <cfRule type="expression" priority="321" dxfId="4">
      <formula>$B$9="PLN"</formula>
    </cfRule>
    <cfRule type="expression" priority="322" dxfId="0">
      <formula>$B$9="CZK"</formula>
    </cfRule>
    <cfRule type="expression" priority="323" dxfId="3">
      <formula>$B$9="USD"</formula>
    </cfRule>
    <cfRule type="expression" priority="324" dxfId="2">
      <formula>$B$9="EURO"</formula>
    </cfRule>
  </conditionalFormatting>
  <conditionalFormatting sqref="N116:N129 N167:N180">
    <cfRule type="cellIs" priority="210" operator="greaterThan" dxfId="1">
      <formula>0</formula>
    </cfRule>
    <cfRule type="expression" priority="211" dxfId="2">
      <formula>$B$9="EURO"</formula>
    </cfRule>
    <cfRule type="expression" priority="212" dxfId="3">
      <formula>$B$9="USD"</formula>
    </cfRule>
    <cfRule type="expression" priority="213" dxfId="4">
      <formula>$B$9="PLN"</formula>
    </cfRule>
    <cfRule type="expression" priority="214" dxfId="0">
      <formula>$B$9="CZK"</formula>
    </cfRule>
  </conditionalFormatting>
  <conditionalFormatting sqref="N131">
    <cfRule type="expression" priority="184" dxfId="4">
      <formula>$B$9="PLN"</formula>
    </cfRule>
    <cfRule type="expression" priority="185" dxfId="0">
      <formula>$B$9="CZK"</formula>
    </cfRule>
    <cfRule type="expression" priority="186" dxfId="3">
      <formula>$B$9="USD"</formula>
    </cfRule>
    <cfRule type="expression" priority="187" dxfId="2">
      <formula>$B$9="EURO"</formula>
    </cfRule>
  </conditionalFormatting>
  <conditionalFormatting sqref="N133:N146">
    <cfRule type="cellIs" priority="23" operator="greaterThan" dxfId="1">
      <formula>0</formula>
    </cfRule>
    <cfRule type="expression" priority="24" dxfId="2">
      <formula>$B$9="EURO"</formula>
    </cfRule>
    <cfRule type="expression" priority="25" dxfId="3">
      <formula>$B$9="USD"</formula>
    </cfRule>
    <cfRule type="expression" priority="26" dxfId="4">
      <formula>$B$9="PLN"</formula>
    </cfRule>
    <cfRule type="expression" priority="27" dxfId="0">
      <formula>$B$9="CZK"</formula>
    </cfRule>
  </conditionalFormatting>
  <conditionalFormatting sqref="N148">
    <cfRule type="expression" priority="153" dxfId="4">
      <formula>$B$9="PLN"</formula>
    </cfRule>
    <cfRule type="expression" priority="154" dxfId="0">
      <formula>$B$9="CZK"</formula>
    </cfRule>
    <cfRule type="expression" priority="155" dxfId="3">
      <formula>$B$9="USD"</formula>
    </cfRule>
    <cfRule type="expression" priority="156" dxfId="2">
      <formula>$B$9="EURO"</formula>
    </cfRule>
  </conditionalFormatting>
  <conditionalFormatting sqref="N150:N163">
    <cfRule type="cellIs" priority="12" operator="greaterThan" dxfId="1">
      <formula>0</formula>
    </cfRule>
    <cfRule type="expression" priority="13" dxfId="2">
      <formula>$B$9="EURO"</formula>
    </cfRule>
    <cfRule type="expression" priority="14" dxfId="3">
      <formula>$B$9="USD"</formula>
    </cfRule>
    <cfRule type="expression" priority="15" dxfId="4">
      <formula>$B$9="PLN"</formula>
    </cfRule>
    <cfRule type="expression" priority="16" dxfId="0">
      <formula>$B$9="CZK"</formula>
    </cfRule>
  </conditionalFormatting>
  <conditionalFormatting sqref="N165">
    <cfRule type="expression" priority="77" dxfId="4">
      <formula>$B$9="PLN"</formula>
    </cfRule>
    <cfRule type="expression" priority="78" dxfId="0">
      <formula>$B$9="CZK"</formula>
    </cfRule>
    <cfRule type="expression" priority="79" dxfId="3">
      <formula>$B$9="USD"</formula>
    </cfRule>
    <cfRule type="expression" priority="80" dxfId="2">
      <formula>$B$9="EURO"</formula>
    </cfRule>
  </conditionalFormatting>
  <conditionalFormatting sqref="N183:N197">
    <cfRule type="cellIs" priority="638" operator="greaterThan" dxfId="1">
      <formula>0</formula>
    </cfRule>
    <cfRule type="expression" priority="639" dxfId="2">
      <formula>$B$9="EURO"</formula>
    </cfRule>
    <cfRule type="expression" priority="640" dxfId="3">
      <formula>$B$9="USD"</formula>
    </cfRule>
    <cfRule type="expression" priority="641" dxfId="4">
      <formula>$B$9="PLN"</formula>
    </cfRule>
    <cfRule type="expression" priority="642" dxfId="0">
      <formula>$B$9="CZK"</formula>
    </cfRule>
  </conditionalFormatting>
  <conditionalFormatting sqref="N182:O182">
    <cfRule type="expression" priority="646" dxfId="4">
      <formula>$B$9="PLN"</formula>
    </cfRule>
    <cfRule type="expression" priority="647" dxfId="0">
      <formula>$B$9="CZK"</formula>
    </cfRule>
    <cfRule type="expression" priority="648" dxfId="3">
      <formula>$B$9="USD"</formula>
    </cfRule>
    <cfRule type="expression" priority="649" dxfId="2">
      <formula>$B$9="EURO"</formula>
    </cfRule>
  </conditionalFormatting>
  <conditionalFormatting sqref="O14:O27">
    <cfRule type="cellIs" priority="635" operator="greaterThan" dxfId="5">
      <formula>0</formula>
    </cfRule>
  </conditionalFormatting>
  <conditionalFormatting sqref="O31:O44">
    <cfRule type="cellIs" priority="270" operator="greaterThan" dxfId="5">
      <formula>0</formula>
    </cfRule>
  </conditionalFormatting>
  <conditionalFormatting sqref="O48:O61">
    <cfRule type="cellIs" priority="259" operator="greaterThan" dxfId="5">
      <formula>0</formula>
    </cfRule>
  </conditionalFormatting>
  <conditionalFormatting sqref="O65:O78">
    <cfRule type="cellIs" priority="248" operator="greaterThan" dxfId="5">
      <formula>0</formula>
    </cfRule>
  </conditionalFormatting>
  <conditionalFormatting sqref="O82:O95">
    <cfRule type="cellIs" priority="237" operator="greaterThan" dxfId="5">
      <formula>0</formula>
    </cfRule>
  </conditionalFormatting>
  <conditionalFormatting sqref="O99:O112">
    <cfRule type="cellIs" priority="226" operator="greaterThan" dxfId="5">
      <formula>0</formula>
    </cfRule>
  </conditionalFormatting>
  <conditionalFormatting sqref="O116:O129 O167:O180">
    <cfRule type="cellIs" priority="215" operator="greaterThan" dxfId="5">
      <formula>0</formula>
    </cfRule>
  </conditionalFormatting>
  <conditionalFormatting sqref="O133:O146">
    <cfRule type="cellIs" priority="28" operator="greaterThan" dxfId="5">
      <formula>0</formula>
    </cfRule>
  </conditionalFormatting>
  <conditionalFormatting sqref="O150:O163">
    <cfRule type="cellIs" priority="17" operator="greaterThan" dxfId="5">
      <formula>0</formula>
    </cfRule>
  </conditionalFormatting>
  <conditionalFormatting sqref="O183:O197">
    <cfRule type="cellIs" priority="660" operator="greaterThan" dxfId="5">
      <formula>0</formula>
    </cfRule>
  </conditionalFormatting>
  <conditionalFormatting sqref="Q16">
    <cfRule type="cellIs" priority="405" operator="greaterThan" dxfId="1">
      <formula>0</formula>
    </cfRule>
    <cfRule type="expression" priority="406" dxfId="2">
      <formula>$B$9="EURO"</formula>
    </cfRule>
    <cfRule type="expression" priority="407" dxfId="3">
      <formula>$B$9="USD"</formula>
    </cfRule>
    <cfRule type="expression" priority="408" dxfId="4">
      <formula>$B$9="PLN"</formula>
    </cfRule>
    <cfRule type="expression" priority="409" dxfId="0">
      <formula>$B$9="CZK"</formula>
    </cfRule>
  </conditionalFormatting>
  <dataValidations count="7">
    <dataValidation sqref="D26 D43 D60 D77 D94 D111 D128 D145 D162 D179" showDropDown="0" showInputMessage="1" showErrorMessage="1" allowBlank="1" type="list">
      <formula1>"0,1,2,3,4,5,6,7,8,9,10"</formula1>
    </dataValidation>
    <dataValidation sqref="G181" showDropDown="0" showInputMessage="1" showErrorMessage="1" allowBlank="1" type="list">
      <formula1>#REF!</formula1>
    </dataValidation>
    <dataValidation sqref="C14 C31 C48 C65 C82 C99 C116 C133 C150 C167" showDropDown="0" showInputMessage="1" showErrorMessage="1" allowBlank="1" type="list">
      <formula1>"WALL, ISLAND"</formula1>
    </dataValidation>
    <dataValidation sqref="E14 E31 E48 E65 E82 E99 E116 E133 E150 E167" showDropDown="0" showInputMessage="1" showErrorMessage="1" allowBlank="1" operator="greaterThan"/>
    <dataValidation sqref="C20:C21 C37:C38 C54:C55 C71:C72 C88:C89 C105:C106 C122:C123 C139:C140 C156:C157 C173:C174 I16 I33 I50 I67 I84 I101 I118 I135 I152 I169" showDropDown="0" showInputMessage="1" showErrorMessage="1" allowBlank="1" type="list">
      <formula1>"0,1,2,3,4,5,6,7,8,9,10,11,12,13,14,15,16,17,18,19,20"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7 C44 C61 C78 C95 C112 C129 C146 C163 C180" showDropDown="0" showInputMessage="1" showErrorMessage="1" allowBlank="1" type="list">
      <formula1>"0,0.5,1,1.5,2,2.5,3,3.5,4,4.5,5"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2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 codeName="Sheet41">
    <tabColor theme="8" tint="0.7999816888943144"/>
    <outlinePr summaryBelow="1" summaryRight="1"/>
    <pageSetUpPr fitToPage="1"/>
  </sheetPr>
  <dimension ref="A1:Z310"/>
  <sheetViews>
    <sheetView showGridLines="0" topLeftCell="A15" zoomScale="80" zoomScaleNormal="80" zoomScaleSheetLayoutView="50" workbookViewId="0">
      <selection activeCell="G21" sqref="G21"/>
    </sheetView>
  </sheetViews>
  <sheetFormatPr baseColWidth="10" defaultColWidth="8.83203125" defaultRowHeight="15" customHeight="1" outlineLevelRow="1"/>
  <cols>
    <col width="2" customWidth="1" style="666" min="1" max="1"/>
    <col width="32.33203125" customWidth="1" style="1095" min="2" max="2"/>
    <col width="25.83203125" bestFit="1" customWidth="1" style="1095" min="3" max="3"/>
    <col width="27.1640625" customWidth="1" style="1095" min="4" max="4"/>
    <col width="24.83203125" customWidth="1" style="1095" min="5" max="5"/>
    <col width="18.83203125" customWidth="1" style="1095" min="6" max="6"/>
    <col width="20.33203125" customWidth="1" style="1095" min="7" max="7"/>
    <col width="9.33203125" bestFit="1" customWidth="1" style="1096" min="8" max="8"/>
    <col width="11.83203125" customWidth="1" style="1096" min="9" max="9"/>
    <col width="14.83203125" bestFit="1" customWidth="1" style="1097" min="10" max="10"/>
    <col width="17.5" customWidth="1" style="1098" min="11" max="11"/>
    <col width="7.6640625" bestFit="1" customWidth="1" style="1098" min="12" max="12"/>
    <col hidden="1" width="15.5" customWidth="1" style="1099" min="13" max="13"/>
    <col width="13.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8"/>
    <col width="8.83203125" customWidth="1" style="1095" min="99" max="16384"/>
  </cols>
  <sheetData>
    <row r="1" ht="15" customHeight="1" s="1085">
      <c r="B1" s="1116" t="inlineStr">
        <is>
          <t>F24 - 19  CANOPY COST SHEET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>
        <f>IF(CANOPY!C3="","",CANOPY!C3)</f>
        <v/>
      </c>
      <c r="F3" s="690" t="inlineStr">
        <is>
          <t>Project Name</t>
        </is>
      </c>
      <c r="G3" s="1071">
        <f>IF(CANOPY!G3="","",CANOPY!G3)</f>
        <v/>
      </c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>
        <f>IF(CANOPY!C5="","",CANOPY!C5)</f>
        <v/>
      </c>
      <c r="F5" s="690" t="inlineStr">
        <is>
          <t>Location</t>
        </is>
      </c>
      <c r="G5" s="1071">
        <f>IF(CANOPY!G5="","",CANOPY!G5)</f>
        <v/>
      </c>
      <c r="M5" s="684" t="n"/>
      <c r="N5" s="685" t="n"/>
      <c r="P5" s="694" t="n"/>
      <c r="R5" s="687" t="n"/>
      <c r="S5" s="688" t="n"/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>
        <f>IF(CANOPY!C7="","",CANOPY!C7)</f>
        <v/>
      </c>
      <c r="F7" s="690" t="inlineStr">
        <is>
          <t>Date</t>
        </is>
      </c>
      <c r="G7" s="1075">
        <f>IF(CANOPY!G7="","",CANOPY!G7)</f>
        <v/>
      </c>
      <c r="N7" s="699" t="inlineStr">
        <is>
          <t>Revision No</t>
        </is>
      </c>
      <c r="O7" s="1141">
        <f>IF(CANOPY!O7="","",CANOPY!O7)</f>
        <v/>
      </c>
      <c r="P7" s="694" t="n"/>
      <c r="R7" s="687" t="n"/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P8" s="694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52" t="n">
        <v>0</v>
      </c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9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 xml:space="preserve">ITEM  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95" t="n"/>
      <c r="Q12" s="1095" t="n"/>
      <c r="R12" s="1095" t="n"/>
      <c r="S12" s="713" t="n"/>
      <c r="T12" s="1095" t="n"/>
      <c r="X12" s="1095" t="n"/>
      <c r="Y12" s="1095" t="n"/>
      <c r="Z12" s="1095" t="n"/>
    </row>
    <row r="13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CANOPY TYPE</t>
        </is>
      </c>
      <c r="E14" s="734" t="n"/>
      <c r="F14" s="734" t="n"/>
      <c r="G14" s="734" t="n"/>
      <c r="H14" s="735" t="n"/>
      <c r="I14" s="734" t="n"/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LIGHT SELECTION</t>
        </is>
      </c>
      <c r="D15" s="741" t="n"/>
      <c r="E15" s="848" t="n"/>
      <c r="F15" s="743" t="n"/>
      <c r="G15" s="744" t="n"/>
      <c r="H15" s="668" t="n"/>
      <c r="I15" s="668" t="n"/>
      <c r="J15" s="736">
        <f>IF(ISNA(C12),0,IF(D15=0,0,IF(C15="FLO",VLOOKUP(E15,'Base Costs'!$M$4:$N$12,2,FALSE),IF(C15="LED STRIP",VLOOKUP(E15,'Base Costs'!$M$4:$N$12,2,FALSE),(VLOOKUP(C15,'Base Costs'!$M$4:$N$12,2,FALSE))))))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outlineLevel="1" ht="15" customHeight="1" s="1085">
      <c r="A16" s="666" t="n">
        <v>234</v>
      </c>
      <c r="B16" s="269" t="inlineStr">
        <is>
          <t xml:space="preserve">FIRE SUPPRESSION </t>
        </is>
      </c>
      <c r="C16" s="953" t="inlineStr">
        <is>
          <t>FIRE SUPPRESSION</t>
        </is>
      </c>
      <c r="D16" s="746" t="n"/>
      <c r="E16" s="1103" t="n"/>
      <c r="F16" s="748" t="n"/>
      <c r="G16" s="749" t="n"/>
      <c r="H16" s="750" t="n"/>
      <c r="I16" s="751" t="n">
        <v>1</v>
      </c>
      <c r="J16" s="736">
        <f>VLOOKUP(C16,'Base Costs'!$U$4:$V$41,2,FALSE)</f>
        <v/>
      </c>
      <c r="K16" s="737">
        <f>J16*1</f>
        <v/>
      </c>
      <c r="L16" s="738" t="n">
        <v>0.25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outlineLevel="1" ht="15" customHeight="1" s="1085">
      <c r="B17" s="269" t="inlineStr">
        <is>
          <t>TANK INSTALL</t>
        </is>
      </c>
      <c r="C17" s="953" t="inlineStr">
        <is>
          <t>TANK INSTALL</t>
        </is>
      </c>
      <c r="D17" s="966" t="n">
        <v>1</v>
      </c>
      <c r="E17" s="753" t="n"/>
      <c r="F17" s="754" t="n"/>
      <c r="G17" s="749" t="n"/>
      <c r="H17" s="750" t="n"/>
      <c r="I17" s="755" t="n"/>
      <c r="J17" s="736">
        <f>VLOOKUP(C17,'Base Costs'!$U$44:$V$56,2,FALSE)</f>
        <v/>
      </c>
      <c r="K17" s="737">
        <f>J17*D17</f>
        <v/>
      </c>
      <c r="L17" s="738" t="n">
        <v>0.35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outlineLevel="1" ht="15" customHeight="1" s="1085">
      <c r="B18" s="269" t="inlineStr">
        <is>
          <t>SPECIAL WORKS</t>
        </is>
      </c>
      <c r="C18" s="752" t="inlineStr">
        <is>
          <t>SELECT WORKS</t>
        </is>
      </c>
      <c r="D18" s="735" t="n"/>
      <c r="E18" s="753">
        <f>IF(C18="","",VLOOKUP(C18,CCBASE!$A$53:$D$73,4,FALSE))</f>
        <v/>
      </c>
      <c r="F18" s="754" t="n"/>
      <c r="G18" s="749" t="n"/>
      <c r="H18" s="750" t="n"/>
      <c r="I18" s="755" t="n"/>
      <c r="J18" s="736">
        <f>IF(C18="",0,VLOOKUP(C18,CCBASE!$A$53:$C$73,2,FALSE))</f>
        <v/>
      </c>
      <c r="K18" s="737">
        <f>J18*D18</f>
        <v/>
      </c>
      <c r="L18" s="738" t="n">
        <v>0.44</v>
      </c>
      <c r="M18" s="739">
        <f>K18/(1-L18)*(1+$C$9)</f>
        <v/>
      </c>
      <c r="N18" s="737">
        <f>M18*VLOOKUP($B$9,'Base Costs'!$A$32:$B$37,2,FALSE)</f>
        <v/>
      </c>
      <c r="O18" s="740">
        <f>M18-K18</f>
        <v/>
      </c>
      <c r="S18" s="694" t="n"/>
      <c r="Y18" s="1095" t="n"/>
    </row>
    <row r="19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SELECT CLADDING</t>
        </is>
      </c>
      <c r="D19" s="756">
        <f>ROUNDUP($F14/1000,0)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S19" s="694" t="n"/>
      <c r="Y19" s="1095" t="n"/>
    </row>
    <row r="20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S22" s="694" t="n"/>
      <c r="Y22" s="1095" t="n"/>
    </row>
    <row r="23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 t="n"/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>ITEM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95" t="n"/>
      <c r="Q29" s="1095" t="n"/>
      <c r="R29" s="1095" t="n"/>
      <c r="S29" s="713" t="n"/>
      <c r="T29" s="1095" t="n"/>
      <c r="X29" s="1095" t="n"/>
      <c r="Y29" s="1095" t="n"/>
      <c r="Z29" s="1095" t="n"/>
    </row>
    <row r="30" hidden="1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hidden="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hidden="1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hidden="1" outlineLevel="1" ht="15" customHeight="1" s="1085">
      <c r="A33" s="666" t="n">
        <v>234</v>
      </c>
      <c r="B33" s="269" t="inlineStr">
        <is>
          <t>FIRE SUPPRESSION</t>
        </is>
      </c>
      <c r="C33" s="953" t="inlineStr">
        <is>
          <t>FIRE SUPPRESSION</t>
        </is>
      </c>
      <c r="D33" s="746" t="n"/>
      <c r="E33" s="747" t="n"/>
      <c r="F33" s="748" t="n"/>
      <c r="G33" s="749" t="n"/>
      <c r="H33" s="750" t="n"/>
      <c r="I33" s="751" t="n">
        <v>1</v>
      </c>
      <c r="J33" s="736">
        <f>VLOOKUP(C33,'Base Costs'!$U$4:$V$41,2,FALSE)</f>
        <v/>
      </c>
      <c r="K33" s="737">
        <f>J33*1</f>
        <v/>
      </c>
      <c r="L33" s="738" t="n">
        <v>0.25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hidden="1" outlineLevel="1" ht="15" customHeight="1" s="1085">
      <c r="B34" s="269" t="inlineStr">
        <is>
          <t>TANK INSTALL</t>
        </is>
      </c>
      <c r="C34" s="953" t="inlineStr">
        <is>
          <t>TANK INSTALL</t>
        </is>
      </c>
      <c r="D34" s="966" t="n">
        <v>1</v>
      </c>
      <c r="E34" s="753" t="n"/>
      <c r="F34" s="754" t="n"/>
      <c r="G34" s="749" t="n"/>
      <c r="H34" s="750" t="n"/>
      <c r="I34" s="755" t="n"/>
      <c r="J34" s="736">
        <f>VLOOKUP(C34,'Base Costs'!$U$44:$V$56,2,FALSE)</f>
        <v/>
      </c>
      <c r="K34" s="737">
        <f>J34*D34</f>
        <v/>
      </c>
      <c r="L34" s="738" t="n">
        <v>0.35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hidden="1" outlineLevel="1" ht="15" customHeight="1" s="1085">
      <c r="B35" s="269" t="inlineStr">
        <is>
          <t>SPECIAL WORKS</t>
        </is>
      </c>
      <c r="C35" s="752" t="inlineStr">
        <is>
          <t>SELECT WORKS</t>
        </is>
      </c>
      <c r="D35" s="735" t="n"/>
      <c r="E35" s="1109" t="n"/>
      <c r="G35" s="749" t="n"/>
      <c r="H35" s="750" t="n"/>
      <c r="I35" s="755" t="n"/>
      <c r="J35" s="736">
        <f>IF(C35="",0,VLOOKUP(C35,CCBASE!$A$53:$C$73,2,FALSE))</f>
        <v/>
      </c>
      <c r="K35" s="737">
        <f>J35*D35</f>
        <v/>
      </c>
      <c r="L35" s="738" t="n">
        <v>0.44</v>
      </c>
      <c r="M35" s="739">
        <f>K35/(1-L35)*(1+$C$9)</f>
        <v/>
      </c>
      <c r="N35" s="737">
        <f>M35*VLOOKUP($B$9,'Base Costs'!$A$32:$B$37,2,FALSE)</f>
        <v/>
      </c>
      <c r="O35" s="740">
        <f>M35-K35</f>
        <v/>
      </c>
      <c r="S35" s="694" t="n"/>
      <c r="Y35" s="1095" t="n"/>
    </row>
    <row r="36" hidden="1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SELECT CLADDING</t>
        </is>
      </c>
      <c r="D36" s="756">
        <f>ROUNDUP($F31/1000,0)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Y36" s="1095" t="n"/>
    </row>
    <row r="37" hidden="1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hidden="1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hidden="1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S39" s="694" t="n"/>
      <c r="Y39" s="1095" t="n"/>
    </row>
    <row r="40" hidden="1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 t="n"/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hidden="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hidden="1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hidden="1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hidden="1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collapsed="1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95" t="n"/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269" t="inlineStr">
        <is>
          <t xml:space="preserve">FIRE SUPPRESSION </t>
        </is>
      </c>
      <c r="C50" s="953" t="inlineStr">
        <is>
          <t>FIRE SUPPRESSION</t>
        </is>
      </c>
      <c r="D50" s="746" t="n"/>
      <c r="E50" s="747" t="n"/>
      <c r="F50" s="748" t="n"/>
      <c r="G50" s="749" t="n"/>
      <c r="H50" s="750" t="n"/>
      <c r="I50" s="751" t="n">
        <v>1</v>
      </c>
      <c r="J50" s="736">
        <f>VLOOKUP(C50,'Base Costs'!$U$4:$V$41,2,FALSE)</f>
        <v/>
      </c>
      <c r="K50" s="737">
        <f>J50*1</f>
        <v/>
      </c>
      <c r="L50" s="738" t="n">
        <v>0.25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269" t="inlineStr">
        <is>
          <t>TANK INSTALL</t>
        </is>
      </c>
      <c r="C51" s="953" t="inlineStr">
        <is>
          <t>TANK INSTALL</t>
        </is>
      </c>
      <c r="D51" s="966" t="n">
        <v>1</v>
      </c>
      <c r="E51" s="753" t="n"/>
      <c r="F51" s="754" t="n"/>
      <c r="G51" s="749" t="n"/>
      <c r="H51" s="750" t="n"/>
      <c r="I51" s="755" t="n"/>
      <c r="J51" s="736">
        <f>VLOOKUP(C51,'Base Costs'!$U$44:$V$56,2,FALSE)</f>
        <v/>
      </c>
      <c r="K51" s="737">
        <f>J51*D51</f>
        <v/>
      </c>
      <c r="L51" s="738" t="n">
        <v>0.35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269" t="inlineStr">
        <is>
          <t>SPECIAL WORKS</t>
        </is>
      </c>
      <c r="C52" s="752" t="inlineStr">
        <is>
          <t>SELECT WORKS</t>
        </is>
      </c>
      <c r="D52" s="735" t="n"/>
      <c r="E52" s="753">
        <f>IF(C52="","",VLOOKUP(C52,CCBASE!$A$53:$D$73,4,FALSE))</f>
        <v/>
      </c>
      <c r="F52" s="754" t="n"/>
      <c r="G52" s="749" t="n"/>
      <c r="H52" s="750" t="n"/>
      <c r="I52" s="755" t="n"/>
      <c r="J52" s="736">
        <f>IF(C52="",0,VLOOKUP(C52,CCBASE!$A$53:$C$73,2,FALSE))</f>
        <v/>
      </c>
      <c r="K52" s="737">
        <f>J52*D52</f>
        <v/>
      </c>
      <c r="L52" s="738" t="n">
        <v>0.44</v>
      </c>
      <c r="M52" s="739">
        <f>K52/(1-L52)*(1+$C$9)</f>
        <v/>
      </c>
      <c r="N52" s="737">
        <f>M52*VLOOKUP($B$9,'Base Costs'!$A$32:$B$37,2,FALSE)</f>
        <v/>
      </c>
      <c r="O52" s="740">
        <f>M52-K52</f>
        <v/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SELECT CLADDING</t>
        </is>
      </c>
      <c r="D53" s="756">
        <f>ROUNDUP($F48/1000,0)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 t="n"/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95" t="n"/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269" t="inlineStr">
        <is>
          <t xml:space="preserve">FIRE SUPPRESSION </t>
        </is>
      </c>
      <c r="C67" s="953" t="inlineStr">
        <is>
          <t>FIRE SUPPRESSION</t>
        </is>
      </c>
      <c r="D67" s="746" t="n"/>
      <c r="E67" s="747" t="n"/>
      <c r="F67" s="748" t="n"/>
      <c r="G67" s="749" t="n"/>
      <c r="H67" s="750" t="n"/>
      <c r="I67" s="751" t="n">
        <v>1</v>
      </c>
      <c r="J67" s="736">
        <f>VLOOKUP(C67,'Base Costs'!$U$4:$V$41,2,FALSE)</f>
        <v/>
      </c>
      <c r="K67" s="737">
        <f>J67*1</f>
        <v/>
      </c>
      <c r="L67" s="738" t="n">
        <v>0.25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269" t="inlineStr">
        <is>
          <t>TANK INSTALL</t>
        </is>
      </c>
      <c r="C68" s="953" t="inlineStr">
        <is>
          <t>TANK INSTALL</t>
        </is>
      </c>
      <c r="D68" s="966" t="n">
        <v>1</v>
      </c>
      <c r="E68" s="753" t="n"/>
      <c r="F68" s="754" t="n"/>
      <c r="G68" s="749" t="n"/>
      <c r="H68" s="750" t="n"/>
      <c r="I68" s="755" t="n"/>
      <c r="J68" s="736">
        <f>VLOOKUP(C68,'Base Costs'!$U$44:$V$56,2,FALSE)</f>
        <v/>
      </c>
      <c r="K68" s="737">
        <f>J68*D68</f>
        <v/>
      </c>
      <c r="L68" s="738" t="n">
        <v>0.35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269" t="inlineStr">
        <is>
          <t>SPECIAL WORKS</t>
        </is>
      </c>
      <c r="C69" s="752" t="inlineStr">
        <is>
          <t>SELECT WORKS</t>
        </is>
      </c>
      <c r="D69" s="735" t="n"/>
      <c r="E69" s="753">
        <f>IF(C69="","",VLOOKUP(C69,CCBASE!$A$53:$D$73,4,FALSE))</f>
        <v/>
      </c>
      <c r="F69" s="754" t="n"/>
      <c r="G69" s="749" t="n"/>
      <c r="H69" s="750" t="n"/>
      <c r="I69" s="755" t="n"/>
      <c r="J69" s="736">
        <f>IF(C69="",0,VLOOKUP(C69,CCBASE!$A$53:$C$73,2,FALSE))</f>
        <v/>
      </c>
      <c r="K69" s="737">
        <f>J69*D69</f>
        <v/>
      </c>
      <c r="L69" s="738" t="n">
        <v>0.44</v>
      </c>
      <c r="M69" s="739">
        <f>K69/(1-L69)*(1+$C$9)</f>
        <v/>
      </c>
      <c r="N69" s="737">
        <f>M69*VLOOKUP($B$9,'Base Costs'!$A$32:$B$37,2,FALSE)</f>
        <v/>
      </c>
      <c r="O69" s="740">
        <f>M69-K69</f>
        <v/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ROUNDUP($F65/1000,0)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 t="n"/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95" t="n"/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269" t="inlineStr">
        <is>
          <t xml:space="preserve">FIRE SUPPRESSION </t>
        </is>
      </c>
      <c r="C84" s="953" t="inlineStr">
        <is>
          <t>FIRE SUPPRESSION</t>
        </is>
      </c>
      <c r="D84" s="746" t="n"/>
      <c r="E84" s="747" t="n"/>
      <c r="F84" s="748" t="n"/>
      <c r="G84" s="749" t="n"/>
      <c r="H84" s="750" t="n"/>
      <c r="I84" s="751" t="n">
        <v>1</v>
      </c>
      <c r="J84" s="736">
        <f>VLOOKUP(C84,'Base Costs'!$U$4:$V$41,2,FALSE)</f>
        <v/>
      </c>
      <c r="K84" s="737">
        <f>J84*1</f>
        <v/>
      </c>
      <c r="L84" s="738" t="n">
        <v>0.25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TANK INSTALL</t>
        </is>
      </c>
      <c r="C85" s="953" t="inlineStr">
        <is>
          <t>TANK INSTALL</t>
        </is>
      </c>
      <c r="D85" s="966" t="n">
        <v>1</v>
      </c>
      <c r="E85" s="753" t="n"/>
      <c r="F85" s="754" t="n"/>
      <c r="G85" s="749" t="n"/>
      <c r="H85" s="750" t="n"/>
      <c r="I85" s="755" t="n"/>
      <c r="J85" s="736">
        <f>VLOOKUP(C85,'Base Costs'!$U$44:$V$56,2,FALSE)</f>
        <v/>
      </c>
      <c r="K85" s="737">
        <f>J85*D85</f>
        <v/>
      </c>
      <c r="L85" s="738" t="n">
        <v>0.35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269" t="inlineStr">
        <is>
          <t>SPECIAL WORKS</t>
        </is>
      </c>
      <c r="C86" s="752" t="inlineStr">
        <is>
          <t>SELECT WORKS</t>
        </is>
      </c>
      <c r="D86" s="735" t="n"/>
      <c r="E86" s="753">
        <f>IF(C86="","",VLOOKUP(C86,CCBASE!$A$53:$D$73,4,FALSE))</f>
        <v/>
      </c>
      <c r="F86" s="754" t="n"/>
      <c r="G86" s="749" t="n"/>
      <c r="H86" s="750" t="n"/>
      <c r="I86" s="755" t="n"/>
      <c r="J86" s="736">
        <f>IF(C86="",0,VLOOKUP(C86,CCBASE!$A$53:$C$73,2,FALSE))</f>
        <v/>
      </c>
      <c r="K86" s="737">
        <f>J86*D86</f>
        <v/>
      </c>
      <c r="L86" s="738" t="n">
        <v>0.44</v>
      </c>
      <c r="M86" s="739">
        <f>K86/(1-L86)*(1+$C$9)</f>
        <v/>
      </c>
      <c r="N86" s="737">
        <f>M86*VLOOKUP($B$9,'Base Costs'!$A$32:$B$37,2,FALSE)</f>
        <v/>
      </c>
      <c r="O86" s="740">
        <f>M86-K86</f>
        <v/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ROUNDUP($F82/1000,0)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 t="n"/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IF(ISNUMBER(SEARCH("UV",HD4)),49.7,71.75)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95" t="n"/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269" t="inlineStr">
        <is>
          <t>FIRE SUPPRESSION</t>
        </is>
      </c>
      <c r="C101" s="953" t="inlineStr">
        <is>
          <t>FIRE SUPPRESSION</t>
        </is>
      </c>
      <c r="D101" s="746" t="n"/>
      <c r="E101" s="747" t="n"/>
      <c r="F101" s="748" t="n"/>
      <c r="G101" s="749" t="n"/>
      <c r="H101" s="750" t="n"/>
      <c r="I101" s="751" t="n">
        <v>1</v>
      </c>
      <c r="J101" s="736">
        <f>VLOOKUP(C101,'Base Costs'!$U$4:$V$41,2,FALSE)</f>
        <v/>
      </c>
      <c r="K101" s="737">
        <f>J101*1</f>
        <v/>
      </c>
      <c r="L101" s="738" t="n">
        <v>0.25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269" t="inlineStr">
        <is>
          <t>TANK INSTALL</t>
        </is>
      </c>
      <c r="C102" s="953" t="inlineStr">
        <is>
          <t>TANK INSTALL</t>
        </is>
      </c>
      <c r="D102" s="966" t="n">
        <v>1</v>
      </c>
      <c r="E102" s="753" t="n"/>
      <c r="F102" s="754" t="n"/>
      <c r="G102" s="749" t="n"/>
      <c r="H102" s="750" t="n"/>
      <c r="I102" s="755" t="n"/>
      <c r="J102" s="736">
        <f>VLOOKUP(C102,'Base Costs'!$U$44:$V$56,2,FALSE)</f>
        <v/>
      </c>
      <c r="K102" s="737">
        <f>J102*D102</f>
        <v/>
      </c>
      <c r="L102" s="738" t="n">
        <v>0.35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584" t="inlineStr">
        <is>
          <t>SPECIAL WORKS</t>
        </is>
      </c>
      <c r="C103" s="33" t="inlineStr">
        <is>
          <t>SELECT WORKS</t>
        </is>
      </c>
      <c r="D103" s="735" t="n"/>
      <c r="E103" s="753">
        <f>IF(C103="","",VLOOKUP(C103,CCBASE!$A$53:$D$73,4,FALSE))</f>
        <v/>
      </c>
      <c r="F103" s="754" t="n"/>
      <c r="G103" s="749" t="n"/>
      <c r="H103" s="750" t="n"/>
      <c r="I103" s="755" t="n"/>
      <c r="J103" s="736">
        <f>IF(C103="",0,VLOOKUP(C103,CCBASE!$A$53:$C$73,2,FALSE))</f>
        <v/>
      </c>
      <c r="K103" s="737">
        <f>J103*D103</f>
        <v/>
      </c>
      <c r="L103" s="738" t="n">
        <v>0.44</v>
      </c>
      <c r="M103" s="739">
        <f>K103/(1-L103)*(1+$C$9)</f>
        <v/>
      </c>
      <c r="N103" s="737">
        <f>M103*VLOOKUP($B$9,'Base Costs'!$A$32:$B$37,2,FALSE)</f>
        <v/>
      </c>
      <c r="O103" s="740">
        <f>M103-K103</f>
        <v/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ROUNDUP($F99/1000,0)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 t="n"/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IF(ISNUMBER(SEARCH("UV",HD21)),49.7,71.75)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95" t="n"/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269" t="inlineStr">
        <is>
          <t>FIRE SUPPRESSION</t>
        </is>
      </c>
      <c r="C118" s="953" t="inlineStr">
        <is>
          <t>FIRE SUPPRESSION</t>
        </is>
      </c>
      <c r="D118" s="746" t="n"/>
      <c r="E118" s="747" t="n"/>
      <c r="F118" s="748" t="n"/>
      <c r="G118" s="749" t="n"/>
      <c r="H118" s="750" t="n"/>
      <c r="I118" s="751" t="n">
        <v>1</v>
      </c>
      <c r="J118" s="736">
        <f>VLOOKUP(C118,'Base Costs'!$U$4:$V$41,2,FALSE)</f>
        <v/>
      </c>
      <c r="K118" s="737">
        <f>J118*1</f>
        <v/>
      </c>
      <c r="L118" s="738" t="n">
        <v>0.25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269" t="inlineStr">
        <is>
          <t>TANK INSTALL</t>
        </is>
      </c>
      <c r="C119" s="953" t="inlineStr">
        <is>
          <t>TANK INSTALL</t>
        </is>
      </c>
      <c r="D119" s="966" t="n">
        <v>1</v>
      </c>
      <c r="E119" s="753" t="n"/>
      <c r="F119" s="754" t="n"/>
      <c r="G119" s="749" t="n"/>
      <c r="H119" s="750" t="n"/>
      <c r="I119" s="755" t="n"/>
      <c r="J119" s="736">
        <f>VLOOKUP(C119,'Base Costs'!$U$44:$V$56,2,FALSE)</f>
        <v/>
      </c>
      <c r="K119" s="737">
        <f>J119*D119</f>
        <v/>
      </c>
      <c r="L119" s="738" t="n">
        <v>0.35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584" t="inlineStr">
        <is>
          <t>SPECIAL WORKS</t>
        </is>
      </c>
      <c r="C120" s="33" t="inlineStr">
        <is>
          <t>SELECT WORKS</t>
        </is>
      </c>
      <c r="D120" s="735" t="n"/>
      <c r="E120" s="753">
        <f>IF(C120="","",VLOOKUP(C120,CCBASE!$A$53:$D$73,4,FALSE))</f>
        <v/>
      </c>
      <c r="F120" s="754" t="n"/>
      <c r="G120" s="749" t="n"/>
      <c r="H120" s="750" t="n"/>
      <c r="I120" s="755" t="n"/>
      <c r="J120" s="736">
        <f>IF(C120="",0,VLOOKUP(C120,CCBASE!$A$53:$C$73,2,FALSE))</f>
        <v/>
      </c>
      <c r="K120" s="737">
        <f>J120*D120</f>
        <v/>
      </c>
      <c r="L120" s="738" t="n">
        <v>0.44</v>
      </c>
      <c r="M120" s="739">
        <f>K120/(1-L120)*(1+$C$9)</f>
        <v/>
      </c>
      <c r="N120" s="737">
        <f>M120*VLOOKUP($B$9,'Base Costs'!$A$32:$B$37,2,FALSE)</f>
        <v/>
      </c>
      <c r="O120" s="740">
        <f>M120-K120</f>
        <v/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ROUNDUP($F116/1000,0)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 t="n"/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95" t="n"/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850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269" t="inlineStr">
        <is>
          <t xml:space="preserve">FIRE SUPPRESSION </t>
        </is>
      </c>
      <c r="C135" s="953" t="inlineStr">
        <is>
          <t>FIRE SUPPRESSION</t>
        </is>
      </c>
      <c r="D135" s="746" t="n"/>
      <c r="E135" s="747" t="n"/>
      <c r="F135" s="748" t="n"/>
      <c r="G135" s="749" t="n"/>
      <c r="H135" s="750" t="n"/>
      <c r="I135" s="751" t="n">
        <v>1</v>
      </c>
      <c r="J135" s="736">
        <f>VLOOKUP(C135,'Base Costs'!$U$4:$V$41,2,FALSE)</f>
        <v/>
      </c>
      <c r="K135" s="737">
        <f>J135*1</f>
        <v/>
      </c>
      <c r="L135" s="738" t="n">
        <v>0.25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269" t="inlineStr">
        <is>
          <t>TANK INSTALL</t>
        </is>
      </c>
      <c r="C136" s="953" t="inlineStr">
        <is>
          <t>TANK INSTALL</t>
        </is>
      </c>
      <c r="D136" s="966" t="n">
        <v>1</v>
      </c>
      <c r="E136" s="753" t="n"/>
      <c r="F136" s="754" t="n"/>
      <c r="G136" s="749" t="n"/>
      <c r="H136" s="750" t="n"/>
      <c r="I136" s="755" t="n"/>
      <c r="J136" s="736">
        <f>VLOOKUP(C136,'Base Costs'!$U$44:$V$56,2,FALSE)</f>
        <v/>
      </c>
      <c r="K136" s="737">
        <f>J136*D136</f>
        <v/>
      </c>
      <c r="L136" s="738" t="n">
        <v>0.35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269" t="inlineStr">
        <is>
          <t>SPECIAL WORKS</t>
        </is>
      </c>
      <c r="C137" s="752" t="inlineStr">
        <is>
          <t>SELECT WORKS</t>
        </is>
      </c>
      <c r="D137" s="735" t="n"/>
      <c r="E137" s="753">
        <f>IF(C137="","",VLOOKUP(C137,CCBASE!$A$53:$D$73,4,FALSE))</f>
        <v/>
      </c>
      <c r="F137" s="754" t="n"/>
      <c r="G137" s="749" t="n"/>
      <c r="H137" s="750" t="n"/>
      <c r="I137" s="755" t="n"/>
      <c r="J137" s="736">
        <f>IF(C137="",0,VLOOKUP(C137,CCBASE!$A$53:$C$73,2,FALSE))</f>
        <v/>
      </c>
      <c r="K137" s="737">
        <f>J137*D137</f>
        <v/>
      </c>
      <c r="L137" s="738" t="n">
        <v>0.44</v>
      </c>
      <c r="M137" s="739">
        <f>K137/(1-L137)*(1+$C$9)</f>
        <v/>
      </c>
      <c r="N137" s="737">
        <f>M137*VLOOKUP($B$9,'Base Costs'!$A$32:$B$37,2,FALSE)</f>
        <v/>
      </c>
      <c r="O137" s="740">
        <f>M137-K137</f>
        <v/>
      </c>
      <c r="S137" s="694" t="n"/>
      <c r="Y137" s="1095" t="n"/>
    </row>
    <row r="138" hidden="1" outlineLevel="1" ht="15" customHeight="1" s="1085">
      <c r="A138" s="666" t="n">
        <v>289</v>
      </c>
      <c r="B138" s="731" t="inlineStr">
        <is>
          <t>WALL CLADDING</t>
        </is>
      </c>
      <c r="C138" s="752" t="inlineStr">
        <is>
          <t>SELECT CLADDING</t>
        </is>
      </c>
      <c r="D138" s="756">
        <f>ROUNDUP($F133/1000,0)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731" t="inlineStr">
        <is>
          <t>INFILL PANEL</t>
        </is>
      </c>
      <c r="C139" s="752" t="n"/>
      <c r="D139" s="742" t="inlineStr">
        <is>
          <t>m²</t>
        </is>
      </c>
      <c r="E139" s="749" t="inlineStr">
        <is>
          <t xml:space="preserve">Up to 500mm high only. </t>
        </is>
      </c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 t="n"/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IF(ISNUMBER(SEARCH("UV",HD55)),49.7,71.75)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95" t="n"/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269" t="inlineStr">
        <is>
          <t>FIRE SUPPRESSION</t>
        </is>
      </c>
      <c r="C152" s="953" t="inlineStr">
        <is>
          <t>FIRE SUPPRESSION</t>
        </is>
      </c>
      <c r="D152" s="746" t="n"/>
      <c r="E152" s="747" t="n"/>
      <c r="F152" s="748" t="n"/>
      <c r="G152" s="749" t="n"/>
      <c r="H152" s="750" t="n"/>
      <c r="I152" s="751" t="n">
        <v>1</v>
      </c>
      <c r="J152" s="736">
        <f>VLOOKUP(C152,'Base Costs'!$U$4:$V$41,2,FALSE)</f>
        <v/>
      </c>
      <c r="K152" s="737">
        <f>J152*1</f>
        <v/>
      </c>
      <c r="L152" s="738" t="n">
        <v>0.25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269" t="inlineStr">
        <is>
          <t>TANK INSTALL</t>
        </is>
      </c>
      <c r="C153" s="953" t="inlineStr">
        <is>
          <t>TANK INSTALL</t>
        </is>
      </c>
      <c r="D153" s="966" t="n">
        <v>1</v>
      </c>
      <c r="E153" s="753" t="n"/>
      <c r="F153" s="754" t="n"/>
      <c r="G153" s="749" t="n"/>
      <c r="H153" s="750" t="n"/>
      <c r="I153" s="755" t="n"/>
      <c r="J153" s="736">
        <f>VLOOKUP(C153,'Base Costs'!$U$44:$V$56,2,FALSE)</f>
        <v/>
      </c>
      <c r="K153" s="737">
        <f>J153*D153</f>
        <v/>
      </c>
      <c r="L153" s="738" t="n">
        <v>0.35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584" t="inlineStr">
        <is>
          <t>SPECIAL WORKS</t>
        </is>
      </c>
      <c r="C154" s="33" t="inlineStr">
        <is>
          <t>SELECT WORKS</t>
        </is>
      </c>
      <c r="D154" s="735" t="n"/>
      <c r="E154" s="753">
        <f>IF(C154="","",VLOOKUP(C154,CCBASE!$A$53:$D$73,4,FALSE))</f>
        <v/>
      </c>
      <c r="F154" s="754" t="n"/>
      <c r="G154" s="749" t="n"/>
      <c r="H154" s="750" t="n"/>
      <c r="I154" s="755" t="n"/>
      <c r="J154" s="736">
        <f>IF(C154="",0,VLOOKUP(C154,CCBASE!$A$53:$C$73,2,FALSE))</f>
        <v/>
      </c>
      <c r="K154" s="737">
        <f>J154*D154</f>
        <v/>
      </c>
      <c r="L154" s="738" t="n">
        <v>0.44</v>
      </c>
      <c r="M154" s="739">
        <f>K154/(1-L154)*(1+$C$9)</f>
        <v/>
      </c>
      <c r="N154" s="737">
        <f>M154*VLOOKUP($B$9,'Base Costs'!$A$32:$B$37,2,FALSE)</f>
        <v/>
      </c>
      <c r="O154" s="740">
        <f>M154-K154</f>
        <v/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ROUNDUP($F150/1000,0)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 t="n"/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IF(ISNUMBER(SEARCH("UV",HD72)),49.7,71.75)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95" t="n"/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269" t="inlineStr">
        <is>
          <t>FIRE SUPPRESSION</t>
        </is>
      </c>
      <c r="C169" s="953" t="inlineStr">
        <is>
          <t>FIRE SUPPRESSION</t>
        </is>
      </c>
      <c r="D169" s="746" t="n"/>
      <c r="E169" s="747" t="n"/>
      <c r="F169" s="748" t="n"/>
      <c r="G169" s="749" t="n"/>
      <c r="H169" s="750" t="n"/>
      <c r="I169" s="751" t="n">
        <v>1</v>
      </c>
      <c r="J169" s="736">
        <f>VLOOKUP(C169,'Base Costs'!$U$4:$V$41,2,FALSE)</f>
        <v/>
      </c>
      <c r="K169" s="737">
        <f>J169*1</f>
        <v/>
      </c>
      <c r="L169" s="738" t="n">
        <v>0.25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269" t="inlineStr">
        <is>
          <t>TANK INSTALL</t>
        </is>
      </c>
      <c r="C170" s="953" t="inlineStr">
        <is>
          <t>TANK INSTALL</t>
        </is>
      </c>
      <c r="D170" s="966" t="n">
        <v>1</v>
      </c>
      <c r="E170" s="753" t="n"/>
      <c r="F170" s="754" t="n"/>
      <c r="G170" s="749" t="n"/>
      <c r="H170" s="750" t="n"/>
      <c r="I170" s="755" t="n"/>
      <c r="J170" s="736">
        <f>VLOOKUP(C170,'Base Costs'!$U$44:$V$56,2,FALSE)</f>
        <v/>
      </c>
      <c r="K170" s="737">
        <f>J170*D170</f>
        <v/>
      </c>
      <c r="L170" s="738" t="n">
        <v>0.35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584" t="inlineStr">
        <is>
          <t>SPECIAL WORKS</t>
        </is>
      </c>
      <c r="C171" s="33" t="inlineStr">
        <is>
          <t>SELECT WORKS</t>
        </is>
      </c>
      <c r="D171" s="735" t="n"/>
      <c r="E171" s="753">
        <f>IF(C171="","",VLOOKUP(C171,CCBASE!$A$53:$D$73,4,FALSE))</f>
        <v/>
      </c>
      <c r="F171" s="754" t="n"/>
      <c r="G171" s="749" t="n"/>
      <c r="H171" s="750" t="n"/>
      <c r="I171" s="755" t="n"/>
      <c r="J171" s="736">
        <f>IF(C171="",0,VLOOKUP(C171,CCBASE!$A$53:$C$73,2,FALSE))</f>
        <v/>
      </c>
      <c r="K171" s="737">
        <f>J171*D171</f>
        <v/>
      </c>
      <c r="L171" s="738" t="n">
        <v>0.44</v>
      </c>
      <c r="M171" s="739">
        <f>K171/(1-L171)*(1+$C$9)</f>
        <v/>
      </c>
      <c r="N171" s="737">
        <f>M171*VLOOKUP($B$9,'Base Costs'!$A$32:$B$37,2,FALSE)</f>
        <v/>
      </c>
      <c r="O171" s="740">
        <f>M171-K171</f>
        <v/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ROUNDUP($F167/1000,0)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 t="n"/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10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S182" s="694" t="n"/>
    </row>
    <row r="183" ht="15" customHeight="1" s="1085">
      <c r="A183" s="666" t="n">
        <v>222</v>
      </c>
      <c r="B183" s="270" t="inlineStr">
        <is>
          <t>DELIVERY 1 x 7.5T TAIL LIFT 3200KGS</t>
        </is>
      </c>
      <c r="C183" s="774" t="n"/>
      <c r="D183" s="775" t="inlineStr">
        <is>
          <t>SELECT LOCATION…</t>
        </is>
      </c>
      <c r="E183" s="1109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/>
      <c r="D184" s="775" t="inlineStr">
        <is>
          <t>PLANT SELECTION (weekly)</t>
        </is>
      </c>
      <c r="E184" s="1126" t="inlineStr">
        <is>
          <t>OR 2.5% OF TOTAL CONTRACT VALUE</t>
        </is>
      </c>
      <c r="G184" s="748" t="n"/>
      <c r="H184" s="748" t="n"/>
      <c r="I184" s="748" t="n"/>
      <c r="J184" s="776">
        <f>VLOOKUP(D184,'Base Costs'!$A$4:$B$16,2,FALSE)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955" t="inlineStr">
        <is>
          <t xml:space="preserve">PLANT HIRE </t>
        </is>
      </c>
      <c r="C185" s="961" t="n">
        <v>1</v>
      </c>
      <c r="D185" s="954" t="inlineStr">
        <is>
          <t>PECO LIFT</t>
        </is>
      </c>
      <c r="E185" s="1123" t="inlineStr">
        <is>
          <t>OR 2.5% OF TOTAL CONTRACT VALUE</t>
        </is>
      </c>
      <c r="G185" s="748" t="n"/>
      <c r="H185" s="748" t="n"/>
      <c r="I185" s="748" t="n"/>
      <c r="J185" s="776">
        <f>VLOOKUP(D185,'Base Costs'!$A$4:$B$16,2,FALSE)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P185" s="1070" t="inlineStr">
        <is>
          <t>ALWAYS INCLUDE</t>
        </is>
      </c>
      <c r="S185" s="694" t="n"/>
    </row>
    <row r="186" ht="15" customHeight="1" s="1085">
      <c r="A186" s="666" t="n">
        <v>222</v>
      </c>
      <c r="B186" s="945" t="inlineStr">
        <is>
          <t>ANSUL DELIVERY</t>
        </is>
      </c>
      <c r="C186" s="962" t="n">
        <v>0.5</v>
      </c>
      <c r="D186" s="954" t="inlineStr">
        <is>
          <t>SELECT LOCATION…</t>
        </is>
      </c>
      <c r="E186" s="1125" t="inlineStr">
        <is>
          <t>0.5 Per Area/System</t>
        </is>
      </c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P186" s="1070" t="inlineStr">
        <is>
          <t>ALWAYS INCLUDE</t>
        </is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550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 t="n"/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955" t="inlineStr">
        <is>
          <t xml:space="preserve">INDUCTION </t>
        </is>
      </c>
      <c r="C189" s="777" t="n">
        <v>1</v>
      </c>
      <c r="D189" s="1122" t="inlineStr">
        <is>
          <t>PER PROJECT</t>
        </is>
      </c>
      <c r="G189" s="30" t="n"/>
      <c r="H189" s="30" t="n"/>
      <c r="I189" s="30" t="n"/>
      <c r="J189" s="776" t="n">
        <v>350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P189" s="1070" t="inlineStr">
        <is>
          <t>ALWAYS INCLUDE</t>
        </is>
      </c>
      <c r="S189" s="694" t="n"/>
    </row>
    <row r="190" ht="15" customHeight="1" s="1085">
      <c r="A190" s="666" t="n">
        <v>400</v>
      </c>
      <c r="B190" s="955" t="inlineStr">
        <is>
          <t>LIVE SITE TEST</t>
        </is>
      </c>
      <c r="C190" s="963" t="n">
        <v>1</v>
      </c>
      <c r="D190" s="1122" t="inlineStr">
        <is>
          <t>INCLUDE FOR ANSUL BUT SHOWN AS A LINE ITEM FOR AMEREX</t>
        </is>
      </c>
      <c r="G190" s="1121" t="inlineStr">
        <is>
          <t>JEM's ADHOC DAY RATE</t>
        </is>
      </c>
      <c r="J190" s="776" t="n">
        <v>550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P190" s="1070" t="inlineStr">
        <is>
          <t>ALWAYS INCLUDE</t>
        </is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550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24" t="inlineStr">
        <is>
          <t>ONE Engineer,  2 days per Pollustop,1 days per 3no UV &amp; W/W canopies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9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09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20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1">
    <mergeCell ref="B203:O203"/>
    <mergeCell ref="H91:I91"/>
    <mergeCell ref="G190:I190"/>
    <mergeCell ref="E121:F121"/>
    <mergeCell ref="D189:F189"/>
    <mergeCell ref="H38:I38"/>
    <mergeCell ref="H125:I125"/>
    <mergeCell ref="D194:F194"/>
    <mergeCell ref="G186:I186"/>
    <mergeCell ref="B200:O200"/>
    <mergeCell ref="C5:D5"/>
    <mergeCell ref="H55:I55"/>
    <mergeCell ref="E185:F185"/>
    <mergeCell ref="B182:G182"/>
    <mergeCell ref="B202:O202"/>
    <mergeCell ref="D197:F197"/>
    <mergeCell ref="H40:I40"/>
    <mergeCell ref="H74:I74"/>
    <mergeCell ref="H176:I176"/>
    <mergeCell ref="H56:I56"/>
    <mergeCell ref="E35:F35"/>
    <mergeCell ref="H39:I39"/>
    <mergeCell ref="G9:J9"/>
    <mergeCell ref="H21:I21"/>
    <mergeCell ref="E87:F87"/>
    <mergeCell ref="H73:I73"/>
    <mergeCell ref="H157:I157"/>
    <mergeCell ref="D195:E195"/>
    <mergeCell ref="E138:F138"/>
    <mergeCell ref="D193:F193"/>
    <mergeCell ref="B204:O204"/>
    <mergeCell ref="E19:F19"/>
    <mergeCell ref="H142:I142"/>
    <mergeCell ref="E155:F155"/>
    <mergeCell ref="H89:I89"/>
    <mergeCell ref="H123:I123"/>
    <mergeCell ref="B1:C1"/>
    <mergeCell ref="E9:F9"/>
    <mergeCell ref="H108:I108"/>
    <mergeCell ref="E186:F186"/>
    <mergeCell ref="H175:I175"/>
    <mergeCell ref="G183:I183"/>
    <mergeCell ref="E104:F104"/>
    <mergeCell ref="H72:I72"/>
    <mergeCell ref="H90:I90"/>
    <mergeCell ref="H174:I174"/>
    <mergeCell ref="B205:O205"/>
    <mergeCell ref="G7:J7"/>
    <mergeCell ref="E36:F36"/>
    <mergeCell ref="H57:I57"/>
    <mergeCell ref="H159:I159"/>
    <mergeCell ref="H22:I22"/>
    <mergeCell ref="E70:F70"/>
    <mergeCell ref="H140:I140"/>
    <mergeCell ref="H158:I158"/>
    <mergeCell ref="D196:E196"/>
    <mergeCell ref="D190:F190"/>
    <mergeCell ref="E172:F172"/>
    <mergeCell ref="C7:D7"/>
    <mergeCell ref="G3:J3"/>
    <mergeCell ref="H124:I124"/>
    <mergeCell ref="E183:F183"/>
    <mergeCell ref="B201:O201"/>
    <mergeCell ref="E184:F184"/>
    <mergeCell ref="H23:I23"/>
    <mergeCell ref="E53:F53"/>
    <mergeCell ref="H141:I141"/>
    <mergeCell ref="H107:I107"/>
    <mergeCell ref="C3:D3"/>
    <mergeCell ref="G5:J5"/>
    <mergeCell ref="H106:I106"/>
  </mergeCells>
  <conditionalFormatting sqref="B9">
    <cfRule type="containsText" priority="665" operator="containsText" dxfId="680" text="SELECT">
      <formula>NOT(ISERROR(SEARCH("SELECT",B9)))</formula>
    </cfRule>
    <cfRule type="expression" priority="666" dxfId="680">
      <formula>B9="CURRENCY"</formula>
    </cfRule>
  </conditionalFormatting>
  <conditionalFormatting sqref="B11">
    <cfRule type="expression" priority="627" dxfId="637">
      <formula>$B11&lt;&gt;""</formula>
    </cfRule>
  </conditionalFormatting>
  <conditionalFormatting sqref="B14:B23">
    <cfRule type="expression" priority="619" dxfId="633">
      <formula>$J14&gt;0</formula>
    </cfRule>
  </conditionalFormatting>
  <conditionalFormatting sqref="B24">
    <cfRule type="expression" priority="616" dxfId="633">
      <formula>ISNUMBER(SEARCH("UV",$D14))</formula>
    </cfRule>
    <cfRule type="expression" priority="617" dxfId="358">
      <formula>($D14="CANOPY TYPE")</formula>
    </cfRule>
  </conditionalFormatting>
  <conditionalFormatting sqref="B25:B27">
    <cfRule type="expression" priority="437" dxfId="633">
      <formula>$J25&gt;0</formula>
    </cfRule>
  </conditionalFormatting>
  <conditionalFormatting sqref="B28">
    <cfRule type="expression" priority="625" dxfId="637">
      <formula>$B28&lt;&gt;""</formula>
    </cfRule>
  </conditionalFormatting>
  <conditionalFormatting sqref="B31:B40">
    <cfRule type="expression" priority="263" dxfId="633">
      <formula>$J31&gt;0</formula>
    </cfRule>
  </conditionalFormatting>
  <conditionalFormatting sqref="B41">
    <cfRule type="expression" priority="585" dxfId="633">
      <formula>ISNUMBER(SEARCH("UV",$D31))</formula>
    </cfRule>
    <cfRule type="expression" priority="586" dxfId="358">
      <formula>($D31="CANOPY TYPE")</formula>
    </cfRule>
  </conditionalFormatting>
  <conditionalFormatting sqref="B42:B44">
    <cfRule type="expression" priority="587" dxfId="633">
      <formula>$J42&gt;0</formula>
    </cfRule>
  </conditionalFormatting>
  <conditionalFormatting sqref="B45">
    <cfRule type="expression" priority="624" dxfId="637">
      <formula>$B45&lt;&gt;""</formula>
    </cfRule>
  </conditionalFormatting>
  <conditionalFormatting sqref="B48:B57">
    <cfRule type="expression" priority="252" dxfId="633">
      <formula>$J48&gt;0</formula>
    </cfRule>
  </conditionalFormatting>
  <conditionalFormatting sqref="B58">
    <cfRule type="expression" priority="556" dxfId="633">
      <formula>ISNUMBER(SEARCH("UV",$D48))</formula>
    </cfRule>
    <cfRule type="expression" priority="557" dxfId="358">
      <formula>($D48="CANOPY TYPE")</formula>
    </cfRule>
  </conditionalFormatting>
  <conditionalFormatting sqref="B59:B61">
    <cfRule type="expression" priority="436" dxfId="633">
      <formula>$J59&gt;0</formula>
    </cfRule>
  </conditionalFormatting>
  <conditionalFormatting sqref="B62">
    <cfRule type="expression" priority="623" dxfId="637">
      <formula>$B62&lt;&gt;""</formula>
    </cfRule>
  </conditionalFormatting>
  <conditionalFormatting sqref="B65:B74">
    <cfRule type="expression" priority="241" dxfId="633">
      <formula>$J65&gt;0</formula>
    </cfRule>
  </conditionalFormatting>
  <conditionalFormatting sqref="B75">
    <cfRule type="expression" priority="526" dxfId="633">
      <formula>ISNUMBER(SEARCH("UV",$D65))</formula>
    </cfRule>
    <cfRule type="expression" priority="527" dxfId="358">
      <formula>($D65="CANOPY TYPE")</formula>
    </cfRule>
  </conditionalFormatting>
  <conditionalFormatting sqref="B76:B78">
    <cfRule type="expression" priority="435" dxfId="633">
      <formula>$J76&gt;0</formula>
    </cfRule>
  </conditionalFormatting>
  <conditionalFormatting sqref="B79">
    <cfRule type="expression" priority="622" dxfId="637">
      <formula>$B79&lt;&gt;""</formula>
    </cfRule>
  </conditionalFormatting>
  <conditionalFormatting sqref="B82:B91">
    <cfRule type="expression" priority="230" dxfId="633">
      <formula>$J82&gt;0</formula>
    </cfRule>
  </conditionalFormatting>
  <conditionalFormatting sqref="B92">
    <cfRule type="expression" priority="495" dxfId="633">
      <formula>ISNUMBER(SEARCH("UV",$D82))</formula>
    </cfRule>
    <cfRule type="expression" priority="496" dxfId="358">
      <formula>($D82="CANOPY TYPE")</formula>
    </cfRule>
  </conditionalFormatting>
  <conditionalFormatting sqref="B93:B95">
    <cfRule type="expression" priority="434" dxfId="633">
      <formula>$J93&gt;0</formula>
    </cfRule>
  </conditionalFormatting>
  <conditionalFormatting sqref="B96">
    <cfRule type="expression" priority="621" dxfId="637">
      <formula>$B96&lt;&gt;""</formula>
    </cfRule>
  </conditionalFormatting>
  <conditionalFormatting sqref="B99:B108">
    <cfRule type="expression" priority="219" dxfId="633">
      <formula>$J99&gt;0</formula>
    </cfRule>
  </conditionalFormatting>
  <conditionalFormatting sqref="B109">
    <cfRule type="expression" priority="465" dxfId="633">
      <formula>ISNUMBER(SEARCH("UV",$D99))</formula>
    </cfRule>
    <cfRule type="expression" priority="466" dxfId="358">
      <formula>($D99="CANOPY TYPE")</formula>
    </cfRule>
  </conditionalFormatting>
  <conditionalFormatting sqref="B110:B112 B127:B129 B161:B163 B178:B180">
    <cfRule type="expression" priority="433" dxfId="633">
      <formula>$J110&gt;0</formula>
    </cfRule>
  </conditionalFormatting>
  <conditionalFormatting sqref="B113">
    <cfRule type="expression" priority="325" dxfId="637">
      <formula>$B113&lt;&gt;""</formula>
    </cfRule>
  </conditionalFormatting>
  <conditionalFormatting sqref="B116:B125">
    <cfRule type="expression" priority="208" dxfId="633">
      <formula>$J116&gt;0</formula>
    </cfRule>
  </conditionalFormatting>
  <conditionalFormatting sqref="B126">
    <cfRule type="expression" priority="298" dxfId="633">
      <formula>ISNUMBER(SEARCH("UV",$D116))</formula>
    </cfRule>
    <cfRule type="expression" priority="299" dxfId="358">
      <formula>($D116="CANOPY TYPE")</formula>
    </cfRule>
  </conditionalFormatting>
  <conditionalFormatting sqref="B130">
    <cfRule type="expression" priority="189" dxfId="637">
      <formula>$B130&lt;&gt;""</formula>
    </cfRule>
  </conditionalFormatting>
  <conditionalFormatting sqref="B133:B142">
    <cfRule type="expression" priority="21" dxfId="633">
      <formula>$J133&gt;0</formula>
    </cfRule>
  </conditionalFormatting>
  <conditionalFormatting sqref="B143">
    <cfRule type="expression" priority="159" dxfId="633">
      <formula>ISNUMBER(SEARCH("UV",$D133))</formula>
    </cfRule>
    <cfRule type="expression" priority="160" dxfId="358">
      <formula>($D133="CANOPY TYPE")</formula>
    </cfRule>
  </conditionalFormatting>
  <conditionalFormatting sqref="B144:B146">
    <cfRule type="expression" priority="118" dxfId="633">
      <formula>$J144&gt;0</formula>
    </cfRule>
  </conditionalFormatting>
  <conditionalFormatting sqref="B147">
    <cfRule type="expression" priority="188" dxfId="637">
      <formula>$B147&lt;&gt;""</formula>
    </cfRule>
  </conditionalFormatting>
  <conditionalFormatting sqref="B150:B159">
    <cfRule type="expression" priority="10" dxfId="633">
      <formula>$J150&gt;0</formula>
    </cfRule>
  </conditionalFormatting>
  <conditionalFormatting sqref="B160">
    <cfRule type="expression" priority="130" dxfId="633">
      <formula>ISNUMBER(SEARCH("UV",$D150))</formula>
    </cfRule>
    <cfRule type="expression" priority="131" dxfId="358">
      <formula>($D150="CANOPY TYPE")</formula>
    </cfRule>
  </conditionalFormatting>
  <conditionalFormatting sqref="B164">
    <cfRule type="expression" priority="81" dxfId="637">
      <formula>$B164&lt;&gt;""</formula>
    </cfRule>
  </conditionalFormatting>
  <conditionalFormatting sqref="B167:B176">
    <cfRule type="expression" priority="5" dxfId="633">
      <formula>$J167&gt;0</formula>
    </cfRule>
  </conditionalFormatting>
  <conditionalFormatting sqref="B177">
    <cfRule type="expression" priority="54" dxfId="633">
      <formula>ISNUMBER(SEARCH("UV",$D167))</formula>
    </cfRule>
    <cfRule type="expression" priority="55" dxfId="358">
      <formula>($D167="CANOPY TYPE")</formula>
    </cfRule>
  </conditionalFormatting>
  <conditionalFormatting sqref="B183:B197">
    <cfRule type="expression" priority="618" dxfId="633">
      <formula>$C183&gt;0</formula>
    </cfRule>
  </conditionalFormatting>
  <conditionalFormatting sqref="C14">
    <cfRule type="containsText" priority="423" operator="containsText" dxfId="204" text="CONFIG">
      <formula>NOT(ISERROR(SEARCH("CONFIG",C14)))</formula>
    </cfRule>
  </conditionalFormatting>
  <conditionalFormatting sqref="C15">
    <cfRule type="containsText" priority="428" operator="containsText" dxfId="561" text="LIGHT SELECTION">
      <formula>NOT(ISERROR(SEARCH("LIGHT SELECTION",C15)))</formula>
    </cfRule>
  </conditionalFormatting>
  <conditionalFormatting sqref="C16:C17">
    <cfRule type="containsText" priority="674" operator="containsText" dxfId="561" text="ANSUL SELECTION">
      <formula>NOT(ISERROR(SEARCH("ANSUL SELECTION",C16)))</formula>
    </cfRule>
  </conditionalFormatting>
  <conditionalFormatting sqref="C20:C21">
    <cfRule type="cellIs" priority="671" operator="lessThan" dxfId="561">
      <formula>1</formula>
    </cfRule>
  </conditionalFormatting>
  <conditionalFormatting sqref="C22:C23">
    <cfRule type="expression" priority="403" dxfId="383">
      <formula>D22="WW PODS"</formula>
    </cfRule>
  </conditionalFormatting>
  <conditionalFormatting sqref="C24">
    <cfRule type="expression" priority="689" dxfId="559">
      <formula>ISNUMBER(SEARCH("UV",D14))</formula>
    </cfRule>
  </conditionalFormatting>
  <conditionalFormatting sqref="C25">
    <cfRule type="expression" priority="651" dxfId="472">
      <formula>(ISNUMBER(SEARCH("CMW",D14)))=TRUE</formula>
    </cfRule>
  </conditionalFormatting>
  <conditionalFormatting sqref="C26">
    <cfRule type="expression" priority="650" dxfId="472">
      <formula>(ISNUMBER(SEARCH("CMW",D14)))=TRUE</formula>
    </cfRule>
  </conditionalFormatting>
  <conditionalFormatting sqref="C27">
    <cfRule type="expression" priority="620" dxfId="472">
      <formula>(ISNUMBER(SEARCH("CMW",$D14)))=TRUE</formula>
    </cfRule>
  </conditionalFormatting>
  <conditionalFormatting sqref="C31">
    <cfRule type="containsText" priority="595" operator="containsText" dxfId="204" text="CONFIG">
      <formula>NOT(ISERROR(SEARCH("CONFIG",C31)))</formula>
    </cfRule>
  </conditionalFormatting>
  <conditionalFormatting sqref="C32">
    <cfRule type="containsText" priority="430" operator="containsText" dxfId="561" text="LIGHT SELECTION">
      <formula>NOT(ISERROR(SEARCH("LIGHT SELECTION",C32)))</formula>
    </cfRule>
  </conditionalFormatting>
  <conditionalFormatting sqref="C33:C34">
    <cfRule type="containsText" priority="271" operator="containsText" dxfId="561" text="ANSUL SELECTION">
      <formula>NOT(ISERROR(SEARCH("ANSUL SELECTION",C33)))</formula>
    </cfRule>
  </conditionalFormatting>
  <conditionalFormatting sqref="C37:C38">
    <cfRule type="cellIs" priority="594" operator="lessThan" dxfId="561">
      <formula>1</formula>
    </cfRule>
  </conditionalFormatting>
  <conditionalFormatting sqref="C39:C40">
    <cfRule type="expression" priority="388" dxfId="383">
      <formula>D39="WW PODS"</formula>
    </cfRule>
  </conditionalFormatting>
  <conditionalFormatting sqref="C41">
    <cfRule type="expression" priority="609" dxfId="559">
      <formula>ISNUMBER(SEARCH("UV",D31))</formula>
    </cfRule>
  </conditionalFormatting>
  <conditionalFormatting sqref="C42">
    <cfRule type="expression" priority="592" dxfId="472">
      <formula>(ISNUMBER(SEARCH("CMW",D31)))=TRUE</formula>
    </cfRule>
  </conditionalFormatting>
  <conditionalFormatting sqref="C43">
    <cfRule type="expression" priority="462" dxfId="472">
      <formula>(ISNUMBER(SEARCH("CMW",D31)))=TRUE</formula>
    </cfRule>
  </conditionalFormatting>
  <conditionalFormatting sqref="C44">
    <cfRule type="expression" priority="588" dxfId="472">
      <formula>(ISNUMBER(SEARCH("CMW",$D31)))=TRUE</formula>
    </cfRule>
  </conditionalFormatting>
  <conditionalFormatting sqref="C48">
    <cfRule type="containsText" priority="565" operator="containsText" dxfId="204" text="CONFIG">
      <formula>NOT(ISERROR(SEARCH("CONFIG",C48)))</formula>
    </cfRule>
  </conditionalFormatting>
  <conditionalFormatting sqref="C49">
    <cfRule type="containsText" priority="427" operator="containsText" dxfId="561" text="LIGHT SELECTION">
      <formula>NOT(ISERROR(SEARCH("LIGHT SELECTION",C49)))</formula>
    </cfRule>
  </conditionalFormatting>
  <conditionalFormatting sqref="C50:C51">
    <cfRule type="containsText" priority="260" operator="containsText" dxfId="561" text="ANSUL SELECTION">
      <formula>NOT(ISERROR(SEARCH("ANSUL SELECTION",C50)))</formula>
    </cfRule>
  </conditionalFormatting>
  <conditionalFormatting sqref="C54:C55">
    <cfRule type="cellIs" priority="564" operator="lessThan" dxfId="561">
      <formula>1</formula>
    </cfRule>
  </conditionalFormatting>
  <conditionalFormatting sqref="C56:C57">
    <cfRule type="expression" priority="373" dxfId="383">
      <formula>D56="WW PODS"</formula>
    </cfRule>
  </conditionalFormatting>
  <conditionalFormatting sqref="C58">
    <cfRule type="expression" priority="578" dxfId="559">
      <formula>ISNUMBER(SEARCH("UV",D48))</formula>
    </cfRule>
  </conditionalFormatting>
  <conditionalFormatting sqref="C59">
    <cfRule type="expression" priority="562" dxfId="472">
      <formula>(ISNUMBER(SEARCH("CMW",D48)))=TRUE</formula>
    </cfRule>
  </conditionalFormatting>
  <conditionalFormatting sqref="C60">
    <cfRule type="expression" priority="461" dxfId="472">
      <formula>(ISNUMBER(SEARCH("CMW",D48)))=TRUE</formula>
    </cfRule>
  </conditionalFormatting>
  <conditionalFormatting sqref="C61">
    <cfRule type="expression" priority="558" dxfId="472">
      <formula>(ISNUMBER(SEARCH("CMW",$D48)))=TRUE</formula>
    </cfRule>
  </conditionalFormatting>
  <conditionalFormatting sqref="C65">
    <cfRule type="containsText" priority="536" operator="containsText" dxfId="204" text="CONFIG">
      <formula>NOT(ISERROR(SEARCH("CONFIG",C65)))</formula>
    </cfRule>
  </conditionalFormatting>
  <conditionalFormatting sqref="C66">
    <cfRule type="containsText" priority="426" operator="containsText" dxfId="561" text="LIGHT SELECTION">
      <formula>NOT(ISERROR(SEARCH("LIGHT SELECTION",C66)))</formula>
    </cfRule>
  </conditionalFormatting>
  <conditionalFormatting sqref="C67:C68">
    <cfRule type="containsText" priority="249" operator="containsText" dxfId="561" text="ANSUL SELECTION">
      <formula>NOT(ISERROR(SEARCH("ANSUL SELECTION",C67)))</formula>
    </cfRule>
  </conditionalFormatting>
  <conditionalFormatting sqref="C71:C72">
    <cfRule type="cellIs" priority="535" operator="lessThan" dxfId="561">
      <formula>1</formula>
    </cfRule>
  </conditionalFormatting>
  <conditionalFormatting sqref="C73:C74">
    <cfRule type="expression" priority="358" dxfId="383">
      <formula>D73="WW PODS"</formula>
    </cfRule>
  </conditionalFormatting>
  <conditionalFormatting sqref="C75">
    <cfRule type="expression" priority="549" dxfId="559">
      <formula>ISNUMBER(SEARCH("UV",D65))</formula>
    </cfRule>
  </conditionalFormatting>
  <conditionalFormatting sqref="C76">
    <cfRule type="expression" priority="532" dxfId="472">
      <formula>(ISNUMBER(SEARCH("CMW",D65)))=TRUE</formula>
    </cfRule>
  </conditionalFormatting>
  <conditionalFormatting sqref="C77">
    <cfRule type="expression" priority="460" dxfId="472">
      <formula>(ISNUMBER(SEARCH("CMW",D65)))=TRUE</formula>
    </cfRule>
  </conditionalFormatting>
  <conditionalFormatting sqref="C78">
    <cfRule type="expression" priority="528" dxfId="472">
      <formula>(ISNUMBER(SEARCH("CMW",$D65)))=TRUE</formula>
    </cfRule>
  </conditionalFormatting>
  <conditionalFormatting sqref="C82">
    <cfRule type="containsText" priority="505" operator="containsText" dxfId="204" text="CONFIG">
      <formula>NOT(ISERROR(SEARCH("CONFIG",C82)))</formula>
    </cfRule>
  </conditionalFormatting>
  <conditionalFormatting sqref="C83">
    <cfRule type="containsText" priority="425" operator="containsText" dxfId="561" text="LIGHT SELECTION">
      <formula>NOT(ISERROR(SEARCH("LIGHT SELECTION",C83)))</formula>
    </cfRule>
  </conditionalFormatting>
  <conditionalFormatting sqref="C84:C85">
    <cfRule type="containsText" priority="238" operator="containsText" dxfId="561" text="ANSUL SELECTION">
      <formula>NOT(ISERROR(SEARCH("ANSUL SELECTION",C84)))</formula>
    </cfRule>
  </conditionalFormatting>
  <conditionalFormatting sqref="C88:C89">
    <cfRule type="cellIs" priority="504" operator="lessThan" dxfId="561">
      <formula>1</formula>
    </cfRule>
  </conditionalFormatting>
  <conditionalFormatting sqref="C90:C91">
    <cfRule type="expression" priority="343" dxfId="383">
      <formula>D90="WW PODS"</formula>
    </cfRule>
  </conditionalFormatting>
  <conditionalFormatting sqref="C92">
    <cfRule type="expression" priority="519" dxfId="559">
      <formula>ISNUMBER(SEARCH("UV",D82))</formula>
    </cfRule>
  </conditionalFormatting>
  <conditionalFormatting sqref="C93">
    <cfRule type="expression" priority="501" dxfId="472">
      <formula>(ISNUMBER(SEARCH("CMW",D82)))=TRUE</formula>
    </cfRule>
  </conditionalFormatting>
  <conditionalFormatting sqref="C94">
    <cfRule type="expression" priority="459" dxfId="472">
      <formula>(ISNUMBER(SEARCH("CMW",D82)))=TRUE</formula>
    </cfRule>
  </conditionalFormatting>
  <conditionalFormatting sqref="C95">
    <cfRule type="expression" priority="497" dxfId="472">
      <formula>(ISNUMBER(SEARCH("CMW",$D82)))=TRUE</formula>
    </cfRule>
  </conditionalFormatting>
  <conditionalFormatting sqref="C99">
    <cfRule type="containsText" priority="474" operator="containsText" dxfId="204" text="CONFIG">
      <formula>NOT(ISERROR(SEARCH("CONFIG",C99)))</formula>
    </cfRule>
  </conditionalFormatting>
  <conditionalFormatting sqref="C100">
    <cfRule type="containsText" priority="424" operator="containsText" dxfId="561" text="LIGHT SELECTION">
      <formula>NOT(ISERROR(SEARCH("LIGHT SELECTION",C100)))</formula>
    </cfRule>
  </conditionalFormatting>
  <conditionalFormatting sqref="C101:C102">
    <cfRule type="containsText" priority="227" operator="containsText" dxfId="561" text="ANSUL SELECTION">
      <formula>NOT(ISERROR(SEARCH("ANSUL SELECTION",C101)))</formula>
    </cfRule>
  </conditionalFormatting>
  <conditionalFormatting sqref="C105:C106">
    <cfRule type="cellIs" priority="473" operator="lessThan" dxfId="561">
      <formula>1</formula>
    </cfRule>
  </conditionalFormatting>
  <conditionalFormatting sqref="C107:C108">
    <cfRule type="expression" priority="328" dxfId="383">
      <formula>D107="WW PODS"</formula>
    </cfRule>
  </conditionalFormatting>
  <conditionalFormatting sqref="C109">
    <cfRule type="expression" priority="488" dxfId="559">
      <formula>ISNUMBER(SEARCH("UV",D99))</formula>
    </cfRule>
  </conditionalFormatting>
  <conditionalFormatting sqref="C110">
    <cfRule type="expression" priority="471" dxfId="472">
      <formula>(ISNUMBER(SEARCH("CMW",D99)))=TRUE</formula>
    </cfRule>
  </conditionalFormatting>
  <conditionalFormatting sqref="C111">
    <cfRule type="expression" priority="458" dxfId="472">
      <formula>(ISNUMBER(SEARCH("CMW",D99)))=TRUE</formula>
    </cfRule>
  </conditionalFormatting>
  <conditionalFormatting sqref="C112 C129 C163 C180">
    <cfRule type="expression" priority="467" dxfId="472">
      <formula>(ISNUMBER(SEARCH("CMW",$D99)))=TRUE</formula>
    </cfRule>
  </conditionalFormatting>
  <conditionalFormatting sqref="C116">
    <cfRule type="containsText" priority="306" operator="containsText" dxfId="204" text="CONFIG">
      <formula>NOT(ISERROR(SEARCH("CONFIG",C116)))</formula>
    </cfRule>
  </conditionalFormatting>
  <conditionalFormatting sqref="C117">
    <cfRule type="containsText" priority="291" operator="containsText" dxfId="561" text="LIGHT SELECTION">
      <formula>NOT(ISERROR(SEARCH("LIGHT SELECTION",C117)))</formula>
    </cfRule>
  </conditionalFormatting>
  <conditionalFormatting sqref="C118:C119">
    <cfRule type="containsText" priority="216" operator="containsText" dxfId="561" text="ANSUL SELECTION">
      <formula>NOT(ISERROR(SEARCH("ANSUL SELECTION",C118)))</formula>
    </cfRule>
  </conditionalFormatting>
  <conditionalFormatting sqref="C122:C123">
    <cfRule type="cellIs" priority="305" operator="lessThan" dxfId="561">
      <formula>1</formula>
    </cfRule>
  </conditionalFormatting>
  <conditionalFormatting sqref="C124:C125">
    <cfRule type="expression" priority="275" dxfId="383">
      <formula>D124="WW PODS"</formula>
    </cfRule>
  </conditionalFormatting>
  <conditionalFormatting sqref="C126">
    <cfRule type="expression" priority="320" dxfId="559">
      <formula>ISNUMBER(SEARCH("UV",D116))</formula>
    </cfRule>
  </conditionalFormatting>
  <conditionalFormatting sqref="C127">
    <cfRule type="expression" priority="303" dxfId="472">
      <formula>(ISNUMBER(SEARCH("CMW",D116)))=TRUE</formula>
    </cfRule>
  </conditionalFormatting>
  <conditionalFormatting sqref="C128">
    <cfRule type="expression" priority="296" dxfId="472">
      <formula>(ISNUMBER(SEARCH("CMW",D116)))=TRUE</formula>
    </cfRule>
  </conditionalFormatting>
  <conditionalFormatting sqref="C133">
    <cfRule type="containsText" priority="169" operator="containsText" dxfId="204" text="CONFIG">
      <formula>NOT(ISERROR(SEARCH("CONFIG",C133)))</formula>
    </cfRule>
  </conditionalFormatting>
  <conditionalFormatting sqref="C134">
    <cfRule type="containsText" priority="117" operator="containsText" dxfId="561" text="LIGHT SELECTION">
      <formula>NOT(ISERROR(SEARCH("LIGHT SELECTION",C134)))</formula>
    </cfRule>
  </conditionalFormatting>
  <conditionalFormatting sqref="C135:C136">
    <cfRule type="containsText" priority="29" operator="containsText" dxfId="561" text="ANSUL SELECTION">
      <formula>NOT(ISERROR(SEARCH("ANSUL SELECTION",C135)))</formula>
    </cfRule>
  </conditionalFormatting>
  <conditionalFormatting sqref="C139:C140">
    <cfRule type="cellIs" priority="168" operator="lessThan" dxfId="561">
      <formula>1</formula>
    </cfRule>
  </conditionalFormatting>
  <conditionalFormatting sqref="C141:C142">
    <cfRule type="expression" priority="99" dxfId="383">
      <formula>D141="WW PODS"</formula>
    </cfRule>
  </conditionalFormatting>
  <conditionalFormatting sqref="C143">
    <cfRule type="expression" priority="183" dxfId="559">
      <formula>ISNUMBER(SEARCH("UV",D133))</formula>
    </cfRule>
  </conditionalFormatting>
  <conditionalFormatting sqref="C144">
    <cfRule type="expression" priority="165" dxfId="472">
      <formula>(ISNUMBER(SEARCH("CMW",D133)))=TRUE</formula>
    </cfRule>
  </conditionalFormatting>
  <conditionalFormatting sqref="C145">
    <cfRule type="expression" priority="128" dxfId="472">
      <formula>(ISNUMBER(SEARCH("CMW",D133)))=TRUE</formula>
    </cfRule>
  </conditionalFormatting>
  <conditionalFormatting sqref="C146">
    <cfRule type="expression" priority="161" dxfId="472">
      <formula>(ISNUMBER(SEARCH("CMW",$D133)))=TRUE</formula>
    </cfRule>
  </conditionalFormatting>
  <conditionalFormatting sqref="C150">
    <cfRule type="containsText" priority="138" operator="containsText" dxfId="204" text="CONFIG">
      <formula>NOT(ISERROR(SEARCH("CONFIG",C150)))</formula>
    </cfRule>
  </conditionalFormatting>
  <conditionalFormatting sqref="C151">
    <cfRule type="containsText" priority="116" operator="containsText" dxfId="561" text="LIGHT SELECTION">
      <formula>NOT(ISERROR(SEARCH("LIGHT SELECTION",C151)))</formula>
    </cfRule>
  </conditionalFormatting>
  <conditionalFormatting sqref="C152:C153">
    <cfRule type="containsText" priority="18" operator="containsText" dxfId="561" text="ANSUL SELECTION">
      <formula>NOT(ISERROR(SEARCH("ANSUL SELECTION",C152)))</formula>
    </cfRule>
  </conditionalFormatting>
  <conditionalFormatting sqref="C156:C157">
    <cfRule type="cellIs" priority="137" operator="lessThan" dxfId="561">
      <formula>1</formula>
    </cfRule>
  </conditionalFormatting>
  <conditionalFormatting sqref="C158:C159">
    <cfRule type="expression" priority="84" dxfId="383">
      <formula>D158="WW PODS"</formula>
    </cfRule>
  </conditionalFormatting>
  <conditionalFormatting sqref="C160">
    <cfRule type="expression" priority="152" dxfId="559">
      <formula>ISNUMBER(SEARCH("UV",D150))</formula>
    </cfRule>
  </conditionalFormatting>
  <conditionalFormatting sqref="C161">
    <cfRule type="expression" priority="135" dxfId="472">
      <formula>(ISNUMBER(SEARCH("CMW",D150)))=TRUE</formula>
    </cfRule>
  </conditionalFormatting>
  <conditionalFormatting sqref="C162">
    <cfRule type="expression" priority="127" dxfId="472">
      <formula>(ISNUMBER(SEARCH("CMW",D150)))=TRUE</formula>
    </cfRule>
  </conditionalFormatting>
  <conditionalFormatting sqref="C167">
    <cfRule type="containsText" priority="62" operator="containsText" dxfId="204" text="CONFIG">
      <formula>NOT(ISERROR(SEARCH("CONFIG",C167)))</formula>
    </cfRule>
  </conditionalFormatting>
  <conditionalFormatting sqref="C168">
    <cfRule type="containsText" priority="47" operator="containsText" dxfId="561" text="LIGHT SELECTION">
      <formula>NOT(ISERROR(SEARCH("LIGHT SELECTION",C168)))</formula>
    </cfRule>
  </conditionalFormatting>
  <conditionalFormatting sqref="C169:C170">
    <cfRule type="containsText" priority="7" operator="containsText" dxfId="561" text="ANSUL SELECTION">
      <formula>NOT(ISERROR(SEARCH("ANSUL SELECTION",C169)))</formula>
    </cfRule>
  </conditionalFormatting>
  <conditionalFormatting sqref="C173:C174">
    <cfRule type="cellIs" priority="61" operator="lessThan" dxfId="561">
      <formula>1</formula>
    </cfRule>
  </conditionalFormatting>
  <conditionalFormatting sqref="C175:C176">
    <cfRule type="expression" priority="31" dxfId="383">
      <formula>D175="WW PODS"</formula>
    </cfRule>
  </conditionalFormatting>
  <conditionalFormatting sqref="C177">
    <cfRule type="expression" priority="76" dxfId="559">
      <formula>ISNUMBER(SEARCH("UV",D167))</formula>
    </cfRule>
  </conditionalFormatting>
  <conditionalFormatting sqref="C178">
    <cfRule type="expression" priority="59" dxfId="472">
      <formula>(ISNUMBER(SEARCH("CMW",D167)))=TRUE</formula>
    </cfRule>
  </conditionalFormatting>
  <conditionalFormatting sqref="C179">
    <cfRule type="expression" priority="52" dxfId="472">
      <formula>(ISNUMBER(SEARCH("CMW",D167)))=TRUE</formula>
    </cfRule>
  </conditionalFormatting>
  <conditionalFormatting sqref="C183:C184">
    <cfRule type="cellIs" priority="673" operator="lessThan" dxfId="554">
      <formula>1</formula>
    </cfRule>
  </conditionalFormatting>
  <conditionalFormatting sqref="C185:C186">
    <cfRule type="cellIs" priority="662" operator="lessThan" dxfId="164">
      <formula>1</formula>
    </cfRule>
  </conditionalFormatting>
  <conditionalFormatting sqref="C187:C197">
    <cfRule type="cellIs" priority="273" operator="lessThan" dxfId="554">
      <formula>1</formula>
    </cfRule>
  </conditionalFormatting>
  <conditionalFormatting sqref="C9:D9">
    <cfRule type="cellIs" priority="663" operator="lessThan" dxfId="207">
      <formula>0</formula>
    </cfRule>
    <cfRule type="cellIs" priority="664" operator="greaterThan" dxfId="552">
      <formula>0</formula>
    </cfRule>
  </conditionalFormatting>
  <conditionalFormatting sqref="D14">
    <cfRule type="containsText" priority="675" operator="containsText" dxfId="164" text="CANOPY TYPE">
      <formula>NOT(ISERROR(SEARCH("CANOPY TYPE",D14)))</formula>
    </cfRule>
  </conditionalFormatting>
  <conditionalFormatting sqref="D15">
    <cfRule type="expression" priority="419" dxfId="206">
      <formula>(C15="LIGHT SELECTION")</formula>
    </cfRule>
  </conditionalFormatting>
  <conditionalFormatting sqref="D18">
    <cfRule type="expression" priority="629" dxfId="206">
      <formula>($C18="SELECT WORKS")</formula>
    </cfRule>
  </conditionalFormatting>
  <conditionalFormatting sqref="D19">
    <cfRule type="expression" priority="272" dxfId="206">
      <formula>$C19="SELECT CLADDING"</formula>
    </cfRule>
  </conditionalFormatting>
  <conditionalFormatting sqref="D22:D23">
    <cfRule type="expression" priority="402" dxfId="358">
      <formula>($D$14="CANOPY TYPE")</formula>
    </cfRule>
  </conditionalFormatting>
  <conditionalFormatting sqref="D24">
    <cfRule type="expression" priority="688" dxfId="474">
      <formula>ISNUMBER(SEARCH("UV",D14))</formula>
    </cfRule>
  </conditionalFormatting>
  <conditionalFormatting sqref="D25">
    <cfRule type="expression" priority="614" dxfId="358">
      <formula>($D$14="CANOPY TYPE")</formula>
    </cfRule>
  </conditionalFormatting>
  <conditionalFormatting sqref="D26">
    <cfRule type="expression" priority="637" dxfId="472">
      <formula>(ISNUMBER(SEARCH("CMW",D14)))=TRUE</formula>
    </cfRule>
  </conditionalFormatting>
  <conditionalFormatting sqref="D31">
    <cfRule type="containsText" priority="596" operator="containsText" dxfId="164" text="CANOPY TYPE">
      <formula>NOT(ISERROR(SEARCH("CANOPY TYPE",D31)))</formula>
    </cfRule>
  </conditionalFormatting>
  <conditionalFormatting sqref="D32">
    <cfRule type="expression" priority="432" dxfId="206">
      <formula>(C32="LIGHT SELECTION")</formula>
    </cfRule>
  </conditionalFormatting>
  <conditionalFormatting sqref="D35">
    <cfRule type="expression" priority="589" dxfId="206">
      <formula>($C35="SELECT WORKS")</formula>
    </cfRule>
  </conditionalFormatting>
  <conditionalFormatting sqref="D36">
    <cfRule type="expression" priority="411" dxfId="206">
      <formula>$C36="SELECT CLADDING"</formula>
    </cfRule>
  </conditionalFormatting>
  <conditionalFormatting sqref="D39:D40">
    <cfRule type="expression" priority="387" dxfId="358">
      <formula>($D$14="CANOPY TYPE")</formula>
    </cfRule>
  </conditionalFormatting>
  <conditionalFormatting sqref="D41">
    <cfRule type="expression" priority="608" dxfId="474">
      <formula>ISNUMBER(SEARCH("UV",D31))</formula>
    </cfRule>
  </conditionalFormatting>
  <conditionalFormatting sqref="D42">
    <cfRule type="expression" priority="583" dxfId="358">
      <formula>($D$14="CANOPY TYPE")</formula>
    </cfRule>
  </conditionalFormatting>
  <conditionalFormatting sqref="D43">
    <cfRule type="expression" priority="591" dxfId="472">
      <formula>(ISNUMBER(SEARCH("CMW",D31)))=TRUE</formula>
    </cfRule>
  </conditionalFormatting>
  <conditionalFormatting sqref="D48">
    <cfRule type="containsText" priority="414" operator="containsText" dxfId="164" text="CANOPY TYPE">
      <formula>NOT(ISERROR(SEARCH("CANOPY TYPE",D48)))</formula>
    </cfRule>
  </conditionalFormatting>
  <conditionalFormatting sqref="D49">
    <cfRule type="expression" priority="429" dxfId="206">
      <formula>(C15="LIGHT SELECTION")</formula>
    </cfRule>
  </conditionalFormatting>
  <conditionalFormatting sqref="D52">
    <cfRule type="expression" priority="559" dxfId="206">
      <formula>($C52="SELECT WORKS")</formula>
    </cfRule>
  </conditionalFormatting>
  <conditionalFormatting sqref="D53">
    <cfRule type="expression" priority="412" dxfId="206">
      <formula>$C53="SELECT CLADDING"</formula>
    </cfRule>
  </conditionalFormatting>
  <conditionalFormatting sqref="D56:D57">
    <cfRule type="expression" priority="372" dxfId="358">
      <formula>($D$14="CANOPY TYPE")</formula>
    </cfRule>
  </conditionalFormatting>
  <conditionalFormatting sqref="D58">
    <cfRule type="expression" priority="577" dxfId="474">
      <formula>ISNUMBER(SEARCH("UV",D48))</formula>
    </cfRule>
  </conditionalFormatting>
  <conditionalFormatting sqref="D59">
    <cfRule type="expression" priority="554" dxfId="358">
      <formula>($D$14="CANOPY TYPE")</formula>
    </cfRule>
  </conditionalFormatting>
  <conditionalFormatting sqref="D60">
    <cfRule type="expression" priority="561" dxfId="472">
      <formula>(ISNUMBER(SEARCH("CMW",D48)))=TRUE</formula>
    </cfRule>
  </conditionalFormatting>
  <conditionalFormatting sqref="D65">
    <cfRule type="containsText" priority="413" operator="containsText" dxfId="164" text="CANOPY TYPE">
      <formula>NOT(ISERROR(SEARCH("CANOPY TYPE",D65)))</formula>
    </cfRule>
  </conditionalFormatting>
  <conditionalFormatting sqref="D66">
    <cfRule type="expression" priority="422" dxfId="206">
      <formula>(C66="LIGHT SELECTION")</formula>
    </cfRule>
  </conditionalFormatting>
  <conditionalFormatting sqref="D69">
    <cfRule type="expression" priority="529" dxfId="206">
      <formula>($C69="SELECT WORKS")</formula>
    </cfRule>
  </conditionalFormatting>
  <conditionalFormatting sqref="D70">
    <cfRule type="expression" priority="533" dxfId="206">
      <formula>$C70="SELECT CLADDING"</formula>
    </cfRule>
  </conditionalFormatting>
  <conditionalFormatting sqref="D73:D74">
    <cfRule type="expression" priority="357" dxfId="358">
      <formula>($D$14="CANOPY TYPE")</formula>
    </cfRule>
  </conditionalFormatting>
  <conditionalFormatting sqref="D75">
    <cfRule type="expression" priority="548" dxfId="474">
      <formula>ISNUMBER(SEARCH("UV",D65))</formula>
    </cfRule>
  </conditionalFormatting>
  <conditionalFormatting sqref="D76">
    <cfRule type="expression" priority="524" dxfId="358">
      <formula>($D$14="CANOPY TYPE")</formula>
    </cfRule>
  </conditionalFormatting>
  <conditionalFormatting sqref="D77">
    <cfRule type="expression" priority="531" dxfId="472">
      <formula>(ISNUMBER(SEARCH("CMW",D65)))=TRUE</formula>
    </cfRule>
  </conditionalFormatting>
  <conditionalFormatting sqref="D82">
    <cfRule type="containsText" priority="506" operator="containsText" dxfId="164" text="CANOPY TYPE">
      <formula>NOT(ISERROR(SEARCH("CANOPY TYPE",D82)))</formula>
    </cfRule>
  </conditionalFormatting>
  <conditionalFormatting sqref="D83">
    <cfRule type="expression" priority="421" dxfId="206">
      <formula>(C83="LIGHT SELECTION")</formula>
    </cfRule>
  </conditionalFormatting>
  <conditionalFormatting sqref="D86">
    <cfRule type="expression" priority="498" dxfId="206">
      <formula>($C86="SELECT WORKS")</formula>
    </cfRule>
  </conditionalFormatting>
  <conditionalFormatting sqref="D87">
    <cfRule type="expression" priority="502" dxfId="206">
      <formula>$C87="SELECT CLADDING"</formula>
    </cfRule>
  </conditionalFormatting>
  <conditionalFormatting sqref="D90:D91">
    <cfRule type="expression" priority="342" dxfId="358">
      <formula>($D$14="CANOPY TYPE")</formula>
    </cfRule>
  </conditionalFormatting>
  <conditionalFormatting sqref="D92">
    <cfRule type="expression" priority="518" dxfId="474">
      <formula>ISNUMBER(SEARCH("UV",D82))</formula>
    </cfRule>
  </conditionalFormatting>
  <conditionalFormatting sqref="D93">
    <cfRule type="expression" priority="493" dxfId="358">
      <formula>($D$14="CANOPY TYPE")</formula>
    </cfRule>
  </conditionalFormatting>
  <conditionalFormatting sqref="D94">
    <cfRule type="expression" priority="500" dxfId="472">
      <formula>(ISNUMBER(SEARCH("CMW",D82)))=TRUE</formula>
    </cfRule>
  </conditionalFormatting>
  <conditionalFormatting sqref="D99">
    <cfRule type="containsText" priority="475" operator="containsText" dxfId="164" text="CANOPY TYPE">
      <formula>NOT(ISERROR(SEARCH("CANOPY TYPE",D99)))</formula>
    </cfRule>
  </conditionalFormatting>
  <conditionalFormatting sqref="D100">
    <cfRule type="expression" priority="420" dxfId="206">
      <formula>(C100="LIGHT SELECTION")</formula>
    </cfRule>
  </conditionalFormatting>
  <conditionalFormatting sqref="D103">
    <cfRule type="expression" priority="468" dxfId="206">
      <formula>($C103="SELECT WORKS")</formula>
    </cfRule>
  </conditionalFormatting>
  <conditionalFormatting sqref="D104">
    <cfRule type="expression" priority="410" dxfId="206">
      <formula>$C104="SELECT CLADDING"</formula>
    </cfRule>
  </conditionalFormatting>
  <conditionalFormatting sqref="D107:D108">
    <cfRule type="expression" priority="327" dxfId="358">
      <formula>($D$14="CANOPY TYPE")</formula>
    </cfRule>
  </conditionalFormatting>
  <conditionalFormatting sqref="D109">
    <cfRule type="expression" priority="487" dxfId="474">
      <formula>ISNUMBER(SEARCH("UV",D99))</formula>
    </cfRule>
  </conditionalFormatting>
  <conditionalFormatting sqref="D110">
    <cfRule type="expression" priority="463" dxfId="358">
      <formula>($D$14="CANOPY TYPE")</formula>
    </cfRule>
  </conditionalFormatting>
  <conditionalFormatting sqref="D111">
    <cfRule type="expression" priority="470" dxfId="472">
      <formula>(ISNUMBER(SEARCH("CMW",D99)))=TRUE</formula>
    </cfRule>
  </conditionalFormatting>
  <conditionalFormatting sqref="D116">
    <cfRule type="containsText" priority="307" operator="containsText" dxfId="164" text="CANOPY TYPE">
      <formula>NOT(ISERROR(SEARCH("CANOPY TYPE",D116)))</formula>
    </cfRule>
  </conditionalFormatting>
  <conditionalFormatting sqref="D117">
    <cfRule type="expression" priority="290" dxfId="206">
      <formula>(C117="LIGHT SELECTION")</formula>
    </cfRule>
  </conditionalFormatting>
  <conditionalFormatting sqref="D120">
    <cfRule type="expression" priority="300" dxfId="206">
      <formula>($C120="SELECT WORKS")</formula>
    </cfRule>
  </conditionalFormatting>
  <conditionalFormatting sqref="D121">
    <cfRule type="expression" priority="289" dxfId="206">
      <formula>$C121="SELECT CLADDING"</formula>
    </cfRule>
  </conditionalFormatting>
  <conditionalFormatting sqref="D124:D125">
    <cfRule type="expression" priority="274" dxfId="358">
      <formula>($D$14="CANOPY TYPE")</formula>
    </cfRule>
  </conditionalFormatting>
  <conditionalFormatting sqref="D126">
    <cfRule type="expression" priority="319" dxfId="474">
      <formula>ISNUMBER(SEARCH("UV",D116))</formula>
    </cfRule>
  </conditionalFormatting>
  <conditionalFormatting sqref="D127">
    <cfRule type="expression" priority="297" dxfId="358">
      <formula>($D$14="CANOPY TYPE")</formula>
    </cfRule>
  </conditionalFormatting>
  <conditionalFormatting sqref="D128">
    <cfRule type="expression" priority="302" dxfId="472">
      <formula>(ISNUMBER(SEARCH("CMW",D116)))=TRUE</formula>
    </cfRule>
  </conditionalFormatting>
  <conditionalFormatting sqref="D133">
    <cfRule type="containsText" priority="170" operator="containsText" dxfId="164" text="CANOPY TYPE">
      <formula>NOT(ISERROR(SEARCH("CANOPY TYPE",D133)))</formula>
    </cfRule>
  </conditionalFormatting>
  <conditionalFormatting sqref="D134">
    <cfRule type="expression" priority="115" dxfId="206">
      <formula>(C134="LIGHT SELECTION")</formula>
    </cfRule>
  </conditionalFormatting>
  <conditionalFormatting sqref="D137">
    <cfRule type="expression" priority="162" dxfId="206">
      <formula>($C137="SELECT WORKS")</formula>
    </cfRule>
  </conditionalFormatting>
  <conditionalFormatting sqref="D138">
    <cfRule type="expression" priority="166" dxfId="206">
      <formula>$C138="SELECT CLADDING"</formula>
    </cfRule>
  </conditionalFormatting>
  <conditionalFormatting sqref="D141:D142">
    <cfRule type="expression" priority="98" dxfId="358">
      <formula>($D$14="CANOPY TYPE")</formula>
    </cfRule>
  </conditionalFormatting>
  <conditionalFormatting sqref="D143">
    <cfRule type="expression" priority="182" dxfId="474">
      <formula>ISNUMBER(SEARCH("UV",D133))</formula>
    </cfRule>
  </conditionalFormatting>
  <conditionalFormatting sqref="D144">
    <cfRule type="expression" priority="157" dxfId="358">
      <formula>($D$14="CANOPY TYPE")</formula>
    </cfRule>
  </conditionalFormatting>
  <conditionalFormatting sqref="D145">
    <cfRule type="expression" priority="164" dxfId="472">
      <formula>(ISNUMBER(SEARCH("CMW",D133)))=TRUE</formula>
    </cfRule>
  </conditionalFormatting>
  <conditionalFormatting sqref="D150">
    <cfRule type="containsText" priority="139" operator="containsText" dxfId="164" text="CANOPY TYPE">
      <formula>NOT(ISERROR(SEARCH("CANOPY TYPE",D150)))</formula>
    </cfRule>
  </conditionalFormatting>
  <conditionalFormatting sqref="D151">
    <cfRule type="expression" priority="114" dxfId="206">
      <formula>(C151="LIGHT SELECTION")</formula>
    </cfRule>
  </conditionalFormatting>
  <conditionalFormatting sqref="D154">
    <cfRule type="expression" priority="132" dxfId="206">
      <formula>($C154="SELECT WORKS")</formula>
    </cfRule>
  </conditionalFormatting>
  <conditionalFormatting sqref="D155">
    <cfRule type="expression" priority="113" dxfId="206">
      <formula>$C155="SELECT CLADDING"</formula>
    </cfRule>
  </conditionalFormatting>
  <conditionalFormatting sqref="D158:D159">
    <cfRule type="expression" priority="83" dxfId="358">
      <formula>($D$14="CANOPY TYPE")</formula>
    </cfRule>
  </conditionalFormatting>
  <conditionalFormatting sqref="D160">
    <cfRule type="expression" priority="151" dxfId="474">
      <formula>ISNUMBER(SEARCH("UV",D150))</formula>
    </cfRule>
  </conditionalFormatting>
  <conditionalFormatting sqref="D161">
    <cfRule type="expression" priority="129" dxfId="358">
      <formula>($D$14="CANOPY TYPE")</formula>
    </cfRule>
  </conditionalFormatting>
  <conditionalFormatting sqref="D162">
    <cfRule type="expression" priority="134" dxfId="472">
      <formula>(ISNUMBER(SEARCH("CMW",D150)))=TRUE</formula>
    </cfRule>
  </conditionalFormatting>
  <conditionalFormatting sqref="D167">
    <cfRule type="containsText" priority="63" operator="containsText" dxfId="164" text="CANOPY TYPE">
      <formula>NOT(ISERROR(SEARCH("CANOPY TYPE",D167)))</formula>
    </cfRule>
  </conditionalFormatting>
  <conditionalFormatting sqref="D168">
    <cfRule type="expression" priority="46" dxfId="206">
      <formula>(C168="LIGHT SELECTION")</formula>
    </cfRule>
  </conditionalFormatting>
  <conditionalFormatting sqref="D171">
    <cfRule type="expression" priority="56" dxfId="206">
      <formula>($C171="SELECT WORKS")</formula>
    </cfRule>
  </conditionalFormatting>
  <conditionalFormatting sqref="D172">
    <cfRule type="expression" priority="45" dxfId="206">
      <formula>$C172="SELECT CLADDING"</formula>
    </cfRule>
  </conditionalFormatting>
  <conditionalFormatting sqref="D175:D176">
    <cfRule type="expression" priority="30" dxfId="358">
      <formula>($D$14="CANOPY TYPE")</formula>
    </cfRule>
  </conditionalFormatting>
  <conditionalFormatting sqref="D177">
    <cfRule type="expression" priority="75" dxfId="474">
      <formula>ISNUMBER(SEARCH("UV",D167))</formula>
    </cfRule>
  </conditionalFormatting>
  <conditionalFormatting sqref="D178">
    <cfRule type="expression" priority="53" dxfId="358">
      <formula>($D$14="CANOPY TYPE")</formula>
    </cfRule>
  </conditionalFormatting>
  <conditionalFormatting sqref="D179">
    <cfRule type="expression" priority="58" dxfId="472">
      <formula>(ISNUMBER(SEARCH("CMW",D167)))=TRUE</formula>
    </cfRule>
  </conditionalFormatting>
  <conditionalFormatting sqref="E12">
    <cfRule type="expression" priority="685" dxfId="386">
      <formula>AND((ISNUMBER(SEARCH("I-MUAP",$D$14))),E12&lt;2500)</formula>
    </cfRule>
    <cfRule type="expression" priority="686" dxfId="387">
      <formula>ISNUMBER(SEARCH("I-MUAP",$D$14))</formula>
    </cfRule>
    <cfRule type="cellIs" priority="687" operator="greaterThan" dxfId="204">
      <formula>2000</formula>
    </cfRule>
  </conditionalFormatting>
  <conditionalFormatting sqref="E15">
    <cfRule type="expression" priority="417" dxfId="315">
      <formula>(C15="LIGHT SELECTION")</formula>
    </cfRule>
  </conditionalFormatting>
  <conditionalFormatting sqref="E17:E18">
    <cfRule type="expression" priority="628" dxfId="381">
      <formula>$C17="SELECT WORKS"</formula>
    </cfRule>
  </conditionalFormatting>
  <conditionalFormatting sqref="E22:E23">
    <cfRule type="expression" priority="667" dxfId="384">
      <formula>D22="WW PODS"</formula>
    </cfRule>
    <cfRule type="expression" priority="668" dxfId="383">
      <formula>D22="FILTER TYPE"</formula>
    </cfRule>
    <cfRule type="expression" priority="669" dxfId="382">
      <formula>D22="KSA"</formula>
    </cfRule>
    <cfRule type="expression" priority="690" dxfId="381">
      <formula>(D14="CANOPY TYPE")</formula>
    </cfRule>
  </conditionalFormatting>
  <conditionalFormatting sqref="E24">
    <cfRule type="containsText" priority="677" operator="containsText" dxfId="380" text="LONG ">
      <formula>NOT(ISERROR(SEARCH("LONG ",E24)))</formula>
    </cfRule>
  </conditionalFormatting>
  <conditionalFormatting sqref="E29">
    <cfRule type="expression" priority="605" dxfId="386">
      <formula>AND((ISNUMBER(SEARCH("I-MUAP",$D$14))),E29&lt;2500)</formula>
    </cfRule>
    <cfRule type="expression" priority="606" dxfId="387">
      <formula>ISNUMBER(SEARCH("I-MUAP",$D$14))</formula>
    </cfRule>
    <cfRule type="cellIs" priority="607" operator="greaterThan" dxfId="204">
      <formula>2000</formula>
    </cfRule>
  </conditionalFormatting>
  <conditionalFormatting sqref="E34">
    <cfRule type="expression" priority="264" dxfId="381">
      <formula>$C34="SELECT WORKS"</formula>
    </cfRule>
  </conditionalFormatting>
  <conditionalFormatting sqref="E39:E40">
    <cfRule type="expression" priority="389" dxfId="384">
      <formula>D39="WW PODS"</formula>
    </cfRule>
    <cfRule type="expression" priority="390" dxfId="383">
      <formula>D39="FILTER TYPE"</formula>
    </cfRule>
    <cfRule type="expression" priority="391" dxfId="382">
      <formula>D39="KSA"</formula>
    </cfRule>
    <cfRule type="expression" priority="392" dxfId="381">
      <formula>(D31="CANOPY TYPE")</formula>
    </cfRule>
  </conditionalFormatting>
  <conditionalFormatting sqref="E41">
    <cfRule type="containsText" priority="598" operator="containsText" dxfId="380" text="LONG ">
      <formula>NOT(ISERROR(SEARCH("LONG ",E41)))</formula>
    </cfRule>
  </conditionalFormatting>
  <conditionalFormatting sqref="E46">
    <cfRule type="expression" priority="574" dxfId="386">
      <formula>AND((ISNUMBER(SEARCH("I-MUAP",$D$14))),E46&lt;2500)</formula>
    </cfRule>
    <cfRule type="expression" priority="575" dxfId="387">
      <formula>ISNUMBER(SEARCH("I-MUAP",$D$14))</formula>
    </cfRule>
    <cfRule type="cellIs" priority="576" operator="greaterThan" dxfId="204">
      <formula>2000</formula>
    </cfRule>
  </conditionalFormatting>
  <conditionalFormatting sqref="E49">
    <cfRule type="expression" priority="431" dxfId="315">
      <formula>(C49="LIGHT SELECTION")</formula>
    </cfRule>
  </conditionalFormatting>
  <conditionalFormatting sqref="E51:E52">
    <cfRule type="expression" priority="253" dxfId="381">
      <formula>$C51="SELECT WORKS"</formula>
    </cfRule>
  </conditionalFormatting>
  <conditionalFormatting sqref="E56:E57">
    <cfRule type="expression" priority="374" dxfId="384">
      <formula>D56="WW PODS"</formula>
    </cfRule>
    <cfRule type="expression" priority="375" dxfId="383">
      <formula>D56="FILTER TYPE"</formula>
    </cfRule>
    <cfRule type="expression" priority="376" dxfId="382">
      <formula>D56="KSA"</formula>
    </cfRule>
    <cfRule type="expression" priority="377" dxfId="381">
      <formula>(D48="CANOPY TYPE")</formula>
    </cfRule>
  </conditionalFormatting>
  <conditionalFormatting sqref="E58">
    <cfRule type="containsText" priority="567" operator="containsText" dxfId="380" text="LONG ">
      <formula>NOT(ISERROR(SEARCH("LONG ",E58)))</formula>
    </cfRule>
  </conditionalFormatting>
  <conditionalFormatting sqref="E63">
    <cfRule type="expression" priority="545" dxfId="386">
      <formula>AND((ISNUMBER(SEARCH("I-MUAP",$D$14))),E63&lt;2500)</formula>
    </cfRule>
    <cfRule type="expression" priority="546" dxfId="387">
      <formula>ISNUMBER(SEARCH("I-MUAP",$D$14))</formula>
    </cfRule>
    <cfRule type="cellIs" priority="547" operator="greaterThan" dxfId="204">
      <formula>2000</formula>
    </cfRule>
  </conditionalFormatting>
  <conditionalFormatting sqref="E68:E69">
    <cfRule type="expression" priority="242" dxfId="381">
      <formula>$C68="SELECT WORKS"</formula>
    </cfRule>
  </conditionalFormatting>
  <conditionalFormatting sqref="E73:E74">
    <cfRule type="expression" priority="359" dxfId="384">
      <formula>D73="WW PODS"</formula>
    </cfRule>
    <cfRule type="expression" priority="360" dxfId="383">
      <formula>D73="FILTER TYPE"</formula>
    </cfRule>
    <cfRule type="expression" priority="361" dxfId="382">
      <formula>D73="KSA"</formula>
    </cfRule>
    <cfRule type="expression" priority="362" dxfId="381">
      <formula>(D65="CANOPY TYPE")</formula>
    </cfRule>
  </conditionalFormatting>
  <conditionalFormatting sqref="E75">
    <cfRule type="containsText" priority="538" operator="containsText" dxfId="380" text="LONG ">
      <formula>NOT(ISERROR(SEARCH("LONG ",E75)))</formula>
    </cfRule>
  </conditionalFormatting>
  <conditionalFormatting sqref="E80">
    <cfRule type="expression" priority="515" dxfId="386">
      <formula>AND((ISNUMBER(SEARCH("I-MUAP",$D$14))),E80&lt;2500)</formula>
    </cfRule>
    <cfRule type="expression" priority="516" dxfId="387">
      <formula>ISNUMBER(SEARCH("I-MUAP",$D$14))</formula>
    </cfRule>
    <cfRule type="cellIs" priority="517" operator="greaterThan" dxfId="204">
      <formula>2000</formula>
    </cfRule>
  </conditionalFormatting>
  <conditionalFormatting sqref="E85:E86">
    <cfRule type="expression" priority="231" dxfId="381">
      <formula>$C85="SELECT WORKS"</formula>
    </cfRule>
  </conditionalFormatting>
  <conditionalFormatting sqref="E90:E91">
    <cfRule type="expression" priority="344" dxfId="384">
      <formula>D90="WW PODS"</formula>
    </cfRule>
    <cfRule type="expression" priority="345" dxfId="383">
      <formula>D90="FILTER TYPE"</formula>
    </cfRule>
    <cfRule type="expression" priority="346" dxfId="382">
      <formula>D90="KSA"</formula>
    </cfRule>
    <cfRule type="expression" priority="347" dxfId="381">
      <formula>(D82="CANOPY TYPE")</formula>
    </cfRule>
  </conditionalFormatting>
  <conditionalFormatting sqref="E92">
    <cfRule type="containsText" priority="508" operator="containsText" dxfId="380" text="LONG ">
      <formula>NOT(ISERROR(SEARCH("LONG ",E92)))</formula>
    </cfRule>
  </conditionalFormatting>
  <conditionalFormatting sqref="E97">
    <cfRule type="expression" priority="484" dxfId="386">
      <formula>AND((ISNUMBER(SEARCH("I-MUAP",$D$14))),E97&lt;2500)</formula>
    </cfRule>
    <cfRule type="expression" priority="485" dxfId="387">
      <formula>ISNUMBER(SEARCH("I-MUAP",$D$14))</formula>
    </cfRule>
    <cfRule type="cellIs" priority="486" operator="greaterThan" dxfId="204">
      <formula>2000</formula>
    </cfRule>
  </conditionalFormatting>
  <conditionalFormatting sqref="E102:E103">
    <cfRule type="expression" priority="220" dxfId="381">
      <formula>$C102="SELECT WORKS"</formula>
    </cfRule>
  </conditionalFormatting>
  <conditionalFormatting sqref="E107:E108">
    <cfRule type="expression" priority="329" dxfId="384">
      <formula>D107="WW PODS"</formula>
    </cfRule>
    <cfRule type="expression" priority="330" dxfId="383">
      <formula>D107="FILTER TYPE"</formula>
    </cfRule>
    <cfRule type="expression" priority="331" dxfId="382">
      <formula>D107="KSA"</formula>
    </cfRule>
    <cfRule type="expression" priority="332" dxfId="381">
      <formula>(D99="CANOPY TYPE")</formula>
    </cfRule>
  </conditionalFormatting>
  <conditionalFormatting sqref="E109">
    <cfRule type="containsText" priority="477" operator="containsText" dxfId="380" text="LONG ">
      <formula>NOT(ISERROR(SEARCH("LONG ",E109)))</formula>
    </cfRule>
  </conditionalFormatting>
  <conditionalFormatting sqref="E114">
    <cfRule type="expression" priority="316" dxfId="386">
      <formula>AND((ISNUMBER(SEARCH("I-MUAP",$D$14))),E114&lt;2500)</formula>
    </cfRule>
    <cfRule type="expression" priority="317" dxfId="387">
      <formula>ISNUMBER(SEARCH("I-MUAP",$D$14))</formula>
    </cfRule>
    <cfRule type="cellIs" priority="318" operator="greaterThan" dxfId="204">
      <formula>2000</formula>
    </cfRule>
  </conditionalFormatting>
  <conditionalFormatting sqref="E119:E120">
    <cfRule type="expression" priority="209" dxfId="381">
      <formula>$C119="SELECT WORKS"</formula>
    </cfRule>
  </conditionalFormatting>
  <conditionalFormatting sqref="E124:E125">
    <cfRule type="expression" priority="276" dxfId="384">
      <formula>D124="WW PODS"</formula>
    </cfRule>
    <cfRule type="expression" priority="277" dxfId="383">
      <formula>D124="FILTER TYPE"</formula>
    </cfRule>
    <cfRule type="expression" priority="278" dxfId="382">
      <formula>D124="KSA"</formula>
    </cfRule>
    <cfRule type="expression" priority="279" dxfId="381">
      <formula>(D116="CANOPY TYPE")</formula>
    </cfRule>
  </conditionalFormatting>
  <conditionalFormatting sqref="E126">
    <cfRule type="containsText" priority="309" operator="containsText" dxfId="380" text="LONG ">
      <formula>NOT(ISERROR(SEARCH("LONG ",E126)))</formula>
    </cfRule>
  </conditionalFormatting>
  <conditionalFormatting sqref="E131">
    <cfRule type="expression" priority="179" dxfId="386">
      <formula>AND((ISNUMBER(SEARCH("I-MUAP",$D$14))),E131&lt;2500)</formula>
    </cfRule>
    <cfRule type="expression" priority="180" dxfId="387">
      <formula>ISNUMBER(SEARCH("I-MUAP",$D$14))</formula>
    </cfRule>
    <cfRule type="cellIs" priority="181" operator="greaterThan" dxfId="204">
      <formula>2000</formula>
    </cfRule>
  </conditionalFormatting>
  <conditionalFormatting sqref="E136:E137">
    <cfRule type="expression" priority="22" dxfId="381">
      <formula>$C136="SELECT WORKS"</formula>
    </cfRule>
  </conditionalFormatting>
  <conditionalFormatting sqref="E141:E142">
    <cfRule type="expression" priority="100" dxfId="384">
      <formula>D141="WW PODS"</formula>
    </cfRule>
    <cfRule type="expression" priority="101" dxfId="383">
      <formula>D141="FILTER TYPE"</formula>
    </cfRule>
    <cfRule type="expression" priority="102" dxfId="382">
      <formula>D141="KSA"</formula>
    </cfRule>
    <cfRule type="expression" priority="103" dxfId="381">
      <formula>(D133="CANOPY TYPE")</formula>
    </cfRule>
  </conditionalFormatting>
  <conditionalFormatting sqref="E143">
    <cfRule type="containsText" priority="172" operator="containsText" dxfId="380" text="LONG ">
      <formula>NOT(ISERROR(SEARCH("LONG ",E143)))</formula>
    </cfRule>
  </conditionalFormatting>
  <conditionalFormatting sqref="E148">
    <cfRule type="expression" priority="148" dxfId="386">
      <formula>AND((ISNUMBER(SEARCH("I-MUAP",$D$14))),E148&lt;2500)</formula>
    </cfRule>
    <cfRule type="expression" priority="149" dxfId="387">
      <formula>ISNUMBER(SEARCH("I-MUAP",$D$14))</formula>
    </cfRule>
    <cfRule type="cellIs" priority="150" operator="greaterThan" dxfId="204">
      <formula>2000</formula>
    </cfRule>
  </conditionalFormatting>
  <conditionalFormatting sqref="E153:E154">
    <cfRule type="expression" priority="11" dxfId="381">
      <formula>$C153="SELECT WORKS"</formula>
    </cfRule>
  </conditionalFormatting>
  <conditionalFormatting sqref="E158:E159">
    <cfRule type="expression" priority="85" dxfId="384">
      <formula>D158="WW PODS"</formula>
    </cfRule>
    <cfRule type="expression" priority="86" dxfId="383">
      <formula>D158="FILTER TYPE"</formula>
    </cfRule>
    <cfRule type="expression" priority="87" dxfId="382">
      <formula>D158="KSA"</formula>
    </cfRule>
    <cfRule type="expression" priority="88" dxfId="381">
      <formula>(D150="CANOPY TYPE")</formula>
    </cfRule>
  </conditionalFormatting>
  <conditionalFormatting sqref="E160">
    <cfRule type="containsText" priority="141" operator="containsText" dxfId="380" text="LONG ">
      <formula>NOT(ISERROR(SEARCH("LONG ",E160)))</formula>
    </cfRule>
  </conditionalFormatting>
  <conditionalFormatting sqref="E165">
    <cfRule type="expression" priority="72" dxfId="386">
      <formula>AND((ISNUMBER(SEARCH("I-MUAP",$D$14))),E165&lt;2500)</formula>
    </cfRule>
    <cfRule type="expression" priority="73" dxfId="387">
      <formula>ISNUMBER(SEARCH("I-MUAP",$D$14))</formula>
    </cfRule>
    <cfRule type="cellIs" priority="74" operator="greaterThan" dxfId="204">
      <formula>2000</formula>
    </cfRule>
  </conditionalFormatting>
  <conditionalFormatting sqref="E170:E171">
    <cfRule type="expression" priority="6" dxfId="381">
      <formula>$C170="SELECT WORKS"</formula>
    </cfRule>
  </conditionalFormatting>
  <conditionalFormatting sqref="E175:E176">
    <cfRule type="expression" priority="32" dxfId="384">
      <formula>D175="WW PODS"</formula>
    </cfRule>
    <cfRule type="expression" priority="33" dxfId="383">
      <formula>D175="FILTER TYPE"</formula>
    </cfRule>
    <cfRule type="expression" priority="34" dxfId="382">
      <formula>D175="KSA"</formula>
    </cfRule>
    <cfRule type="expression" priority="35" dxfId="381">
      <formula>(D167="CANOPY TYPE")</formula>
    </cfRule>
  </conditionalFormatting>
  <conditionalFormatting sqref="E177">
    <cfRule type="containsText" priority="65" operator="containsText" dxfId="380" text="LONG ">
      <formula>NOT(ISERROR(SEARCH("LONG ",E177)))</formula>
    </cfRule>
  </conditionalFormatting>
  <conditionalFormatting sqref="E12:F12">
    <cfRule type="cellIs" priority="681" operator="lessThan" dxfId="204">
      <formula>1000</formula>
    </cfRule>
  </conditionalFormatting>
  <conditionalFormatting sqref="E14:F14">
    <cfRule type="cellIs" priority="678" operator="lessThan" dxfId="164">
      <formula>1000</formula>
    </cfRule>
  </conditionalFormatting>
  <conditionalFormatting sqref="E25:F27">
    <cfRule type="expression" priority="615" dxfId="358">
      <formula>($D$14="CANOPY TYPE")</formula>
    </cfRule>
  </conditionalFormatting>
  <conditionalFormatting sqref="E29:F29">
    <cfRule type="cellIs" priority="602" operator="lessThan" dxfId="204">
      <formula>1000</formula>
    </cfRule>
  </conditionalFormatting>
  <conditionalFormatting sqref="E31:F31">
    <cfRule type="cellIs" priority="599" operator="lessThan" dxfId="164">
      <formula>1000</formula>
    </cfRule>
  </conditionalFormatting>
  <conditionalFormatting sqref="E32:F32">
    <cfRule type="expression" priority="455" dxfId="315">
      <formula>(C32="LIGHT SELECTION")</formula>
    </cfRule>
  </conditionalFormatting>
  <conditionalFormatting sqref="E42:F44">
    <cfRule type="expression" priority="584" dxfId="358">
      <formula>($D$14="CANOPY TYPE")</formula>
    </cfRule>
  </conditionalFormatting>
  <conditionalFormatting sqref="E46:F46">
    <cfRule type="cellIs" priority="571" operator="lessThan" dxfId="204">
      <formula>1000</formula>
    </cfRule>
  </conditionalFormatting>
  <conditionalFormatting sqref="E48:F48">
    <cfRule type="cellIs" priority="568" operator="lessThan" dxfId="164">
      <formula>1000</formula>
    </cfRule>
  </conditionalFormatting>
  <conditionalFormatting sqref="E59:F61">
    <cfRule type="expression" priority="555" dxfId="358">
      <formula>($D$14="CANOPY TYPE")</formula>
    </cfRule>
  </conditionalFormatting>
  <conditionalFormatting sqref="E63:F63">
    <cfRule type="cellIs" priority="542" operator="lessThan" dxfId="204">
      <formula>1000</formula>
    </cfRule>
  </conditionalFormatting>
  <conditionalFormatting sqref="E65:F65">
    <cfRule type="cellIs" priority="539" operator="lessThan" dxfId="164">
      <formula>1000</formula>
    </cfRule>
  </conditionalFormatting>
  <conditionalFormatting sqref="E66:F66">
    <cfRule type="expression" priority="448" dxfId="315">
      <formula>(C66="LIGHT SELECTION")</formula>
    </cfRule>
  </conditionalFormatting>
  <conditionalFormatting sqref="E76:F78">
    <cfRule type="expression" priority="525" dxfId="358">
      <formula>($D$14="CANOPY TYPE")</formula>
    </cfRule>
  </conditionalFormatting>
  <conditionalFormatting sqref="E80:F80">
    <cfRule type="cellIs" priority="512" operator="lessThan" dxfId="204">
      <formula>1000</formula>
    </cfRule>
  </conditionalFormatting>
  <conditionalFormatting sqref="E82:F82">
    <cfRule type="cellIs" priority="509" operator="lessThan" dxfId="164">
      <formula>1000</formula>
    </cfRule>
  </conditionalFormatting>
  <conditionalFormatting sqref="E83:F83">
    <cfRule type="expression" priority="444" dxfId="315">
      <formula>(C83="LIGHT SELECTION")</formula>
    </cfRule>
  </conditionalFormatting>
  <conditionalFormatting sqref="E93:F95">
    <cfRule type="expression" priority="494" dxfId="358">
      <formula>($D$14="CANOPY TYPE")</formula>
    </cfRule>
  </conditionalFormatting>
  <conditionalFormatting sqref="E97:F97">
    <cfRule type="cellIs" priority="481" operator="lessThan" dxfId="204">
      <formula>1000</formula>
    </cfRule>
  </conditionalFormatting>
  <conditionalFormatting sqref="E99:F99">
    <cfRule type="cellIs" priority="478" operator="lessThan" dxfId="164">
      <formula>1000</formula>
    </cfRule>
  </conditionalFormatting>
  <conditionalFormatting sqref="E100:F100">
    <cfRule type="expression" priority="440" dxfId="315">
      <formula>(C100="LIGHT SELECTION")</formula>
    </cfRule>
  </conditionalFormatting>
  <conditionalFormatting sqref="E110:F112 E127:F129 E161:F163 E178:F180">
    <cfRule type="expression" priority="464" dxfId="358">
      <formula>($D$14="CANOPY TYPE")</formula>
    </cfRule>
  </conditionalFormatting>
  <conditionalFormatting sqref="E114:F114">
    <cfRule type="cellIs" priority="313" operator="lessThan" dxfId="204">
      <formula>1000</formula>
    </cfRule>
  </conditionalFormatting>
  <conditionalFormatting sqref="E116:F116">
    <cfRule type="cellIs" priority="310" operator="lessThan" dxfId="164">
      <formula>1000</formula>
    </cfRule>
  </conditionalFormatting>
  <conditionalFormatting sqref="E117:F117">
    <cfRule type="expression" priority="294" dxfId="315">
      <formula>(C117="LIGHT SELECTION")</formula>
    </cfRule>
  </conditionalFormatting>
  <conditionalFormatting sqref="E131:F131">
    <cfRule type="cellIs" priority="176" operator="lessThan" dxfId="204">
      <formula>1000</formula>
    </cfRule>
  </conditionalFormatting>
  <conditionalFormatting sqref="E133:F133">
    <cfRule type="cellIs" priority="173" operator="lessThan" dxfId="164">
      <formula>1000</formula>
    </cfRule>
  </conditionalFormatting>
  <conditionalFormatting sqref="E134:F134">
    <cfRule type="expression" priority="125" dxfId="315">
      <formula>(C134="LIGHT SELECTION")</formula>
    </cfRule>
  </conditionalFormatting>
  <conditionalFormatting sqref="E144:F146">
    <cfRule type="expression" priority="158" dxfId="358">
      <formula>($D$14="CANOPY TYPE")</formula>
    </cfRule>
  </conditionalFormatting>
  <conditionalFormatting sqref="E148:F148">
    <cfRule type="cellIs" priority="145" operator="lessThan" dxfId="204">
      <formula>1000</formula>
    </cfRule>
  </conditionalFormatting>
  <conditionalFormatting sqref="E150:F150">
    <cfRule type="cellIs" priority="142" operator="lessThan" dxfId="164">
      <formula>1000</formula>
    </cfRule>
  </conditionalFormatting>
  <conditionalFormatting sqref="E151:F151">
    <cfRule type="expression" priority="121" dxfId="315">
      <formula>(C151="LIGHT SELECTION")</formula>
    </cfRule>
  </conditionalFormatting>
  <conditionalFormatting sqref="E165:F165">
    <cfRule type="cellIs" priority="69" operator="lessThan" dxfId="204">
      <formula>1000</formula>
    </cfRule>
  </conditionalFormatting>
  <conditionalFormatting sqref="E167:F167">
    <cfRule type="cellIs" priority="66" operator="lessThan" dxfId="164">
      <formula>1000</formula>
    </cfRule>
  </conditionalFormatting>
  <conditionalFormatting sqref="E168:F168">
    <cfRule type="expression" priority="50" dxfId="315">
      <formula>(C168="LIGHT SELECTION")</formula>
    </cfRule>
  </conditionalFormatting>
  <conditionalFormatting sqref="F12">
    <cfRule type="cellIs" priority="682" operator="greaterThan" dxfId="204">
      <formula>3001</formula>
    </cfRule>
  </conditionalFormatting>
  <conditionalFormatting sqref="F15">
    <cfRule type="expression" priority="457" dxfId="214">
      <formula>(C15="LED STRIP")</formula>
    </cfRule>
    <cfRule type="expression" priority="670" dxfId="215">
      <formula>(C15="LIGHT SELECTION")</formula>
    </cfRule>
    <cfRule type="expression" priority="672" dxfId="216">
      <formula>(C15="FLO")</formula>
    </cfRule>
    <cfRule type="expression" priority="704" dxfId="315">
      <formula>(D49="LIGHT SELECTION")</formula>
    </cfRule>
  </conditionalFormatting>
  <conditionalFormatting sqref="F22:F23">
    <cfRule type="expression" priority="695" dxfId="206">
      <formula>D22="NF"</formula>
    </cfRule>
    <cfRule type="expression" priority="696" dxfId="208">
      <formula>D22="WW PODS"</formula>
    </cfRule>
    <cfRule type="expression" priority="697" dxfId="206">
      <formula>D22="GRILLE"</formula>
    </cfRule>
    <cfRule type="expression" priority="698" dxfId="206">
      <formula>D22="CENTREX"</formula>
    </cfRule>
    <cfRule type="expression" priority="699" dxfId="206" stopIfTrue="1">
      <formula>D14="canopy type"</formula>
    </cfRule>
    <cfRule type="expression" priority="700" dxfId="207">
      <formula>(((I14*3600)/(C22*I11))^2+20)&gt;300</formula>
    </cfRule>
    <cfRule type="expression" priority="701" dxfId="205" stopIfTrue="1">
      <formula>(ISNUMBER(SEARCH("UV",D14)))</formula>
    </cfRule>
    <cfRule type="expression" priority="702" dxfId="207">
      <formula>(((I14*3600)/(C22*I11))^2+20)&gt;180</formula>
    </cfRule>
    <cfRule type="expression" priority="703" dxfId="205">
      <formula>D22="KSA"</formula>
    </cfRule>
  </conditionalFormatting>
  <conditionalFormatting sqref="F24">
    <cfRule type="cellIs" priority="676" operator="lessThan" dxfId="204">
      <formula>2100</formula>
    </cfRule>
  </conditionalFormatting>
  <conditionalFormatting sqref="F29">
    <cfRule type="cellIs" priority="603" operator="greaterThan" dxfId="204">
      <formula>3001</formula>
    </cfRule>
  </conditionalFormatting>
  <conditionalFormatting sqref="F32">
    <cfRule type="expression" priority="453" dxfId="214">
      <formula>(C32="LED STRIP")</formula>
    </cfRule>
    <cfRule type="expression" priority="454" dxfId="215">
      <formula>(C32="LIGHT SELECTION")</formula>
    </cfRule>
    <cfRule type="expression" priority="456" dxfId="216">
      <formula>(C32="FLO")</formula>
    </cfRule>
  </conditionalFormatting>
  <conditionalFormatting sqref="F39:F40">
    <cfRule type="expression" priority="393" dxfId="206">
      <formula>D39="NF"</formula>
    </cfRule>
    <cfRule type="expression" priority="394" dxfId="208">
      <formula>D39="WW PODS"</formula>
    </cfRule>
    <cfRule type="expression" priority="395" dxfId="206">
      <formula>D39="GRILLE"</formula>
    </cfRule>
    <cfRule type="expression" priority="396" dxfId="206">
      <formula>D39="CENTREX"</formula>
    </cfRule>
    <cfRule type="expression" priority="397" dxfId="206" stopIfTrue="1">
      <formula>D31="canopy type"</formula>
    </cfRule>
    <cfRule type="expression" priority="398" dxfId="207">
      <formula>(((I31*3600)/(C39*I28))^2+20)&gt;300</formula>
    </cfRule>
    <cfRule type="expression" priority="399" dxfId="205" stopIfTrue="1">
      <formula>(ISNUMBER(SEARCH("UV",D31)))</formula>
    </cfRule>
    <cfRule type="expression" priority="400" dxfId="207">
      <formula>(((I31*3600)/(C39*I28))^2+20)&gt;180</formula>
    </cfRule>
    <cfRule type="expression" priority="401" dxfId="205">
      <formula>D39="KSA"</formula>
    </cfRule>
  </conditionalFormatting>
  <conditionalFormatting sqref="F41">
    <cfRule type="cellIs" priority="597" operator="lessThan" dxfId="204">
      <formula>2100</formula>
    </cfRule>
  </conditionalFormatting>
  <conditionalFormatting sqref="F46">
    <cfRule type="cellIs" priority="572" operator="greaterThan" dxfId="204">
      <formula>3001</formula>
    </cfRule>
  </conditionalFormatting>
  <conditionalFormatting sqref="F49">
    <cfRule type="expression" priority="450" dxfId="214">
      <formula>(C49="LED STRIP")</formula>
    </cfRule>
    <cfRule type="expression" priority="451" dxfId="215">
      <formula>(C49="LIGHT SELECTION")</formula>
    </cfRule>
    <cfRule type="expression" priority="452" dxfId="216">
      <formula>(C49="FLO")</formula>
    </cfRule>
    <cfRule type="expression" priority="705" dxfId="315">
      <formula>(#REF!="LIGHT SELECTION")</formula>
    </cfRule>
  </conditionalFormatting>
  <conditionalFormatting sqref="F56:F57">
    <cfRule type="expression" priority="378" dxfId="206">
      <formula>D56="NF"</formula>
    </cfRule>
    <cfRule type="expression" priority="379" dxfId="208">
      <formula>D56="WW PODS"</formula>
    </cfRule>
    <cfRule type="expression" priority="380" dxfId="206">
      <formula>D56="GRILLE"</formula>
    </cfRule>
    <cfRule type="expression" priority="381" dxfId="206">
      <formula>D56="CENTREX"</formula>
    </cfRule>
    <cfRule type="expression" priority="382" dxfId="206" stopIfTrue="1">
      <formula>D48="canopy type"</formula>
    </cfRule>
    <cfRule type="expression" priority="383" dxfId="207">
      <formula>(((I48*3600)/(C56*I45))^2+20)&gt;300</formula>
    </cfRule>
    <cfRule type="expression" priority="384" dxfId="205" stopIfTrue="1">
      <formula>(ISNUMBER(SEARCH("UV",D48)))</formula>
    </cfRule>
    <cfRule type="expression" priority="385" dxfId="207">
      <formula>(((I48*3600)/(C56*I45))^2+20)&gt;180</formula>
    </cfRule>
    <cfRule type="expression" priority="386" dxfId="205">
      <formula>D56="KSA"</formula>
    </cfRule>
  </conditionalFormatting>
  <conditionalFormatting sqref="F58">
    <cfRule type="cellIs" priority="566" operator="lessThan" dxfId="204">
      <formula>2100</formula>
    </cfRule>
  </conditionalFormatting>
  <conditionalFormatting sqref="F63">
    <cfRule type="cellIs" priority="543" operator="greaterThan" dxfId="204">
      <formula>3001</formula>
    </cfRule>
  </conditionalFormatting>
  <conditionalFormatting sqref="F66">
    <cfRule type="expression" priority="446" dxfId="214">
      <formula>(C66="LED STRIP")</formula>
    </cfRule>
    <cfRule type="expression" priority="447" dxfId="215">
      <formula>(C66="LIGHT SELECTION")</formula>
    </cfRule>
    <cfRule type="expression" priority="449" dxfId="216">
      <formula>(C66="FLO")</formula>
    </cfRule>
  </conditionalFormatting>
  <conditionalFormatting sqref="F73:F74">
    <cfRule type="expression" priority="363" dxfId="206">
      <formula>D73="NF"</formula>
    </cfRule>
    <cfRule type="expression" priority="364" dxfId="208">
      <formula>D73="WW PODS"</formula>
    </cfRule>
    <cfRule type="expression" priority="365" dxfId="206">
      <formula>D73="GRILLE"</formula>
    </cfRule>
    <cfRule type="expression" priority="366" dxfId="206">
      <formula>D73="CENTREX"</formula>
    </cfRule>
    <cfRule type="expression" priority="367" dxfId="206" stopIfTrue="1">
      <formula>D65="canopy type"</formula>
    </cfRule>
    <cfRule type="expression" priority="368" dxfId="207">
      <formula>(((I65*3600)/(C73*I62))^2+20)&gt;300</formula>
    </cfRule>
    <cfRule type="expression" priority="369" dxfId="205" stopIfTrue="1">
      <formula>(ISNUMBER(SEARCH("UV",D65)))</formula>
    </cfRule>
    <cfRule type="expression" priority="370" dxfId="207">
      <formula>(((I65*3600)/(C73*I62))^2+20)&gt;180</formula>
    </cfRule>
    <cfRule type="expression" priority="371" dxfId="205">
      <formula>D73="KSA"</formula>
    </cfRule>
  </conditionalFormatting>
  <conditionalFormatting sqref="F75">
    <cfRule type="cellIs" priority="537" operator="lessThan" dxfId="204">
      <formula>2100</formula>
    </cfRule>
  </conditionalFormatting>
  <conditionalFormatting sqref="F80">
    <cfRule type="cellIs" priority="513" operator="greaterThan" dxfId="204">
      <formula>3001</formula>
    </cfRule>
  </conditionalFormatting>
  <conditionalFormatting sqref="F83">
    <cfRule type="expression" priority="442" dxfId="214">
      <formula>(C83="LED STRIP")</formula>
    </cfRule>
    <cfRule type="expression" priority="443" dxfId="215">
      <formula>(C83="LIGHT SELECTION")</formula>
    </cfRule>
    <cfRule type="expression" priority="445" dxfId="216">
      <formula>(C83="FLO")</formula>
    </cfRule>
  </conditionalFormatting>
  <conditionalFormatting sqref="F90:F91">
    <cfRule type="expression" priority="348" dxfId="206">
      <formula>D90="NF"</formula>
    </cfRule>
    <cfRule type="expression" priority="349" dxfId="208">
      <formula>D90="WW PODS"</formula>
    </cfRule>
    <cfRule type="expression" priority="350" dxfId="206">
      <formula>D90="GRILLE"</formula>
    </cfRule>
    <cfRule type="expression" priority="351" dxfId="206">
      <formula>D90="CENTREX"</formula>
    </cfRule>
    <cfRule type="expression" priority="352" dxfId="206" stopIfTrue="1">
      <formula>D82="canopy type"</formula>
    </cfRule>
    <cfRule type="expression" priority="353" dxfId="207">
      <formula>(((I82*3600)/(C90*I79))^2+20)&gt;300</formula>
    </cfRule>
    <cfRule type="expression" priority="354" dxfId="205" stopIfTrue="1">
      <formula>(ISNUMBER(SEARCH("UV",D82)))</formula>
    </cfRule>
    <cfRule type="expression" priority="355" dxfId="207">
      <formula>(((I82*3600)/(C90*I79))^2+20)&gt;180</formula>
    </cfRule>
    <cfRule type="expression" priority="356" dxfId="205">
      <formula>D90="KSA"</formula>
    </cfRule>
  </conditionalFormatting>
  <conditionalFormatting sqref="F92">
    <cfRule type="cellIs" priority="507" operator="lessThan" dxfId="204">
      <formula>2100</formula>
    </cfRule>
  </conditionalFormatting>
  <conditionalFormatting sqref="F97">
    <cfRule type="cellIs" priority="482" operator="greaterThan" dxfId="204">
      <formula>3001</formula>
    </cfRule>
  </conditionalFormatting>
  <conditionalFormatting sqref="F100">
    <cfRule type="expression" priority="438" dxfId="214">
      <formula>(C100="LED STRIP")</formula>
    </cfRule>
    <cfRule type="expression" priority="439" dxfId="215">
      <formula>(C100="LIGHT SELECTION")</formula>
    </cfRule>
    <cfRule type="expression" priority="441" dxfId="216">
      <formula>(C100="FLO")</formula>
    </cfRule>
  </conditionalFormatting>
  <conditionalFormatting sqref="F107:F108">
    <cfRule type="expression" priority="333" dxfId="206">
      <formula>D107="NF"</formula>
    </cfRule>
    <cfRule type="expression" priority="334" dxfId="208">
      <formula>D107="WW PODS"</formula>
    </cfRule>
    <cfRule type="expression" priority="335" dxfId="206">
      <formula>D107="GRILLE"</formula>
    </cfRule>
    <cfRule type="expression" priority="336" dxfId="206">
      <formula>D107="CENTREX"</formula>
    </cfRule>
    <cfRule type="expression" priority="337" dxfId="206" stopIfTrue="1">
      <formula>D99="canopy type"</formula>
    </cfRule>
    <cfRule type="expression" priority="338" dxfId="207">
      <formula>(((I99*3600)/(C107*I96))^2+20)&gt;300</formula>
    </cfRule>
    <cfRule type="expression" priority="339" dxfId="205" stopIfTrue="1">
      <formula>(ISNUMBER(SEARCH("UV",D99)))</formula>
    </cfRule>
    <cfRule type="expression" priority="340" dxfId="207">
      <formula>(((I99*3600)/(C107*I96))^2+20)&gt;180</formula>
    </cfRule>
    <cfRule type="expression" priority="341" dxfId="205">
      <formula>D107="KSA"</formula>
    </cfRule>
  </conditionalFormatting>
  <conditionalFormatting sqref="F109">
    <cfRule type="cellIs" priority="476" operator="lessThan" dxfId="204">
      <formula>2100</formula>
    </cfRule>
  </conditionalFormatting>
  <conditionalFormatting sqref="F114">
    <cfRule type="cellIs" priority="314" operator="greaterThan" dxfId="204">
      <formula>3001</formula>
    </cfRule>
  </conditionalFormatting>
  <conditionalFormatting sqref="F117">
    <cfRule type="expression" priority="292" dxfId="214">
      <formula>(C117="LED STRIP")</formula>
    </cfRule>
    <cfRule type="expression" priority="293" dxfId="215">
      <formula>(C117="LIGHT SELECTION")</formula>
    </cfRule>
    <cfRule type="expression" priority="295" dxfId="216">
      <formula>(C117="FLO")</formula>
    </cfRule>
  </conditionalFormatting>
  <conditionalFormatting sqref="F124:F125">
    <cfRule type="expression" priority="280" dxfId="206">
      <formula>D124="NF"</formula>
    </cfRule>
    <cfRule type="expression" priority="281" dxfId="208">
      <formula>D124="WW PODS"</formula>
    </cfRule>
    <cfRule type="expression" priority="282" dxfId="206">
      <formula>D124="GRILLE"</formula>
    </cfRule>
    <cfRule type="expression" priority="283" dxfId="206">
      <formula>D124="CENTREX"</formula>
    </cfRule>
    <cfRule type="expression" priority="284" dxfId="206" stopIfTrue="1">
      <formula>D116="canopy type"</formula>
    </cfRule>
    <cfRule type="expression" priority="285" dxfId="207">
      <formula>(((I116*3600)/(C124*I113))^2+20)&gt;300</formula>
    </cfRule>
    <cfRule type="expression" priority="286" dxfId="205" stopIfTrue="1">
      <formula>(ISNUMBER(SEARCH("UV",D116)))</formula>
    </cfRule>
    <cfRule type="expression" priority="287" dxfId="207">
      <formula>(((I116*3600)/(C124*I113))^2+20)&gt;180</formula>
    </cfRule>
    <cfRule type="expression" priority="288" dxfId="205">
      <formula>D124="KSA"</formula>
    </cfRule>
  </conditionalFormatting>
  <conditionalFormatting sqref="F126">
    <cfRule type="cellIs" priority="308" operator="lessThan" dxfId="204">
      <formula>2100</formula>
    </cfRule>
  </conditionalFormatting>
  <conditionalFormatting sqref="F131">
    <cfRule type="cellIs" priority="177" operator="greaterThan" dxfId="204">
      <formula>3001</formula>
    </cfRule>
  </conditionalFormatting>
  <conditionalFormatting sqref="F134">
    <cfRule type="expression" priority="123" dxfId="214">
      <formula>(C134="LED STRIP")</formula>
    </cfRule>
    <cfRule type="expression" priority="124" dxfId="215">
      <formula>(C134="LIGHT SELECTION")</formula>
    </cfRule>
    <cfRule type="expression" priority="126" dxfId="216">
      <formula>(C134="FLO")</formula>
    </cfRule>
  </conditionalFormatting>
  <conditionalFormatting sqref="F141:F142">
    <cfRule type="expression" priority="104" dxfId="206">
      <formula>D141="NF"</formula>
    </cfRule>
    <cfRule type="expression" priority="105" dxfId="208">
      <formula>D141="WW PODS"</formula>
    </cfRule>
    <cfRule type="expression" priority="106" dxfId="206">
      <formula>D141="GRILLE"</formula>
    </cfRule>
    <cfRule type="expression" priority="107" dxfId="206">
      <formula>D141="CENTREX"</formula>
    </cfRule>
    <cfRule type="expression" priority="108" dxfId="206" stopIfTrue="1">
      <formula>D133="canopy type"</formula>
    </cfRule>
    <cfRule type="expression" priority="109" dxfId="207">
      <formula>(((I133*3600)/(C141*I130))^2+20)&gt;300</formula>
    </cfRule>
    <cfRule type="expression" priority="110" dxfId="205" stopIfTrue="1">
      <formula>(ISNUMBER(SEARCH("UV",D133)))</formula>
    </cfRule>
    <cfRule type="expression" priority="111" dxfId="207">
      <formula>(((I133*3600)/(C141*I130))^2+20)&gt;180</formula>
    </cfRule>
    <cfRule type="expression" priority="112" dxfId="205">
      <formula>D141="KSA"</formula>
    </cfRule>
  </conditionalFormatting>
  <conditionalFormatting sqref="F143">
    <cfRule type="cellIs" priority="171" operator="lessThan" dxfId="204">
      <formula>2100</formula>
    </cfRule>
  </conditionalFormatting>
  <conditionalFormatting sqref="F148">
    <cfRule type="cellIs" priority="146" operator="greaterThan" dxfId="204">
      <formula>3001</formula>
    </cfRule>
  </conditionalFormatting>
  <conditionalFormatting sqref="F151">
    <cfRule type="expression" priority="119" dxfId="214">
      <formula>(C151="LED STRIP")</formula>
    </cfRule>
    <cfRule type="expression" priority="120" dxfId="215">
      <formula>(C151="LIGHT SELECTION")</formula>
    </cfRule>
    <cfRule type="expression" priority="122" dxfId="216">
      <formula>(C151="FLO")</formula>
    </cfRule>
  </conditionalFormatting>
  <conditionalFormatting sqref="F158:F159">
    <cfRule type="expression" priority="89" dxfId="206">
      <formula>D158="NF"</formula>
    </cfRule>
    <cfRule type="expression" priority="90" dxfId="208">
      <formula>D158="WW PODS"</formula>
    </cfRule>
    <cfRule type="expression" priority="91" dxfId="206">
      <formula>D158="GRILLE"</formula>
    </cfRule>
    <cfRule type="expression" priority="92" dxfId="206">
      <formula>D158="CENTREX"</formula>
    </cfRule>
    <cfRule type="expression" priority="93" dxfId="206" stopIfTrue="1">
      <formula>D150="canopy type"</formula>
    </cfRule>
    <cfRule type="expression" priority="94" dxfId="207">
      <formula>(((I150*3600)/(C158*I147))^2+20)&gt;300</formula>
    </cfRule>
    <cfRule type="expression" priority="95" dxfId="205" stopIfTrue="1">
      <formula>(ISNUMBER(SEARCH("UV",D150)))</formula>
    </cfRule>
    <cfRule type="expression" priority="96" dxfId="207">
      <formula>(((I150*3600)/(C158*I147))^2+20)&gt;180</formula>
    </cfRule>
    <cfRule type="expression" priority="97" dxfId="205">
      <formula>D158="KSA"</formula>
    </cfRule>
  </conditionalFormatting>
  <conditionalFormatting sqref="F160">
    <cfRule type="cellIs" priority="140" operator="lessThan" dxfId="204">
      <formula>2100</formula>
    </cfRule>
  </conditionalFormatting>
  <conditionalFormatting sqref="F165">
    <cfRule type="cellIs" priority="70" operator="greaterThan" dxfId="204">
      <formula>3001</formula>
    </cfRule>
  </conditionalFormatting>
  <conditionalFormatting sqref="F168">
    <cfRule type="expression" priority="48" dxfId="214">
      <formula>(C168="LED STRIP")</formula>
    </cfRule>
    <cfRule type="expression" priority="49" dxfId="215">
      <formula>(C168="LIGHT SELECTION")</formula>
    </cfRule>
    <cfRule type="expression" priority="51" dxfId="216">
      <formula>(C168="FLO")</formula>
    </cfRule>
  </conditionalFormatting>
  <conditionalFormatting sqref="F175:F176">
    <cfRule type="expression" priority="36" dxfId="206">
      <formula>D175="NF"</formula>
    </cfRule>
    <cfRule type="expression" priority="37" dxfId="208">
      <formula>D175="WW PODS"</formula>
    </cfRule>
    <cfRule type="expression" priority="38" dxfId="206">
      <formula>D175="GRILLE"</formula>
    </cfRule>
    <cfRule type="expression" priority="39" dxfId="206">
      <formula>D175="CENTREX"</formula>
    </cfRule>
    <cfRule type="expression" priority="40" dxfId="206" stopIfTrue="1">
      <formula>D167="canopy type"</formula>
    </cfRule>
    <cfRule type="expression" priority="41" dxfId="207">
      <formula>(((I167*3600)/(C175*I164))^2+20)&gt;300</formula>
    </cfRule>
    <cfRule type="expression" priority="42" dxfId="205" stopIfTrue="1">
      <formula>(ISNUMBER(SEARCH("UV",D167)))</formula>
    </cfRule>
    <cfRule type="expression" priority="43" dxfId="207">
      <formula>(((I167*3600)/(C175*I164))^2+20)&gt;180</formula>
    </cfRule>
    <cfRule type="expression" priority="44" dxfId="205">
      <formula>D175="KSA"</formula>
    </cfRule>
  </conditionalFormatting>
  <conditionalFormatting sqref="F177">
    <cfRule type="cellIs" priority="64" operator="lessThan" dxfId="204">
      <formula>2100</formula>
    </cfRule>
  </conditionalFormatting>
  <conditionalFormatting sqref="G11">
    <cfRule type="expression" priority="684" dxfId="176">
      <formula>((F14-50)/H14)&lt;950</formula>
    </cfRule>
  </conditionalFormatting>
  <conditionalFormatting sqref="G12">
    <cfRule type="expression" priority="683" dxfId="175">
      <formula>((F14-50)/H14)&lt;950</formula>
    </cfRule>
  </conditionalFormatting>
  <conditionalFormatting sqref="G14">
    <cfRule type="cellIs" priority="679" operator="lessThan" dxfId="164">
      <formula>400</formula>
    </cfRule>
  </conditionalFormatting>
  <conditionalFormatting sqref="G28">
    <cfRule type="expression" priority="626" dxfId="176">
      <formula>((F31-50)/H31)&lt;950</formula>
    </cfRule>
  </conditionalFormatting>
  <conditionalFormatting sqref="G29">
    <cfRule type="expression" priority="604" dxfId="175">
      <formula>((F31-50)/H31)&lt;950</formula>
    </cfRule>
  </conditionalFormatting>
  <conditionalFormatting sqref="G31">
    <cfRule type="cellIs" priority="600" operator="lessThan" dxfId="164">
      <formula>400</formula>
    </cfRule>
  </conditionalFormatting>
  <conditionalFormatting sqref="G45">
    <cfRule type="expression" priority="643" dxfId="176">
      <formula>((F48-50)/H48)&lt;950</formula>
    </cfRule>
  </conditionalFormatting>
  <conditionalFormatting sqref="G46">
    <cfRule type="expression" priority="573" dxfId="175">
      <formula>((F48-50)/H48)&lt;950</formula>
    </cfRule>
  </conditionalFormatting>
  <conditionalFormatting sqref="G48">
    <cfRule type="cellIs" priority="569" operator="lessThan" dxfId="164">
      <formula>400</formula>
    </cfRule>
  </conditionalFormatting>
  <conditionalFormatting sqref="G62">
    <cfRule type="expression" priority="644" dxfId="176">
      <formula>((F65-50)/H65)&lt;950</formula>
    </cfRule>
  </conditionalFormatting>
  <conditionalFormatting sqref="G63">
    <cfRule type="expression" priority="544" dxfId="175">
      <formula>((F65-50)/H65)&lt;950</formula>
    </cfRule>
  </conditionalFormatting>
  <conditionalFormatting sqref="G65">
    <cfRule type="cellIs" priority="540" operator="lessThan" dxfId="164">
      <formula>400</formula>
    </cfRule>
  </conditionalFormatting>
  <conditionalFormatting sqref="G79">
    <cfRule type="expression" priority="645" dxfId="176">
      <formula>((F82-50)/H82)&lt;950</formula>
    </cfRule>
  </conditionalFormatting>
  <conditionalFormatting sqref="G80">
    <cfRule type="expression" priority="514" dxfId="175">
      <formula>((F82-50)/H82)&lt;950</formula>
    </cfRule>
  </conditionalFormatting>
  <conditionalFormatting sqref="G82">
    <cfRule type="cellIs" priority="510" operator="lessThan" dxfId="164">
      <formula>400</formula>
    </cfRule>
  </conditionalFormatting>
  <conditionalFormatting sqref="G96">
    <cfRule type="expression" priority="653" dxfId="176">
      <formula>((F99-50)/H99)&lt;950</formula>
    </cfRule>
  </conditionalFormatting>
  <conditionalFormatting sqref="G97">
    <cfRule type="expression" priority="483" dxfId="175">
      <formula>((F99-50)/H99)&lt;950</formula>
    </cfRule>
  </conditionalFormatting>
  <conditionalFormatting sqref="G99">
    <cfRule type="cellIs" priority="479" operator="lessThan" dxfId="164">
      <formula>400</formula>
    </cfRule>
  </conditionalFormatting>
  <conditionalFormatting sqref="G113">
    <cfRule type="expression" priority="326" dxfId="176">
      <formula>((F116-50)/H116)&lt;950</formula>
    </cfRule>
  </conditionalFormatting>
  <conditionalFormatting sqref="G114">
    <cfRule type="expression" priority="315" dxfId="175">
      <formula>((F116-50)/H116)&lt;950</formula>
    </cfRule>
  </conditionalFormatting>
  <conditionalFormatting sqref="G116">
    <cfRule type="cellIs" priority="311" operator="lessThan" dxfId="164">
      <formula>400</formula>
    </cfRule>
  </conditionalFormatting>
  <conditionalFormatting sqref="G130">
    <cfRule type="expression" priority="190" dxfId="176">
      <formula>((F133-50)/H133)&lt;950</formula>
    </cfRule>
  </conditionalFormatting>
  <conditionalFormatting sqref="G131">
    <cfRule type="expression" priority="178" dxfId="175">
      <formula>((F133-50)/H133)&lt;950</formula>
    </cfRule>
  </conditionalFormatting>
  <conditionalFormatting sqref="G133">
    <cfRule type="cellIs" priority="174" operator="lessThan" dxfId="164">
      <formula>400</formula>
    </cfRule>
  </conditionalFormatting>
  <conditionalFormatting sqref="G147">
    <cfRule type="expression" priority="191" dxfId="176">
      <formula>((F150-50)/H150)&lt;950</formula>
    </cfRule>
  </conditionalFormatting>
  <conditionalFormatting sqref="G148">
    <cfRule type="expression" priority="147" dxfId="175">
      <formula>((F150-50)/H150)&lt;950</formula>
    </cfRule>
  </conditionalFormatting>
  <conditionalFormatting sqref="G150">
    <cfRule type="cellIs" priority="143" operator="lessThan" dxfId="164">
      <formula>400</formula>
    </cfRule>
  </conditionalFormatting>
  <conditionalFormatting sqref="G164">
    <cfRule type="expression" priority="82" dxfId="176">
      <formula>((F167-50)/H167)&lt;950</formula>
    </cfRule>
  </conditionalFormatting>
  <conditionalFormatting sqref="G165">
    <cfRule type="expression" priority="71" dxfId="175">
      <formula>((F167-50)/H167)&lt;950</formula>
    </cfRule>
  </conditionalFormatting>
  <conditionalFormatting sqref="G167">
    <cfRule type="cellIs" priority="67" operator="lessThan" dxfId="164">
      <formula>400</formula>
    </cfRule>
  </conditionalFormatting>
  <conditionalFormatting sqref="I14">
    <cfRule type="cellIs" priority="680" operator="lessThan" dxfId="164">
      <formula>0.1</formula>
    </cfRule>
  </conditionalFormatting>
  <conditionalFormatting sqref="I31">
    <cfRule type="cellIs" priority="601" operator="lessThan" dxfId="164">
      <formula>0.1</formula>
    </cfRule>
  </conditionalFormatting>
  <conditionalFormatting sqref="I48">
    <cfRule type="cellIs" priority="570" operator="lessThan" dxfId="164">
      <formula>0.1</formula>
    </cfRule>
  </conditionalFormatting>
  <conditionalFormatting sqref="I65">
    <cfRule type="cellIs" priority="541" operator="lessThan" dxfId="164">
      <formula>0.1</formula>
    </cfRule>
  </conditionalFormatting>
  <conditionalFormatting sqref="I82">
    <cfRule type="cellIs" priority="511" operator="lessThan" dxfId="164">
      <formula>0.1</formula>
    </cfRule>
  </conditionalFormatting>
  <conditionalFormatting sqref="I99">
    <cfRule type="cellIs" priority="480" operator="lessThan" dxfId="164">
      <formula>0.1</formula>
    </cfRule>
  </conditionalFormatting>
  <conditionalFormatting sqref="I116">
    <cfRule type="cellIs" priority="312" operator="lessThan" dxfId="164">
      <formula>0.1</formula>
    </cfRule>
  </conditionalFormatting>
  <conditionalFormatting sqref="I133">
    <cfRule type="cellIs" priority="175" operator="lessThan" dxfId="164">
      <formula>0.1</formula>
    </cfRule>
  </conditionalFormatting>
  <conditionalFormatting sqref="I150">
    <cfRule type="cellIs" priority="144" operator="lessThan" dxfId="164">
      <formula>0.1</formula>
    </cfRule>
  </conditionalFormatting>
  <conditionalFormatting sqref="I167">
    <cfRule type="cellIs" priority="68" operator="lessThan" dxfId="164">
      <formula>0.1</formula>
    </cfRule>
  </conditionalFormatting>
  <conditionalFormatting sqref="J14:J27">
    <cfRule type="cellIs" priority="404" operator="greaterThan" dxfId="153">
      <formula>0</formula>
    </cfRule>
  </conditionalFormatting>
  <conditionalFormatting sqref="J31:J44">
    <cfRule type="cellIs" priority="261" operator="greaterThan" dxfId="153">
      <formula>0</formula>
    </cfRule>
  </conditionalFormatting>
  <conditionalFormatting sqref="J48:J61">
    <cfRule type="cellIs" priority="250" operator="greaterThan" dxfId="153">
      <formula>0</formula>
    </cfRule>
  </conditionalFormatting>
  <conditionalFormatting sqref="J65:J78">
    <cfRule type="cellIs" priority="239" operator="greaterThan" dxfId="153">
      <formula>0</formula>
    </cfRule>
  </conditionalFormatting>
  <conditionalFormatting sqref="J82:J95">
    <cfRule type="cellIs" priority="228" operator="greaterThan" dxfId="153">
      <formula>0</formula>
    </cfRule>
  </conditionalFormatting>
  <conditionalFormatting sqref="J99:J112">
    <cfRule type="cellIs" priority="217" operator="greaterThan" dxfId="153">
      <formula>0</formula>
    </cfRule>
  </conditionalFormatting>
  <conditionalFormatting sqref="J116:J129 J167:J180">
    <cfRule type="cellIs" priority="206" operator="greaterThan" dxfId="153">
      <formula>0</formula>
    </cfRule>
  </conditionalFormatting>
  <conditionalFormatting sqref="J133:J146">
    <cfRule type="cellIs" priority="19" operator="greaterThan" dxfId="153">
      <formula>0</formula>
    </cfRule>
  </conditionalFormatting>
  <conditionalFormatting sqref="J150:J163">
    <cfRule type="cellIs" priority="8" operator="greaterThan" dxfId="153">
      <formula>0</formula>
    </cfRule>
  </conditionalFormatting>
  <conditionalFormatting sqref="J183:J197">
    <cfRule type="expression" priority="654" dxfId="153">
      <formula>C183&gt;0</formula>
    </cfRule>
  </conditionalFormatting>
  <conditionalFormatting sqref="J199">
    <cfRule type="expression" priority="659" dxfId="2">
      <formula>#REF!="EURO"</formula>
    </cfRule>
  </conditionalFormatting>
  <conditionalFormatting sqref="K14:K27">
    <cfRule type="cellIs" priority="418" operator="greaterThan" dxfId="141">
      <formula>0</formula>
    </cfRule>
  </conditionalFormatting>
  <conditionalFormatting sqref="K31:K44">
    <cfRule type="cellIs" priority="262" operator="greaterThan" dxfId="141">
      <formula>0</formula>
    </cfRule>
  </conditionalFormatting>
  <conditionalFormatting sqref="K48:K61">
    <cfRule type="cellIs" priority="251" operator="greaterThan" dxfId="141">
      <formula>0</formula>
    </cfRule>
  </conditionalFormatting>
  <conditionalFormatting sqref="K65:K78">
    <cfRule type="cellIs" priority="240" operator="greaterThan" dxfId="141">
      <formula>0</formula>
    </cfRule>
  </conditionalFormatting>
  <conditionalFormatting sqref="K82:K95">
    <cfRule type="cellIs" priority="229" operator="greaterThan" dxfId="141">
      <formula>0</formula>
    </cfRule>
  </conditionalFormatting>
  <conditionalFormatting sqref="K99:K112">
    <cfRule type="cellIs" priority="218" operator="greaterThan" dxfId="141">
      <formula>0</formula>
    </cfRule>
  </conditionalFormatting>
  <conditionalFormatting sqref="K116:K129 K167:K180">
    <cfRule type="cellIs" priority="207" operator="greaterThan" dxfId="141">
      <formula>0</formula>
    </cfRule>
  </conditionalFormatting>
  <conditionalFormatting sqref="K133:K146">
    <cfRule type="cellIs" priority="20" operator="greaterThan" dxfId="141">
      <formula>0</formula>
    </cfRule>
  </conditionalFormatting>
  <conditionalFormatting sqref="K150:K163">
    <cfRule type="cellIs" priority="9" operator="greaterThan" dxfId="141">
      <formula>0</formula>
    </cfRule>
  </conditionalFormatting>
  <conditionalFormatting sqref="K183:K197">
    <cfRule type="cellIs" priority="661" operator="greaterThan" dxfId="141">
      <formula>0</formula>
    </cfRule>
  </conditionalFormatting>
  <conditionalFormatting sqref="K199">
    <cfRule type="expression" priority="655" dxfId="4">
      <formula>$B$9="PLN"</formula>
    </cfRule>
    <cfRule type="expression" priority="656" dxfId="0">
      <formula>$B$9="CZK"</formula>
    </cfRule>
    <cfRule type="expression" priority="657" dxfId="3">
      <formula>$B$9="USD"</formula>
    </cfRule>
    <cfRule type="expression" priority="658" dxfId="2">
      <formula>$B$9="EURO"</formula>
    </cfRule>
  </conditionalFormatting>
  <conditionalFormatting sqref="L14:L27">
    <cfRule type="expression" priority="415" dxfId="116">
      <formula>$C$9&lt;0</formula>
    </cfRule>
    <cfRule type="expression" priority="416" dxfId="115">
      <formula>$C$9&gt;0</formula>
    </cfRule>
  </conditionalFormatting>
  <conditionalFormatting sqref="L31:L44">
    <cfRule type="expression" priority="204" dxfId="116">
      <formula>$C$9&lt;0</formula>
    </cfRule>
    <cfRule type="expression" priority="205" dxfId="115">
      <formula>$C$9&gt;0</formula>
    </cfRule>
  </conditionalFormatting>
  <conditionalFormatting sqref="L48:L61">
    <cfRule type="expression" priority="202" dxfId="116">
      <formula>$C$9&lt;0</formula>
    </cfRule>
    <cfRule type="expression" priority="203" dxfId="115">
      <formula>$C$9&gt;0</formula>
    </cfRule>
  </conditionalFormatting>
  <conditionalFormatting sqref="L65:L78">
    <cfRule type="expression" priority="200" dxfId="116">
      <formula>$C$9&lt;0</formula>
    </cfRule>
    <cfRule type="expression" priority="201" dxfId="115">
      <formula>$C$9&gt;0</formula>
    </cfRule>
  </conditionalFormatting>
  <conditionalFormatting sqref="L82:L95">
    <cfRule type="expression" priority="198" dxfId="116">
      <formula>$C$9&lt;0</formula>
    </cfRule>
    <cfRule type="expression" priority="199" dxfId="115">
      <formula>$C$9&gt;0</formula>
    </cfRule>
  </conditionalFormatting>
  <conditionalFormatting sqref="L99:L112">
    <cfRule type="expression" priority="196" dxfId="116">
      <formula>$C$9&lt;0</formula>
    </cfRule>
    <cfRule type="expression" priority="197" dxfId="115">
      <formula>$C$9&gt;0</formula>
    </cfRule>
  </conditionalFormatting>
  <conditionalFormatting sqref="L116:L129 L167:L180">
    <cfRule type="expression" priority="194" dxfId="116">
      <formula>$C$9&lt;0</formula>
    </cfRule>
    <cfRule type="expression" priority="195" dxfId="115">
      <formula>$C$9&gt;0</formula>
    </cfRule>
  </conditionalFormatting>
  <conditionalFormatting sqref="L133:L146">
    <cfRule type="expression" priority="3" dxfId="116">
      <formula>$C$9&lt;0</formula>
    </cfRule>
    <cfRule type="expression" priority="4" dxfId="115">
      <formula>$C$9&gt;0</formula>
    </cfRule>
  </conditionalFormatting>
  <conditionalFormatting sqref="L150:L163">
    <cfRule type="expression" priority="1" dxfId="116">
      <formula>$C$9&lt;0</formula>
    </cfRule>
    <cfRule type="expression" priority="2" dxfId="115">
      <formula>$C$9&gt;0</formula>
    </cfRule>
  </conditionalFormatting>
  <conditionalFormatting sqref="L183:L197">
    <cfRule type="expression" priority="192" dxfId="116">
      <formula>$C$9&lt;0</formula>
    </cfRule>
    <cfRule type="expression" priority="193" dxfId="115">
      <formula>$C$9&gt;0</formula>
    </cfRule>
  </conditionalFormatting>
  <conditionalFormatting sqref="N9 N12">
    <cfRule type="expression" priority="691" dxfId="4">
      <formula>$B$9="PLN"</formula>
    </cfRule>
    <cfRule type="expression" priority="692" dxfId="0">
      <formula>$B$9="CZK"</formula>
    </cfRule>
    <cfRule type="expression" priority="693" dxfId="3">
      <formula>$B$9="USD"</formula>
    </cfRule>
    <cfRule type="expression" priority="694" dxfId="2">
      <formula>$B$9="EURO"</formula>
    </cfRule>
  </conditionalFormatting>
  <conditionalFormatting sqref="N14:N27">
    <cfRule type="cellIs" priority="630" operator="greaterThan" dxfId="1">
      <formula>0</formula>
    </cfRule>
    <cfRule type="expression" priority="631" dxfId="2">
      <formula>$B$9="EURO"</formula>
    </cfRule>
    <cfRule type="expression" priority="632" dxfId="3">
      <formula>$B$9="USD"</formula>
    </cfRule>
    <cfRule type="expression" priority="633" dxfId="4">
      <formula>$B$9="PLN"</formula>
    </cfRule>
    <cfRule type="expression" priority="634" dxfId="0">
      <formula>$B$9="CZK"</formula>
    </cfRule>
  </conditionalFormatting>
  <conditionalFormatting sqref="N29">
    <cfRule type="expression" priority="610" dxfId="4">
      <formula>$B$9="PLN"</formula>
    </cfRule>
    <cfRule type="expression" priority="611" dxfId="0">
      <formula>$B$9="CZK"</formula>
    </cfRule>
    <cfRule type="expression" priority="612" dxfId="3">
      <formula>$B$9="USD"</formula>
    </cfRule>
    <cfRule type="expression" priority="613" dxfId="2">
      <formula>$B$9="EURO"</formula>
    </cfRule>
  </conditionalFormatting>
  <conditionalFormatting sqref="N31:N44">
    <cfRule type="cellIs" priority="265" operator="greaterThan" dxfId="1">
      <formula>0</formula>
    </cfRule>
    <cfRule type="expression" priority="266" dxfId="2">
      <formula>$B$9="EURO"</formula>
    </cfRule>
    <cfRule type="expression" priority="267" dxfId="3">
      <formula>$B$9="USD"</formula>
    </cfRule>
    <cfRule type="expression" priority="268" dxfId="4">
      <formula>$B$9="PLN"</formula>
    </cfRule>
    <cfRule type="expression" priority="269" dxfId="0">
      <formula>$B$9="CZK"</formula>
    </cfRule>
  </conditionalFormatting>
  <conditionalFormatting sqref="N46">
    <cfRule type="expression" priority="579" dxfId="4">
      <formula>$B$9="PLN"</formula>
    </cfRule>
    <cfRule type="expression" priority="580" dxfId="0">
      <formula>$B$9="CZK"</formula>
    </cfRule>
    <cfRule type="expression" priority="581" dxfId="3">
      <formula>$B$9="USD"</formula>
    </cfRule>
    <cfRule type="expression" priority="582" dxfId="2">
      <formula>$B$9="EURO"</formula>
    </cfRule>
  </conditionalFormatting>
  <conditionalFormatting sqref="N48:N61">
    <cfRule type="cellIs" priority="254" operator="greaterThan" dxfId="1">
      <formula>0</formula>
    </cfRule>
    <cfRule type="expression" priority="255" dxfId="2">
      <formula>$B$9="EURO"</formula>
    </cfRule>
    <cfRule type="expression" priority="256" dxfId="3">
      <formula>$B$9="USD"</formula>
    </cfRule>
    <cfRule type="expression" priority="257" dxfId="4">
      <formula>$B$9="PLN"</formula>
    </cfRule>
    <cfRule type="expression" priority="258" dxfId="0">
      <formula>$B$9="CZK"</formula>
    </cfRule>
  </conditionalFormatting>
  <conditionalFormatting sqref="N63">
    <cfRule type="expression" priority="550" dxfId="4">
      <formula>$B$9="PLN"</formula>
    </cfRule>
    <cfRule type="expression" priority="551" dxfId="0">
      <formula>$B$9="CZK"</formula>
    </cfRule>
    <cfRule type="expression" priority="552" dxfId="3">
      <formula>$B$9="USD"</formula>
    </cfRule>
    <cfRule type="expression" priority="553" dxfId="2">
      <formula>$B$9="EURO"</formula>
    </cfRule>
  </conditionalFormatting>
  <conditionalFormatting sqref="N65:N78">
    <cfRule type="cellIs" priority="243" operator="greaterThan" dxfId="1">
      <formula>0</formula>
    </cfRule>
    <cfRule type="expression" priority="244" dxfId="2">
      <formula>$B$9="EURO"</formula>
    </cfRule>
    <cfRule type="expression" priority="245" dxfId="3">
      <formula>$B$9="USD"</formula>
    </cfRule>
    <cfRule type="expression" priority="246" dxfId="4">
      <formula>$B$9="PLN"</formula>
    </cfRule>
    <cfRule type="expression" priority="247" dxfId="0">
      <formula>$B$9="CZK"</formula>
    </cfRule>
  </conditionalFormatting>
  <conditionalFormatting sqref="N80">
    <cfRule type="expression" priority="520" dxfId="4">
      <formula>$B$9="PLN"</formula>
    </cfRule>
    <cfRule type="expression" priority="521" dxfId="0">
      <formula>$B$9="CZK"</formula>
    </cfRule>
    <cfRule type="expression" priority="522" dxfId="3">
      <formula>$B$9="USD"</formula>
    </cfRule>
    <cfRule type="expression" priority="523" dxfId="2">
      <formula>$B$9="EURO"</formula>
    </cfRule>
  </conditionalFormatting>
  <conditionalFormatting sqref="N82:N95">
    <cfRule type="cellIs" priority="232" operator="greaterThan" dxfId="1">
      <formula>0</formula>
    </cfRule>
    <cfRule type="expression" priority="233" dxfId="2">
      <formula>$B$9="EURO"</formula>
    </cfRule>
    <cfRule type="expression" priority="234" dxfId="3">
      <formula>$B$9="USD"</formula>
    </cfRule>
    <cfRule type="expression" priority="235" dxfId="4">
      <formula>$B$9="PLN"</formula>
    </cfRule>
    <cfRule type="expression" priority="236" dxfId="0">
      <formula>$B$9="CZK"</formula>
    </cfRule>
  </conditionalFormatting>
  <conditionalFormatting sqref="N97">
    <cfRule type="expression" priority="489" dxfId="4">
      <formula>$B$9="PLN"</formula>
    </cfRule>
    <cfRule type="expression" priority="490" dxfId="0">
      <formula>$B$9="CZK"</formula>
    </cfRule>
    <cfRule type="expression" priority="491" dxfId="3">
      <formula>$B$9="USD"</formula>
    </cfRule>
    <cfRule type="expression" priority="492" dxfId="2">
      <formula>$B$9="EURO"</formula>
    </cfRule>
  </conditionalFormatting>
  <conditionalFormatting sqref="N99:N112">
    <cfRule type="cellIs" priority="221" operator="greaterThan" dxfId="1">
      <formula>0</formula>
    </cfRule>
    <cfRule type="expression" priority="222" dxfId="2">
      <formula>$B$9="EURO"</formula>
    </cfRule>
    <cfRule type="expression" priority="223" dxfId="3">
      <formula>$B$9="USD"</formula>
    </cfRule>
    <cfRule type="expression" priority="224" dxfId="4">
      <formula>$B$9="PLN"</formula>
    </cfRule>
    <cfRule type="expression" priority="225" dxfId="0">
      <formula>$B$9="CZK"</formula>
    </cfRule>
  </conditionalFormatting>
  <conditionalFormatting sqref="N114">
    <cfRule type="expression" priority="321" dxfId="4">
      <formula>$B$9="PLN"</formula>
    </cfRule>
    <cfRule type="expression" priority="322" dxfId="0">
      <formula>$B$9="CZK"</formula>
    </cfRule>
    <cfRule type="expression" priority="323" dxfId="3">
      <formula>$B$9="USD"</formula>
    </cfRule>
    <cfRule type="expression" priority="324" dxfId="2">
      <formula>$B$9="EURO"</formula>
    </cfRule>
  </conditionalFormatting>
  <conditionalFormatting sqref="N116:N129 N167:N180">
    <cfRule type="cellIs" priority="210" operator="greaterThan" dxfId="1">
      <formula>0</formula>
    </cfRule>
    <cfRule type="expression" priority="211" dxfId="2">
      <formula>$B$9="EURO"</formula>
    </cfRule>
    <cfRule type="expression" priority="212" dxfId="3">
      <formula>$B$9="USD"</formula>
    </cfRule>
    <cfRule type="expression" priority="213" dxfId="4">
      <formula>$B$9="PLN"</formula>
    </cfRule>
    <cfRule type="expression" priority="214" dxfId="0">
      <formula>$B$9="CZK"</formula>
    </cfRule>
  </conditionalFormatting>
  <conditionalFormatting sqref="N131">
    <cfRule type="expression" priority="184" dxfId="4">
      <formula>$B$9="PLN"</formula>
    </cfRule>
    <cfRule type="expression" priority="185" dxfId="0">
      <formula>$B$9="CZK"</formula>
    </cfRule>
    <cfRule type="expression" priority="186" dxfId="3">
      <formula>$B$9="USD"</formula>
    </cfRule>
    <cfRule type="expression" priority="187" dxfId="2">
      <formula>$B$9="EURO"</formula>
    </cfRule>
  </conditionalFormatting>
  <conditionalFormatting sqref="N133:N146">
    <cfRule type="cellIs" priority="23" operator="greaterThan" dxfId="1">
      <formula>0</formula>
    </cfRule>
    <cfRule type="expression" priority="24" dxfId="2">
      <formula>$B$9="EURO"</formula>
    </cfRule>
    <cfRule type="expression" priority="25" dxfId="3">
      <formula>$B$9="USD"</formula>
    </cfRule>
    <cfRule type="expression" priority="26" dxfId="4">
      <formula>$B$9="PLN"</formula>
    </cfRule>
    <cfRule type="expression" priority="27" dxfId="0">
      <formula>$B$9="CZK"</formula>
    </cfRule>
  </conditionalFormatting>
  <conditionalFormatting sqref="N148">
    <cfRule type="expression" priority="153" dxfId="4">
      <formula>$B$9="PLN"</formula>
    </cfRule>
    <cfRule type="expression" priority="154" dxfId="0">
      <formula>$B$9="CZK"</formula>
    </cfRule>
    <cfRule type="expression" priority="155" dxfId="3">
      <formula>$B$9="USD"</formula>
    </cfRule>
    <cfRule type="expression" priority="156" dxfId="2">
      <formula>$B$9="EURO"</formula>
    </cfRule>
  </conditionalFormatting>
  <conditionalFormatting sqref="N150:N163">
    <cfRule type="cellIs" priority="12" operator="greaterThan" dxfId="1">
      <formula>0</formula>
    </cfRule>
    <cfRule type="expression" priority="13" dxfId="2">
      <formula>$B$9="EURO"</formula>
    </cfRule>
    <cfRule type="expression" priority="14" dxfId="3">
      <formula>$B$9="USD"</formula>
    </cfRule>
    <cfRule type="expression" priority="15" dxfId="4">
      <formula>$B$9="PLN"</formula>
    </cfRule>
    <cfRule type="expression" priority="16" dxfId="0">
      <formula>$B$9="CZK"</formula>
    </cfRule>
  </conditionalFormatting>
  <conditionalFormatting sqref="N165">
    <cfRule type="expression" priority="77" dxfId="4">
      <formula>$B$9="PLN"</formula>
    </cfRule>
    <cfRule type="expression" priority="78" dxfId="0">
      <formula>$B$9="CZK"</formula>
    </cfRule>
    <cfRule type="expression" priority="79" dxfId="3">
      <formula>$B$9="USD"</formula>
    </cfRule>
    <cfRule type="expression" priority="80" dxfId="2">
      <formula>$B$9="EURO"</formula>
    </cfRule>
  </conditionalFormatting>
  <conditionalFormatting sqref="N183:N197">
    <cfRule type="cellIs" priority="638" operator="greaterThan" dxfId="1">
      <formula>0</formula>
    </cfRule>
    <cfRule type="expression" priority="639" dxfId="2">
      <formula>$B$9="EURO"</formula>
    </cfRule>
    <cfRule type="expression" priority="640" dxfId="3">
      <formula>$B$9="USD"</formula>
    </cfRule>
    <cfRule type="expression" priority="641" dxfId="4">
      <formula>$B$9="PLN"</formula>
    </cfRule>
    <cfRule type="expression" priority="642" dxfId="0">
      <formula>$B$9="CZK"</formula>
    </cfRule>
  </conditionalFormatting>
  <conditionalFormatting sqref="N182:O182">
    <cfRule type="expression" priority="646" dxfId="4">
      <formula>$B$9="PLN"</formula>
    </cfRule>
    <cfRule type="expression" priority="647" dxfId="0">
      <formula>$B$9="CZK"</formula>
    </cfRule>
    <cfRule type="expression" priority="648" dxfId="3">
      <formula>$B$9="USD"</formula>
    </cfRule>
    <cfRule type="expression" priority="649" dxfId="2">
      <formula>$B$9="EURO"</formula>
    </cfRule>
  </conditionalFormatting>
  <conditionalFormatting sqref="O14:O27">
    <cfRule type="cellIs" priority="635" operator="greaterThan" dxfId="5">
      <formula>0</formula>
    </cfRule>
  </conditionalFormatting>
  <conditionalFormatting sqref="O31:O44">
    <cfRule type="cellIs" priority="270" operator="greaterThan" dxfId="5">
      <formula>0</formula>
    </cfRule>
  </conditionalFormatting>
  <conditionalFormatting sqref="O48:O61">
    <cfRule type="cellIs" priority="259" operator="greaterThan" dxfId="5">
      <formula>0</formula>
    </cfRule>
  </conditionalFormatting>
  <conditionalFormatting sqref="O65:O78">
    <cfRule type="cellIs" priority="248" operator="greaterThan" dxfId="5">
      <formula>0</formula>
    </cfRule>
  </conditionalFormatting>
  <conditionalFormatting sqref="O82:O95">
    <cfRule type="cellIs" priority="237" operator="greaterThan" dxfId="5">
      <formula>0</formula>
    </cfRule>
  </conditionalFormatting>
  <conditionalFormatting sqref="O99:O112">
    <cfRule type="cellIs" priority="226" operator="greaterThan" dxfId="5">
      <formula>0</formula>
    </cfRule>
  </conditionalFormatting>
  <conditionalFormatting sqref="O116:O129 O167:O180">
    <cfRule type="cellIs" priority="215" operator="greaterThan" dxfId="5">
      <formula>0</formula>
    </cfRule>
  </conditionalFormatting>
  <conditionalFormatting sqref="O133:O146">
    <cfRule type="cellIs" priority="28" operator="greaterThan" dxfId="5">
      <formula>0</formula>
    </cfRule>
  </conditionalFormatting>
  <conditionalFormatting sqref="O150:O163">
    <cfRule type="cellIs" priority="17" operator="greaterThan" dxfId="5">
      <formula>0</formula>
    </cfRule>
  </conditionalFormatting>
  <conditionalFormatting sqref="O183:O197">
    <cfRule type="cellIs" priority="660" operator="greaterThan" dxfId="5">
      <formula>0</formula>
    </cfRule>
  </conditionalFormatting>
  <conditionalFormatting sqref="Q16">
    <cfRule type="cellIs" priority="405" operator="greaterThan" dxfId="1">
      <formula>0</formula>
    </cfRule>
    <cfRule type="expression" priority="406" dxfId="2">
      <formula>$B$9="EURO"</formula>
    </cfRule>
    <cfRule type="expression" priority="407" dxfId="3">
      <formula>$B$9="USD"</formula>
    </cfRule>
    <cfRule type="expression" priority="408" dxfId="4">
      <formula>$B$9="PLN"</formula>
    </cfRule>
    <cfRule type="expression" priority="409" dxfId="0">
      <formula>$B$9="CZK"</formula>
    </cfRule>
  </conditionalFormatting>
  <dataValidations count="7">
    <dataValidation sqref="C27 C44 C61 C78 C95 C112 C129 C146 C163 C180" showDropDown="0" showInputMessage="1" showErrorMessage="1" allowBlank="1" type="list">
      <formula1>"0,0.5,1,1.5,2,2.5,3,3.5,4,4.5,5"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0:C21 C37:C38 C54:C55 C71:C72 C88:C89 C105:C106 C122:C123 C139:C140 C156:C157 C173:C174 I16 I33 I50 I67 I84 I101 I118 I135 I152 I169" showDropDown="0" showInputMessage="1" showErrorMessage="1" allowBlank="1" type="list">
      <formula1>"0,1,2,3,4,5,6,7,8,9,10,11,12,13,14,15,16,17,18,19,20"</formula1>
    </dataValidation>
    <dataValidation sqref="E14 E31 E48 E65 E82 E99 E116 E133 E150 E167" showDropDown="0" showInputMessage="1" showErrorMessage="1" allowBlank="1" operator="greaterThan"/>
    <dataValidation sqref="C14 C31 C48 C65 C82 C99 C116 C133 C150 C167" showDropDown="0" showInputMessage="1" showErrorMessage="1" allowBlank="1" type="list">
      <formula1>"WALL, ISLAND"</formula1>
    </dataValidation>
    <dataValidation sqref="G181" showDropDown="0" showInputMessage="1" showErrorMessage="1" allowBlank="1" type="list">
      <formula1>#REF!</formula1>
    </dataValidation>
    <dataValidation sqref="D26 D43 D60 D77 D94 D111 D128 D145 D162 D179" showDropDown="0" showInputMessage="1" showErrorMessage="1" allowBlank="1" type="list">
      <formula1>"0,1,2,3,4,5,6,7,8,9,10"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2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 codeName="Sheet42">
    <tabColor theme="8" tint="0.7999816888943144"/>
    <outlinePr summaryBelow="1" summaryRight="1"/>
    <pageSetUpPr fitToPage="1"/>
  </sheetPr>
  <dimension ref="A1:Z310"/>
  <sheetViews>
    <sheetView showGridLines="0" topLeftCell="A15" zoomScale="80" zoomScaleNormal="80" zoomScaleSheetLayoutView="50" workbookViewId="0">
      <selection activeCell="G21" sqref="G21"/>
    </sheetView>
  </sheetViews>
  <sheetFormatPr baseColWidth="10" defaultColWidth="8.83203125" defaultRowHeight="15" customHeight="1" outlineLevelRow="1"/>
  <cols>
    <col width="2" customWidth="1" style="666" min="1" max="1"/>
    <col width="32.33203125" customWidth="1" style="1095" min="2" max="2"/>
    <col width="25.83203125" bestFit="1" customWidth="1" style="1095" min="3" max="3"/>
    <col width="27.1640625" customWidth="1" style="1095" min="4" max="4"/>
    <col width="24.83203125" customWidth="1" style="1095" min="5" max="5"/>
    <col width="18.83203125" customWidth="1" style="1095" min="6" max="6"/>
    <col width="20.33203125" customWidth="1" style="1095" min="7" max="7"/>
    <col width="9.33203125" bestFit="1" customWidth="1" style="1096" min="8" max="8"/>
    <col width="11.83203125" customWidth="1" style="1096" min="9" max="9"/>
    <col width="14.83203125" bestFit="1" customWidth="1" style="1097" min="10" max="10"/>
    <col width="17.5" customWidth="1" style="1098" min="11" max="11"/>
    <col width="7.6640625" bestFit="1" customWidth="1" style="1098" min="12" max="12"/>
    <col hidden="1" width="15.5" customWidth="1" style="1099" min="13" max="13"/>
    <col width="13.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8"/>
    <col width="8.83203125" customWidth="1" style="1095" min="99" max="16384"/>
  </cols>
  <sheetData>
    <row r="1" ht="15" customHeight="1" s="1085">
      <c r="B1" s="1116" t="inlineStr">
        <is>
          <t>F24 - 19  CANOPY COST SHEET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>
        <f>IF(CANOPY!C3="","",CANOPY!C3)</f>
        <v/>
      </c>
      <c r="F3" s="690" t="inlineStr">
        <is>
          <t>Project Name</t>
        </is>
      </c>
      <c r="G3" s="1071">
        <f>IF(CANOPY!G3="","",CANOPY!G3)</f>
        <v/>
      </c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>
        <f>IF(CANOPY!C5="","",CANOPY!C5)</f>
        <v/>
      </c>
      <c r="F5" s="690" t="inlineStr">
        <is>
          <t>Location</t>
        </is>
      </c>
      <c r="G5" s="1071">
        <f>IF(CANOPY!G5="","",CANOPY!G5)</f>
        <v/>
      </c>
      <c r="M5" s="684" t="n"/>
      <c r="N5" s="685" t="n"/>
      <c r="P5" s="694" t="n"/>
      <c r="R5" s="687" t="n"/>
      <c r="S5" s="688" t="n"/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>
        <f>IF(CANOPY!C7="","",CANOPY!C7)</f>
        <v/>
      </c>
      <c r="F7" s="690" t="inlineStr">
        <is>
          <t>Date</t>
        </is>
      </c>
      <c r="G7" s="1075">
        <f>IF(CANOPY!G7="","",CANOPY!G7)</f>
        <v/>
      </c>
      <c r="N7" s="699" t="inlineStr">
        <is>
          <t>Revision No</t>
        </is>
      </c>
      <c r="O7" s="1141">
        <f>IF(CANOPY!O7="","",CANOPY!O7)</f>
        <v/>
      </c>
      <c r="P7" s="694" t="n"/>
      <c r="R7" s="687" t="n"/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P8" s="694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52" t="n">
        <v>0</v>
      </c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9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 xml:space="preserve">ITEM  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95" t="n"/>
      <c r="Q12" s="1095" t="n"/>
      <c r="R12" s="1095" t="n"/>
      <c r="S12" s="713" t="n"/>
      <c r="T12" s="1095" t="n"/>
      <c r="X12" s="1095" t="n"/>
      <c r="Y12" s="1095" t="n"/>
      <c r="Z12" s="1095" t="n"/>
    </row>
    <row r="13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CANOPY TYPE</t>
        </is>
      </c>
      <c r="E14" s="734" t="n"/>
      <c r="F14" s="734" t="n"/>
      <c r="G14" s="734" t="n"/>
      <c r="H14" s="735" t="n"/>
      <c r="I14" s="734" t="n"/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LIGHT SELECTION</t>
        </is>
      </c>
      <c r="D15" s="741" t="n"/>
      <c r="E15" s="848" t="n"/>
      <c r="F15" s="743" t="n"/>
      <c r="G15" s="744" t="n"/>
      <c r="H15" s="668" t="n"/>
      <c r="I15" s="668" t="n"/>
      <c r="J15" s="736">
        <f>IF(ISNA(C12),0,IF(D15=0,0,IF(C15="FLO",VLOOKUP(E15,'Base Costs'!$M$4:$N$12,2,FALSE),IF(C15="LED STRIP",VLOOKUP(E15,'Base Costs'!$M$4:$N$12,2,FALSE),(VLOOKUP(C15,'Base Costs'!$M$4:$N$12,2,FALSE))))))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outlineLevel="1" ht="15" customHeight="1" s="1085">
      <c r="A16" s="666" t="n">
        <v>234</v>
      </c>
      <c r="B16" s="269" t="inlineStr">
        <is>
          <t xml:space="preserve">FIRE SUPPRESSION </t>
        </is>
      </c>
      <c r="C16" s="953" t="inlineStr">
        <is>
          <t>FIRE SUPPRESSION</t>
        </is>
      </c>
      <c r="D16" s="746" t="n"/>
      <c r="E16" s="1103" t="n"/>
      <c r="F16" s="748" t="n"/>
      <c r="G16" s="749" t="n"/>
      <c r="H16" s="750" t="n"/>
      <c r="I16" s="751" t="n">
        <v>1</v>
      </c>
      <c r="J16" s="736">
        <f>VLOOKUP(C16,'Base Costs'!$U$4:$V$41,2,FALSE)</f>
        <v/>
      </c>
      <c r="K16" s="737">
        <f>J16*1</f>
        <v/>
      </c>
      <c r="L16" s="738" t="n">
        <v>0.25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outlineLevel="1" ht="15" customHeight="1" s="1085">
      <c r="B17" s="269" t="inlineStr">
        <is>
          <t>TANK INSTALL</t>
        </is>
      </c>
      <c r="C17" s="953" t="inlineStr">
        <is>
          <t>TANK INSTALL</t>
        </is>
      </c>
      <c r="D17" s="966" t="n">
        <v>1</v>
      </c>
      <c r="E17" s="753" t="n"/>
      <c r="F17" s="754" t="n"/>
      <c r="G17" s="749" t="n"/>
      <c r="H17" s="750" t="n"/>
      <c r="I17" s="755" t="n"/>
      <c r="J17" s="736">
        <f>VLOOKUP(C17,'Base Costs'!$U$44:$V$56,2,FALSE)</f>
        <v/>
      </c>
      <c r="K17" s="737">
        <f>J17*D17</f>
        <v/>
      </c>
      <c r="L17" s="738" t="n">
        <v>0.35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outlineLevel="1" ht="15" customHeight="1" s="1085">
      <c r="B18" s="269" t="inlineStr">
        <is>
          <t>SPECIAL WORKS</t>
        </is>
      </c>
      <c r="C18" s="752" t="inlineStr">
        <is>
          <t>SELECT WORKS</t>
        </is>
      </c>
      <c r="D18" s="735" t="n"/>
      <c r="E18" s="753">
        <f>IF(C18="","",VLOOKUP(C18,CCBASE!$A$53:$D$73,4,FALSE))</f>
        <v/>
      </c>
      <c r="F18" s="754" t="n"/>
      <c r="G18" s="749" t="n"/>
      <c r="H18" s="750" t="n"/>
      <c r="I18" s="755" t="n"/>
      <c r="J18" s="736">
        <f>IF(C18="",0,VLOOKUP(C18,CCBASE!$A$53:$C$73,2,FALSE))</f>
        <v/>
      </c>
      <c r="K18" s="737">
        <f>J18*D18</f>
        <v/>
      </c>
      <c r="L18" s="738" t="n">
        <v>0.44</v>
      </c>
      <c r="M18" s="739">
        <f>K18/(1-L18)*(1+$C$9)</f>
        <v/>
      </c>
      <c r="N18" s="737">
        <f>M18*VLOOKUP($B$9,'Base Costs'!$A$32:$B$37,2,FALSE)</f>
        <v/>
      </c>
      <c r="O18" s="740">
        <f>M18-K18</f>
        <v/>
      </c>
      <c r="S18" s="694" t="n"/>
      <c r="Y18" s="1095" t="n"/>
    </row>
    <row r="19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SELECT CLADDING</t>
        </is>
      </c>
      <c r="D19" s="756">
        <f>ROUNDUP($F14/1000,0)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S19" s="694" t="n"/>
      <c r="Y19" s="1095" t="n"/>
    </row>
    <row r="20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S22" s="694" t="n"/>
      <c r="Y22" s="1095" t="n"/>
    </row>
    <row r="23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 t="n"/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>ITEM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95" t="n"/>
      <c r="Q29" s="1095" t="n"/>
      <c r="R29" s="1095" t="n"/>
      <c r="S29" s="713" t="n"/>
      <c r="T29" s="1095" t="n"/>
      <c r="X29" s="1095" t="n"/>
      <c r="Y29" s="1095" t="n"/>
      <c r="Z29" s="1095" t="n"/>
    </row>
    <row r="30" hidden="1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hidden="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hidden="1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hidden="1" outlineLevel="1" ht="15" customHeight="1" s="1085">
      <c r="A33" s="666" t="n">
        <v>234</v>
      </c>
      <c r="B33" s="269" t="inlineStr">
        <is>
          <t>FIRE SUPPRESSION</t>
        </is>
      </c>
      <c r="C33" s="953" t="inlineStr">
        <is>
          <t>FIRE SUPPRESSION</t>
        </is>
      </c>
      <c r="D33" s="746" t="n"/>
      <c r="E33" s="747" t="n"/>
      <c r="F33" s="748" t="n"/>
      <c r="G33" s="749" t="n"/>
      <c r="H33" s="750" t="n"/>
      <c r="I33" s="751" t="n">
        <v>1</v>
      </c>
      <c r="J33" s="736">
        <f>VLOOKUP(C33,'Base Costs'!$U$4:$V$41,2,FALSE)</f>
        <v/>
      </c>
      <c r="K33" s="737">
        <f>J33*1</f>
        <v/>
      </c>
      <c r="L33" s="738" t="n">
        <v>0.25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hidden="1" outlineLevel="1" ht="15" customHeight="1" s="1085">
      <c r="B34" s="269" t="inlineStr">
        <is>
          <t>TANK INSTALL</t>
        </is>
      </c>
      <c r="C34" s="953" t="inlineStr">
        <is>
          <t>TANK INSTALL</t>
        </is>
      </c>
      <c r="D34" s="966" t="n">
        <v>1</v>
      </c>
      <c r="E34" s="753" t="n"/>
      <c r="F34" s="754" t="n"/>
      <c r="G34" s="749" t="n"/>
      <c r="H34" s="750" t="n"/>
      <c r="I34" s="755" t="n"/>
      <c r="J34" s="736">
        <f>VLOOKUP(C34,'Base Costs'!$U$44:$V$56,2,FALSE)</f>
        <v/>
      </c>
      <c r="K34" s="737">
        <f>J34*D34</f>
        <v/>
      </c>
      <c r="L34" s="738" t="n">
        <v>0.35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hidden="1" outlineLevel="1" ht="15" customHeight="1" s="1085">
      <c r="B35" s="269" t="inlineStr">
        <is>
          <t>SPECIAL WORKS</t>
        </is>
      </c>
      <c r="C35" s="752" t="inlineStr">
        <is>
          <t>SELECT WORKS</t>
        </is>
      </c>
      <c r="D35" s="735" t="n"/>
      <c r="E35" s="1109" t="n"/>
      <c r="G35" s="749" t="n"/>
      <c r="H35" s="750" t="n"/>
      <c r="I35" s="755" t="n"/>
      <c r="J35" s="736">
        <f>IF(C35="",0,VLOOKUP(C35,CCBASE!$A$53:$C$73,2,FALSE))</f>
        <v/>
      </c>
      <c r="K35" s="737">
        <f>J35*D35</f>
        <v/>
      </c>
      <c r="L35" s="738" t="n">
        <v>0.44</v>
      </c>
      <c r="M35" s="739">
        <f>K35/(1-L35)*(1+$C$9)</f>
        <v/>
      </c>
      <c r="N35" s="737">
        <f>M35*VLOOKUP($B$9,'Base Costs'!$A$32:$B$37,2,FALSE)</f>
        <v/>
      </c>
      <c r="O35" s="740">
        <f>M35-K35</f>
        <v/>
      </c>
      <c r="S35" s="694" t="n"/>
      <c r="Y35" s="1095" t="n"/>
    </row>
    <row r="36" hidden="1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SELECT CLADDING</t>
        </is>
      </c>
      <c r="D36" s="756">
        <f>ROUNDUP($F31/1000,0)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Y36" s="1095" t="n"/>
    </row>
    <row r="37" hidden="1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hidden="1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hidden="1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S39" s="694" t="n"/>
      <c r="Y39" s="1095" t="n"/>
    </row>
    <row r="40" hidden="1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 t="n"/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hidden="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hidden="1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hidden="1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hidden="1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collapsed="1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95" t="n"/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269" t="inlineStr">
        <is>
          <t xml:space="preserve">FIRE SUPPRESSION </t>
        </is>
      </c>
      <c r="C50" s="953" t="inlineStr">
        <is>
          <t>FIRE SUPPRESSION</t>
        </is>
      </c>
      <c r="D50" s="746" t="n"/>
      <c r="E50" s="747" t="n"/>
      <c r="F50" s="748" t="n"/>
      <c r="G50" s="749" t="n"/>
      <c r="H50" s="750" t="n"/>
      <c r="I50" s="751" t="n">
        <v>1</v>
      </c>
      <c r="J50" s="736">
        <f>VLOOKUP(C50,'Base Costs'!$U$4:$V$41,2,FALSE)</f>
        <v/>
      </c>
      <c r="K50" s="737">
        <f>J50*1</f>
        <v/>
      </c>
      <c r="L50" s="738" t="n">
        <v>0.25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269" t="inlineStr">
        <is>
          <t>TANK INSTALL</t>
        </is>
      </c>
      <c r="C51" s="953" t="inlineStr">
        <is>
          <t>TANK INSTALL</t>
        </is>
      </c>
      <c r="D51" s="966" t="n">
        <v>1</v>
      </c>
      <c r="E51" s="753" t="n"/>
      <c r="F51" s="754" t="n"/>
      <c r="G51" s="749" t="n"/>
      <c r="H51" s="750" t="n"/>
      <c r="I51" s="755" t="n"/>
      <c r="J51" s="736">
        <f>VLOOKUP(C51,'Base Costs'!$U$44:$V$56,2,FALSE)</f>
        <v/>
      </c>
      <c r="K51" s="737">
        <f>J51*D51</f>
        <v/>
      </c>
      <c r="L51" s="738" t="n">
        <v>0.35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269" t="inlineStr">
        <is>
          <t>SPECIAL WORKS</t>
        </is>
      </c>
      <c r="C52" s="752" t="inlineStr">
        <is>
          <t>SELECT WORKS</t>
        </is>
      </c>
      <c r="D52" s="735" t="n"/>
      <c r="E52" s="753">
        <f>IF(C52="","",VLOOKUP(C52,CCBASE!$A$53:$D$73,4,FALSE))</f>
        <v/>
      </c>
      <c r="F52" s="754" t="n"/>
      <c r="G52" s="749" t="n"/>
      <c r="H52" s="750" t="n"/>
      <c r="I52" s="755" t="n"/>
      <c r="J52" s="736">
        <f>IF(C52="",0,VLOOKUP(C52,CCBASE!$A$53:$C$73,2,FALSE))</f>
        <v/>
      </c>
      <c r="K52" s="737">
        <f>J52*D52</f>
        <v/>
      </c>
      <c r="L52" s="738" t="n">
        <v>0.44</v>
      </c>
      <c r="M52" s="739">
        <f>K52/(1-L52)*(1+$C$9)</f>
        <v/>
      </c>
      <c r="N52" s="737">
        <f>M52*VLOOKUP($B$9,'Base Costs'!$A$32:$B$37,2,FALSE)</f>
        <v/>
      </c>
      <c r="O52" s="740">
        <f>M52-K52</f>
        <v/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SELECT CLADDING</t>
        </is>
      </c>
      <c r="D53" s="756">
        <f>ROUNDUP($F48/1000,0)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 t="n"/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95" t="n"/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269" t="inlineStr">
        <is>
          <t xml:space="preserve">FIRE SUPPRESSION </t>
        </is>
      </c>
      <c r="C67" s="953" t="inlineStr">
        <is>
          <t>FIRE SUPPRESSION</t>
        </is>
      </c>
      <c r="D67" s="746" t="n"/>
      <c r="E67" s="747" t="n"/>
      <c r="F67" s="748" t="n"/>
      <c r="G67" s="749" t="n"/>
      <c r="H67" s="750" t="n"/>
      <c r="I67" s="751" t="n">
        <v>1</v>
      </c>
      <c r="J67" s="736">
        <f>VLOOKUP(C67,'Base Costs'!$U$4:$V$41,2,FALSE)</f>
        <v/>
      </c>
      <c r="K67" s="737">
        <f>J67*1</f>
        <v/>
      </c>
      <c r="L67" s="738" t="n">
        <v>0.25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269" t="inlineStr">
        <is>
          <t>TANK INSTALL</t>
        </is>
      </c>
      <c r="C68" s="953" t="inlineStr">
        <is>
          <t>TANK INSTALL</t>
        </is>
      </c>
      <c r="D68" s="966" t="n">
        <v>1</v>
      </c>
      <c r="E68" s="753" t="n"/>
      <c r="F68" s="754" t="n"/>
      <c r="G68" s="749" t="n"/>
      <c r="H68" s="750" t="n"/>
      <c r="I68" s="755" t="n"/>
      <c r="J68" s="736">
        <f>VLOOKUP(C68,'Base Costs'!$U$44:$V$56,2,FALSE)</f>
        <v/>
      </c>
      <c r="K68" s="737">
        <f>J68*D68</f>
        <v/>
      </c>
      <c r="L68" s="738" t="n">
        <v>0.35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269" t="inlineStr">
        <is>
          <t>SPECIAL WORKS</t>
        </is>
      </c>
      <c r="C69" s="752" t="inlineStr">
        <is>
          <t>SELECT WORKS</t>
        </is>
      </c>
      <c r="D69" s="735" t="n"/>
      <c r="E69" s="753">
        <f>IF(C69="","",VLOOKUP(C69,CCBASE!$A$53:$D$73,4,FALSE))</f>
        <v/>
      </c>
      <c r="F69" s="754" t="n"/>
      <c r="G69" s="749" t="n"/>
      <c r="H69" s="750" t="n"/>
      <c r="I69" s="755" t="n"/>
      <c r="J69" s="736">
        <f>IF(C69="",0,VLOOKUP(C69,CCBASE!$A$53:$C$73,2,FALSE))</f>
        <v/>
      </c>
      <c r="K69" s="737">
        <f>J69*D69</f>
        <v/>
      </c>
      <c r="L69" s="738" t="n">
        <v>0.44</v>
      </c>
      <c r="M69" s="739">
        <f>K69/(1-L69)*(1+$C$9)</f>
        <v/>
      </c>
      <c r="N69" s="737">
        <f>M69*VLOOKUP($B$9,'Base Costs'!$A$32:$B$37,2,FALSE)</f>
        <v/>
      </c>
      <c r="O69" s="740">
        <f>M69-K69</f>
        <v/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ROUNDUP($F65/1000,0)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 t="n"/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95" t="n"/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269" t="inlineStr">
        <is>
          <t xml:space="preserve">FIRE SUPPRESSION </t>
        </is>
      </c>
      <c r="C84" s="953" t="inlineStr">
        <is>
          <t>FIRE SUPPRESSION</t>
        </is>
      </c>
      <c r="D84" s="746" t="n"/>
      <c r="E84" s="747" t="n"/>
      <c r="F84" s="748" t="n"/>
      <c r="G84" s="749" t="n"/>
      <c r="H84" s="750" t="n"/>
      <c r="I84" s="751" t="n">
        <v>1</v>
      </c>
      <c r="J84" s="736">
        <f>VLOOKUP(C84,'Base Costs'!$U$4:$V$41,2,FALSE)</f>
        <v/>
      </c>
      <c r="K84" s="737">
        <f>J84*1</f>
        <v/>
      </c>
      <c r="L84" s="738" t="n">
        <v>0.25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TANK INSTALL</t>
        </is>
      </c>
      <c r="C85" s="953" t="inlineStr">
        <is>
          <t>TANK INSTALL</t>
        </is>
      </c>
      <c r="D85" s="966" t="n">
        <v>1</v>
      </c>
      <c r="E85" s="753" t="n"/>
      <c r="F85" s="754" t="n"/>
      <c r="G85" s="749" t="n"/>
      <c r="H85" s="750" t="n"/>
      <c r="I85" s="755" t="n"/>
      <c r="J85" s="736">
        <f>VLOOKUP(C85,'Base Costs'!$U$44:$V$56,2,FALSE)</f>
        <v/>
      </c>
      <c r="K85" s="737">
        <f>J85*D85</f>
        <v/>
      </c>
      <c r="L85" s="738" t="n">
        <v>0.35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269" t="inlineStr">
        <is>
          <t>SPECIAL WORKS</t>
        </is>
      </c>
      <c r="C86" s="752" t="inlineStr">
        <is>
          <t>SELECT WORKS</t>
        </is>
      </c>
      <c r="D86" s="735" t="n"/>
      <c r="E86" s="753">
        <f>IF(C86="","",VLOOKUP(C86,CCBASE!$A$53:$D$73,4,FALSE))</f>
        <v/>
      </c>
      <c r="F86" s="754" t="n"/>
      <c r="G86" s="749" t="n"/>
      <c r="H86" s="750" t="n"/>
      <c r="I86" s="755" t="n"/>
      <c r="J86" s="736">
        <f>IF(C86="",0,VLOOKUP(C86,CCBASE!$A$53:$C$73,2,FALSE))</f>
        <v/>
      </c>
      <c r="K86" s="737">
        <f>J86*D86</f>
        <v/>
      </c>
      <c r="L86" s="738" t="n">
        <v>0.44</v>
      </c>
      <c r="M86" s="739">
        <f>K86/(1-L86)*(1+$C$9)</f>
        <v/>
      </c>
      <c r="N86" s="737">
        <f>M86*VLOOKUP($B$9,'Base Costs'!$A$32:$B$37,2,FALSE)</f>
        <v/>
      </c>
      <c r="O86" s="740">
        <f>M86-K86</f>
        <v/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ROUNDUP($F82/1000,0)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 t="n"/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IF(ISNUMBER(SEARCH("UV",HD4)),49.7,71.75)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95" t="n"/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269" t="inlineStr">
        <is>
          <t>FIRE SUPPRESSION</t>
        </is>
      </c>
      <c r="C101" s="953" t="inlineStr">
        <is>
          <t>FIRE SUPPRESSION</t>
        </is>
      </c>
      <c r="D101" s="746" t="n"/>
      <c r="E101" s="747" t="n"/>
      <c r="F101" s="748" t="n"/>
      <c r="G101" s="749" t="n"/>
      <c r="H101" s="750" t="n"/>
      <c r="I101" s="751" t="n">
        <v>1</v>
      </c>
      <c r="J101" s="736">
        <f>VLOOKUP(C101,'Base Costs'!$U$4:$V$41,2,FALSE)</f>
        <v/>
      </c>
      <c r="K101" s="737">
        <f>J101*1</f>
        <v/>
      </c>
      <c r="L101" s="738" t="n">
        <v>0.25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269" t="inlineStr">
        <is>
          <t>TANK INSTALL</t>
        </is>
      </c>
      <c r="C102" s="953" t="inlineStr">
        <is>
          <t>TANK INSTALL</t>
        </is>
      </c>
      <c r="D102" s="966" t="n">
        <v>1</v>
      </c>
      <c r="E102" s="753" t="n"/>
      <c r="F102" s="754" t="n"/>
      <c r="G102" s="749" t="n"/>
      <c r="H102" s="750" t="n"/>
      <c r="I102" s="755" t="n"/>
      <c r="J102" s="736">
        <f>VLOOKUP(C102,'Base Costs'!$U$44:$V$56,2,FALSE)</f>
        <v/>
      </c>
      <c r="K102" s="737">
        <f>J102*D102</f>
        <v/>
      </c>
      <c r="L102" s="738" t="n">
        <v>0.35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584" t="inlineStr">
        <is>
          <t>SPECIAL WORKS</t>
        </is>
      </c>
      <c r="C103" s="33" t="inlineStr">
        <is>
          <t>SELECT WORKS</t>
        </is>
      </c>
      <c r="D103" s="735" t="n"/>
      <c r="E103" s="753">
        <f>IF(C103="","",VLOOKUP(C103,CCBASE!$A$53:$D$73,4,FALSE))</f>
        <v/>
      </c>
      <c r="F103" s="754" t="n"/>
      <c r="G103" s="749" t="n"/>
      <c r="H103" s="750" t="n"/>
      <c r="I103" s="755" t="n"/>
      <c r="J103" s="736">
        <f>IF(C103="",0,VLOOKUP(C103,CCBASE!$A$53:$C$73,2,FALSE))</f>
        <v/>
      </c>
      <c r="K103" s="737">
        <f>J103*D103</f>
        <v/>
      </c>
      <c r="L103" s="738" t="n">
        <v>0.44</v>
      </c>
      <c r="M103" s="739">
        <f>K103/(1-L103)*(1+$C$9)</f>
        <v/>
      </c>
      <c r="N103" s="737">
        <f>M103*VLOOKUP($B$9,'Base Costs'!$A$32:$B$37,2,FALSE)</f>
        <v/>
      </c>
      <c r="O103" s="740">
        <f>M103-K103</f>
        <v/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ROUNDUP($F99/1000,0)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 t="n"/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IF(ISNUMBER(SEARCH("UV",HD21)),49.7,71.75)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95" t="n"/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269" t="inlineStr">
        <is>
          <t>FIRE SUPPRESSION</t>
        </is>
      </c>
      <c r="C118" s="953" t="inlineStr">
        <is>
          <t>FIRE SUPPRESSION</t>
        </is>
      </c>
      <c r="D118" s="746" t="n"/>
      <c r="E118" s="747" t="n"/>
      <c r="F118" s="748" t="n"/>
      <c r="G118" s="749" t="n"/>
      <c r="H118" s="750" t="n"/>
      <c r="I118" s="751" t="n">
        <v>1</v>
      </c>
      <c r="J118" s="736">
        <f>VLOOKUP(C118,'Base Costs'!$U$4:$V$41,2,FALSE)</f>
        <v/>
      </c>
      <c r="K118" s="737">
        <f>J118*1</f>
        <v/>
      </c>
      <c r="L118" s="738" t="n">
        <v>0.25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269" t="inlineStr">
        <is>
          <t>TANK INSTALL</t>
        </is>
      </c>
      <c r="C119" s="953" t="inlineStr">
        <is>
          <t>TANK INSTALL</t>
        </is>
      </c>
      <c r="D119" s="966" t="n">
        <v>1</v>
      </c>
      <c r="E119" s="753" t="n"/>
      <c r="F119" s="754" t="n"/>
      <c r="G119" s="749" t="n"/>
      <c r="H119" s="750" t="n"/>
      <c r="I119" s="755" t="n"/>
      <c r="J119" s="736">
        <f>VLOOKUP(C119,'Base Costs'!$U$44:$V$56,2,FALSE)</f>
        <v/>
      </c>
      <c r="K119" s="737">
        <f>J119*D119</f>
        <v/>
      </c>
      <c r="L119" s="738" t="n">
        <v>0.35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584" t="inlineStr">
        <is>
          <t>SPECIAL WORKS</t>
        </is>
      </c>
      <c r="C120" s="33" t="inlineStr">
        <is>
          <t>SELECT WORKS</t>
        </is>
      </c>
      <c r="D120" s="735" t="n"/>
      <c r="E120" s="753">
        <f>IF(C120="","",VLOOKUP(C120,CCBASE!$A$53:$D$73,4,FALSE))</f>
        <v/>
      </c>
      <c r="F120" s="754" t="n"/>
      <c r="G120" s="749" t="n"/>
      <c r="H120" s="750" t="n"/>
      <c r="I120" s="755" t="n"/>
      <c r="J120" s="736">
        <f>IF(C120="",0,VLOOKUP(C120,CCBASE!$A$53:$C$73,2,FALSE))</f>
        <v/>
      </c>
      <c r="K120" s="737">
        <f>J120*D120</f>
        <v/>
      </c>
      <c r="L120" s="738" t="n">
        <v>0.44</v>
      </c>
      <c r="M120" s="739">
        <f>K120/(1-L120)*(1+$C$9)</f>
        <v/>
      </c>
      <c r="N120" s="737">
        <f>M120*VLOOKUP($B$9,'Base Costs'!$A$32:$B$37,2,FALSE)</f>
        <v/>
      </c>
      <c r="O120" s="740">
        <f>M120-K120</f>
        <v/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ROUNDUP($F116/1000,0)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 t="n"/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95" t="n"/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850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269" t="inlineStr">
        <is>
          <t xml:space="preserve">FIRE SUPPRESSION </t>
        </is>
      </c>
      <c r="C135" s="953" t="inlineStr">
        <is>
          <t>FIRE SUPPRESSION</t>
        </is>
      </c>
      <c r="D135" s="746" t="n"/>
      <c r="E135" s="747" t="n"/>
      <c r="F135" s="748" t="n"/>
      <c r="G135" s="749" t="n"/>
      <c r="H135" s="750" t="n"/>
      <c r="I135" s="751" t="n">
        <v>1</v>
      </c>
      <c r="J135" s="736">
        <f>VLOOKUP(C135,'Base Costs'!$U$4:$V$41,2,FALSE)</f>
        <v/>
      </c>
      <c r="K135" s="737">
        <f>J135*1</f>
        <v/>
      </c>
      <c r="L135" s="738" t="n">
        <v>0.25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269" t="inlineStr">
        <is>
          <t>TANK INSTALL</t>
        </is>
      </c>
      <c r="C136" s="953" t="inlineStr">
        <is>
          <t>TANK INSTALL</t>
        </is>
      </c>
      <c r="D136" s="966" t="n">
        <v>1</v>
      </c>
      <c r="E136" s="753" t="n"/>
      <c r="F136" s="754" t="n"/>
      <c r="G136" s="749" t="n"/>
      <c r="H136" s="750" t="n"/>
      <c r="I136" s="755" t="n"/>
      <c r="J136" s="736">
        <f>VLOOKUP(C136,'Base Costs'!$U$44:$V$56,2,FALSE)</f>
        <v/>
      </c>
      <c r="K136" s="737">
        <f>J136*D136</f>
        <v/>
      </c>
      <c r="L136" s="738" t="n">
        <v>0.35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269" t="inlineStr">
        <is>
          <t>SPECIAL WORKS</t>
        </is>
      </c>
      <c r="C137" s="752" t="inlineStr">
        <is>
          <t>SELECT WORKS</t>
        </is>
      </c>
      <c r="D137" s="735" t="n"/>
      <c r="E137" s="753">
        <f>IF(C137="","",VLOOKUP(C137,CCBASE!$A$53:$D$73,4,FALSE))</f>
        <v/>
      </c>
      <c r="F137" s="754" t="n"/>
      <c r="G137" s="749" t="n"/>
      <c r="H137" s="750" t="n"/>
      <c r="I137" s="755" t="n"/>
      <c r="J137" s="736">
        <f>IF(C137="",0,VLOOKUP(C137,CCBASE!$A$53:$C$73,2,FALSE))</f>
        <v/>
      </c>
      <c r="K137" s="737">
        <f>J137*D137</f>
        <v/>
      </c>
      <c r="L137" s="738" t="n">
        <v>0.44</v>
      </c>
      <c r="M137" s="739">
        <f>K137/(1-L137)*(1+$C$9)</f>
        <v/>
      </c>
      <c r="N137" s="737">
        <f>M137*VLOOKUP($B$9,'Base Costs'!$A$32:$B$37,2,FALSE)</f>
        <v/>
      </c>
      <c r="O137" s="740">
        <f>M137-K137</f>
        <v/>
      </c>
      <c r="S137" s="694" t="n"/>
      <c r="Y137" s="1095" t="n"/>
    </row>
    <row r="138" hidden="1" outlineLevel="1" ht="15" customHeight="1" s="1085">
      <c r="A138" s="666" t="n">
        <v>289</v>
      </c>
      <c r="B138" s="731" t="inlineStr">
        <is>
          <t>WALL CLADDING</t>
        </is>
      </c>
      <c r="C138" s="752" t="inlineStr">
        <is>
          <t>SELECT CLADDING</t>
        </is>
      </c>
      <c r="D138" s="756">
        <f>ROUNDUP($F133/1000,0)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731" t="inlineStr">
        <is>
          <t>INFILL PANEL</t>
        </is>
      </c>
      <c r="C139" s="752" t="n"/>
      <c r="D139" s="742" t="inlineStr">
        <is>
          <t>m²</t>
        </is>
      </c>
      <c r="E139" s="749" t="inlineStr">
        <is>
          <t xml:space="preserve">Up to 500mm high only. </t>
        </is>
      </c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 t="n"/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IF(ISNUMBER(SEARCH("UV",HD55)),49.7,71.75)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95" t="n"/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269" t="inlineStr">
        <is>
          <t>FIRE SUPPRESSION</t>
        </is>
      </c>
      <c r="C152" s="953" t="inlineStr">
        <is>
          <t>FIRE SUPPRESSION</t>
        </is>
      </c>
      <c r="D152" s="746" t="n"/>
      <c r="E152" s="747" t="n"/>
      <c r="F152" s="748" t="n"/>
      <c r="G152" s="749" t="n"/>
      <c r="H152" s="750" t="n"/>
      <c r="I152" s="751" t="n">
        <v>1</v>
      </c>
      <c r="J152" s="736">
        <f>VLOOKUP(C152,'Base Costs'!$U$4:$V$41,2,FALSE)</f>
        <v/>
      </c>
      <c r="K152" s="737">
        <f>J152*1</f>
        <v/>
      </c>
      <c r="L152" s="738" t="n">
        <v>0.25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269" t="inlineStr">
        <is>
          <t>TANK INSTALL</t>
        </is>
      </c>
      <c r="C153" s="953" t="inlineStr">
        <is>
          <t>TANK INSTALL</t>
        </is>
      </c>
      <c r="D153" s="966" t="n">
        <v>1</v>
      </c>
      <c r="E153" s="753" t="n"/>
      <c r="F153" s="754" t="n"/>
      <c r="G153" s="749" t="n"/>
      <c r="H153" s="750" t="n"/>
      <c r="I153" s="755" t="n"/>
      <c r="J153" s="736">
        <f>VLOOKUP(C153,'Base Costs'!$U$44:$V$56,2,FALSE)</f>
        <v/>
      </c>
      <c r="K153" s="737">
        <f>J153*D153</f>
        <v/>
      </c>
      <c r="L153" s="738" t="n">
        <v>0.35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584" t="inlineStr">
        <is>
          <t>SPECIAL WORKS</t>
        </is>
      </c>
      <c r="C154" s="33" t="inlineStr">
        <is>
          <t>SELECT WORKS</t>
        </is>
      </c>
      <c r="D154" s="735" t="n"/>
      <c r="E154" s="753">
        <f>IF(C154="","",VLOOKUP(C154,CCBASE!$A$53:$D$73,4,FALSE))</f>
        <v/>
      </c>
      <c r="F154" s="754" t="n"/>
      <c r="G154" s="749" t="n"/>
      <c r="H154" s="750" t="n"/>
      <c r="I154" s="755" t="n"/>
      <c r="J154" s="736">
        <f>IF(C154="",0,VLOOKUP(C154,CCBASE!$A$53:$C$73,2,FALSE))</f>
        <v/>
      </c>
      <c r="K154" s="737">
        <f>J154*D154</f>
        <v/>
      </c>
      <c r="L154" s="738" t="n">
        <v>0.44</v>
      </c>
      <c r="M154" s="739">
        <f>K154/(1-L154)*(1+$C$9)</f>
        <v/>
      </c>
      <c r="N154" s="737">
        <f>M154*VLOOKUP($B$9,'Base Costs'!$A$32:$B$37,2,FALSE)</f>
        <v/>
      </c>
      <c r="O154" s="740">
        <f>M154-K154</f>
        <v/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ROUNDUP($F150/1000,0)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 t="n"/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IF(ISNUMBER(SEARCH("UV",HD72)),49.7,71.75)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95" t="n"/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269" t="inlineStr">
        <is>
          <t>FIRE SUPPRESSION</t>
        </is>
      </c>
      <c r="C169" s="953" t="inlineStr">
        <is>
          <t>FIRE SUPPRESSION</t>
        </is>
      </c>
      <c r="D169" s="746" t="n"/>
      <c r="E169" s="747" t="n"/>
      <c r="F169" s="748" t="n"/>
      <c r="G169" s="749" t="n"/>
      <c r="H169" s="750" t="n"/>
      <c r="I169" s="751" t="n">
        <v>1</v>
      </c>
      <c r="J169" s="736">
        <f>VLOOKUP(C169,'Base Costs'!$U$4:$V$41,2,FALSE)</f>
        <v/>
      </c>
      <c r="K169" s="737">
        <f>J169*1</f>
        <v/>
      </c>
      <c r="L169" s="738" t="n">
        <v>0.25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269" t="inlineStr">
        <is>
          <t>TANK INSTALL</t>
        </is>
      </c>
      <c r="C170" s="953" t="inlineStr">
        <is>
          <t>TANK INSTALL</t>
        </is>
      </c>
      <c r="D170" s="966" t="n">
        <v>1</v>
      </c>
      <c r="E170" s="753" t="n"/>
      <c r="F170" s="754" t="n"/>
      <c r="G170" s="749" t="n"/>
      <c r="H170" s="750" t="n"/>
      <c r="I170" s="755" t="n"/>
      <c r="J170" s="736">
        <f>VLOOKUP(C170,'Base Costs'!$U$44:$V$56,2,FALSE)</f>
        <v/>
      </c>
      <c r="K170" s="737">
        <f>J170*D170</f>
        <v/>
      </c>
      <c r="L170" s="738" t="n">
        <v>0.35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584" t="inlineStr">
        <is>
          <t>SPECIAL WORKS</t>
        </is>
      </c>
      <c r="C171" s="33" t="inlineStr">
        <is>
          <t>SELECT WORKS</t>
        </is>
      </c>
      <c r="D171" s="735" t="n"/>
      <c r="E171" s="753">
        <f>IF(C171="","",VLOOKUP(C171,CCBASE!$A$53:$D$73,4,FALSE))</f>
        <v/>
      </c>
      <c r="F171" s="754" t="n"/>
      <c r="G171" s="749" t="n"/>
      <c r="H171" s="750" t="n"/>
      <c r="I171" s="755" t="n"/>
      <c r="J171" s="736">
        <f>IF(C171="",0,VLOOKUP(C171,CCBASE!$A$53:$C$73,2,FALSE))</f>
        <v/>
      </c>
      <c r="K171" s="737">
        <f>J171*D171</f>
        <v/>
      </c>
      <c r="L171" s="738" t="n">
        <v>0.44</v>
      </c>
      <c r="M171" s="739">
        <f>K171/(1-L171)*(1+$C$9)</f>
        <v/>
      </c>
      <c r="N171" s="737">
        <f>M171*VLOOKUP($B$9,'Base Costs'!$A$32:$B$37,2,FALSE)</f>
        <v/>
      </c>
      <c r="O171" s="740">
        <f>M171-K171</f>
        <v/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ROUNDUP($F167/1000,0)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 t="n"/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10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S182" s="694" t="n"/>
    </row>
    <row r="183" ht="15" customHeight="1" s="1085">
      <c r="A183" s="666" t="n">
        <v>222</v>
      </c>
      <c r="B183" s="270" t="inlineStr">
        <is>
          <t>DELIVERY 1 x 7.5T TAIL LIFT 3200KGS</t>
        </is>
      </c>
      <c r="C183" s="774" t="n"/>
      <c r="D183" s="775" t="inlineStr">
        <is>
          <t>SELECT LOCATION…</t>
        </is>
      </c>
      <c r="E183" s="1109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/>
      <c r="D184" s="775" t="inlineStr">
        <is>
          <t>PLANT SELECTION (weekly)</t>
        </is>
      </c>
      <c r="E184" s="1126" t="inlineStr">
        <is>
          <t>OR 2.5% OF TOTAL CONTRACT VALUE</t>
        </is>
      </c>
      <c r="G184" s="748" t="n"/>
      <c r="H184" s="748" t="n"/>
      <c r="I184" s="748" t="n"/>
      <c r="J184" s="776">
        <f>VLOOKUP(D184,'Base Costs'!$A$4:$B$16,2,FALSE)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955" t="inlineStr">
        <is>
          <t xml:space="preserve">PLANT HIRE </t>
        </is>
      </c>
      <c r="C185" s="961" t="n">
        <v>1</v>
      </c>
      <c r="D185" s="954" t="inlineStr">
        <is>
          <t>PECO LIFT</t>
        </is>
      </c>
      <c r="E185" s="1123" t="inlineStr">
        <is>
          <t>OR 2.5% OF TOTAL CONTRACT VALUE</t>
        </is>
      </c>
      <c r="G185" s="748" t="n"/>
      <c r="H185" s="748" t="n"/>
      <c r="I185" s="748" t="n"/>
      <c r="J185" s="776">
        <f>VLOOKUP(D185,'Base Costs'!$A$4:$B$16,2,FALSE)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P185" s="1070" t="inlineStr">
        <is>
          <t>ALWAYS INCLUDE</t>
        </is>
      </c>
      <c r="S185" s="694" t="n"/>
    </row>
    <row r="186" ht="15" customHeight="1" s="1085">
      <c r="A186" s="666" t="n">
        <v>222</v>
      </c>
      <c r="B186" s="945" t="inlineStr">
        <is>
          <t>ANSUL DELIVERY</t>
        </is>
      </c>
      <c r="C186" s="962" t="n">
        <v>0.5</v>
      </c>
      <c r="D186" s="954" t="inlineStr">
        <is>
          <t>SELECT LOCATION…</t>
        </is>
      </c>
      <c r="E186" s="1125" t="inlineStr">
        <is>
          <t>0.5 Per Area/System</t>
        </is>
      </c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P186" s="1070" t="inlineStr">
        <is>
          <t>ALWAYS INCLUDE</t>
        </is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550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 t="n"/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955" t="inlineStr">
        <is>
          <t xml:space="preserve">INDUCTION </t>
        </is>
      </c>
      <c r="C189" s="777" t="n">
        <v>1</v>
      </c>
      <c r="D189" s="1122" t="inlineStr">
        <is>
          <t>PER PROJECT</t>
        </is>
      </c>
      <c r="G189" s="30" t="n"/>
      <c r="H189" s="30" t="n"/>
      <c r="I189" s="30" t="n"/>
      <c r="J189" s="776" t="n">
        <v>350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P189" s="1070" t="inlineStr">
        <is>
          <t>ALWAYS INCLUDE</t>
        </is>
      </c>
      <c r="S189" s="694" t="n"/>
    </row>
    <row r="190" ht="15" customHeight="1" s="1085">
      <c r="A190" s="666" t="n">
        <v>400</v>
      </c>
      <c r="B190" s="955" t="inlineStr">
        <is>
          <t>LIVE SITE TEST</t>
        </is>
      </c>
      <c r="C190" s="963" t="n">
        <v>1</v>
      </c>
      <c r="D190" s="1122" t="inlineStr">
        <is>
          <t>INCLUDE FOR ANSUL BUT SHOWN AS A LINE ITEM FOR AMEREX</t>
        </is>
      </c>
      <c r="G190" s="1121" t="inlineStr">
        <is>
          <t>JEM's ADHOC DAY RATE</t>
        </is>
      </c>
      <c r="J190" s="776" t="n">
        <v>550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P190" s="1070" t="inlineStr">
        <is>
          <t>ALWAYS INCLUDE</t>
        </is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550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24" t="inlineStr">
        <is>
          <t>ONE Engineer,  2 days per Pollustop,1 days per 3no UV &amp; W/W canopies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9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09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20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1">
    <mergeCell ref="B203:O203"/>
    <mergeCell ref="H91:I91"/>
    <mergeCell ref="G190:I190"/>
    <mergeCell ref="E121:F121"/>
    <mergeCell ref="D189:F189"/>
    <mergeCell ref="H38:I38"/>
    <mergeCell ref="H125:I125"/>
    <mergeCell ref="D194:F194"/>
    <mergeCell ref="G186:I186"/>
    <mergeCell ref="B200:O200"/>
    <mergeCell ref="C5:D5"/>
    <mergeCell ref="H55:I55"/>
    <mergeCell ref="E185:F185"/>
    <mergeCell ref="B182:G182"/>
    <mergeCell ref="B202:O202"/>
    <mergeCell ref="D197:F197"/>
    <mergeCell ref="H40:I40"/>
    <mergeCell ref="H74:I74"/>
    <mergeCell ref="H176:I176"/>
    <mergeCell ref="H56:I56"/>
    <mergeCell ref="E35:F35"/>
    <mergeCell ref="H39:I39"/>
    <mergeCell ref="G9:J9"/>
    <mergeCell ref="H21:I21"/>
    <mergeCell ref="E87:F87"/>
    <mergeCell ref="H73:I73"/>
    <mergeCell ref="H157:I157"/>
    <mergeCell ref="D195:E195"/>
    <mergeCell ref="E138:F138"/>
    <mergeCell ref="D193:F193"/>
    <mergeCell ref="B204:O204"/>
    <mergeCell ref="E19:F19"/>
    <mergeCell ref="H142:I142"/>
    <mergeCell ref="E155:F155"/>
    <mergeCell ref="H89:I89"/>
    <mergeCell ref="H123:I123"/>
    <mergeCell ref="B1:C1"/>
    <mergeCell ref="E9:F9"/>
    <mergeCell ref="H108:I108"/>
    <mergeCell ref="E186:F186"/>
    <mergeCell ref="H175:I175"/>
    <mergeCell ref="G183:I183"/>
    <mergeCell ref="E104:F104"/>
    <mergeCell ref="H72:I72"/>
    <mergeCell ref="H90:I90"/>
    <mergeCell ref="H174:I174"/>
    <mergeCell ref="B205:O205"/>
    <mergeCell ref="G7:J7"/>
    <mergeCell ref="E36:F36"/>
    <mergeCell ref="H57:I57"/>
    <mergeCell ref="H159:I159"/>
    <mergeCell ref="H22:I22"/>
    <mergeCell ref="E70:F70"/>
    <mergeCell ref="H140:I140"/>
    <mergeCell ref="H158:I158"/>
    <mergeCell ref="D196:E196"/>
    <mergeCell ref="D190:F190"/>
    <mergeCell ref="E172:F172"/>
    <mergeCell ref="C7:D7"/>
    <mergeCell ref="G3:J3"/>
    <mergeCell ref="H124:I124"/>
    <mergeCell ref="E183:F183"/>
    <mergeCell ref="B201:O201"/>
    <mergeCell ref="E184:F184"/>
    <mergeCell ref="H23:I23"/>
    <mergeCell ref="E53:F53"/>
    <mergeCell ref="H141:I141"/>
    <mergeCell ref="H107:I107"/>
    <mergeCell ref="C3:D3"/>
    <mergeCell ref="G5:J5"/>
    <mergeCell ref="H106:I106"/>
  </mergeCells>
  <conditionalFormatting sqref="B9">
    <cfRule type="containsText" priority="665" operator="containsText" dxfId="680" text="SELECT">
      <formula>NOT(ISERROR(SEARCH("SELECT",B9)))</formula>
    </cfRule>
    <cfRule type="expression" priority="666" dxfId="680">
      <formula>B9="CURRENCY"</formula>
    </cfRule>
  </conditionalFormatting>
  <conditionalFormatting sqref="B11">
    <cfRule type="expression" priority="627" dxfId="637">
      <formula>$B11&lt;&gt;""</formula>
    </cfRule>
  </conditionalFormatting>
  <conditionalFormatting sqref="B14:B23">
    <cfRule type="expression" priority="619" dxfId="633">
      <formula>$J14&gt;0</formula>
    </cfRule>
  </conditionalFormatting>
  <conditionalFormatting sqref="B24">
    <cfRule type="expression" priority="616" dxfId="633">
      <formula>ISNUMBER(SEARCH("UV",$D14))</formula>
    </cfRule>
    <cfRule type="expression" priority="617" dxfId="358">
      <formula>($D14="CANOPY TYPE")</formula>
    </cfRule>
  </conditionalFormatting>
  <conditionalFormatting sqref="B25:B27">
    <cfRule type="expression" priority="437" dxfId="633">
      <formula>$J25&gt;0</formula>
    </cfRule>
  </conditionalFormatting>
  <conditionalFormatting sqref="B28">
    <cfRule type="expression" priority="625" dxfId="637">
      <formula>$B28&lt;&gt;""</formula>
    </cfRule>
  </conditionalFormatting>
  <conditionalFormatting sqref="B31:B40">
    <cfRule type="expression" priority="263" dxfId="633">
      <formula>$J31&gt;0</formula>
    </cfRule>
  </conditionalFormatting>
  <conditionalFormatting sqref="B41">
    <cfRule type="expression" priority="585" dxfId="633">
      <formula>ISNUMBER(SEARCH("UV",$D31))</formula>
    </cfRule>
    <cfRule type="expression" priority="586" dxfId="358">
      <formula>($D31="CANOPY TYPE")</formula>
    </cfRule>
  </conditionalFormatting>
  <conditionalFormatting sqref="B42:B44">
    <cfRule type="expression" priority="587" dxfId="633">
      <formula>$J42&gt;0</formula>
    </cfRule>
  </conditionalFormatting>
  <conditionalFormatting sqref="B45">
    <cfRule type="expression" priority="624" dxfId="637">
      <formula>$B45&lt;&gt;""</formula>
    </cfRule>
  </conditionalFormatting>
  <conditionalFormatting sqref="B48:B57">
    <cfRule type="expression" priority="252" dxfId="633">
      <formula>$J48&gt;0</formula>
    </cfRule>
  </conditionalFormatting>
  <conditionalFormatting sqref="B58">
    <cfRule type="expression" priority="556" dxfId="633">
      <formula>ISNUMBER(SEARCH("UV",$D48))</formula>
    </cfRule>
    <cfRule type="expression" priority="557" dxfId="358">
      <formula>($D48="CANOPY TYPE")</formula>
    </cfRule>
  </conditionalFormatting>
  <conditionalFormatting sqref="B59:B61">
    <cfRule type="expression" priority="436" dxfId="633">
      <formula>$J59&gt;0</formula>
    </cfRule>
  </conditionalFormatting>
  <conditionalFormatting sqref="B62">
    <cfRule type="expression" priority="623" dxfId="637">
      <formula>$B62&lt;&gt;""</formula>
    </cfRule>
  </conditionalFormatting>
  <conditionalFormatting sqref="B65:B74">
    <cfRule type="expression" priority="241" dxfId="633">
      <formula>$J65&gt;0</formula>
    </cfRule>
  </conditionalFormatting>
  <conditionalFormatting sqref="B75">
    <cfRule type="expression" priority="526" dxfId="633">
      <formula>ISNUMBER(SEARCH("UV",$D65))</formula>
    </cfRule>
    <cfRule type="expression" priority="527" dxfId="358">
      <formula>($D65="CANOPY TYPE")</formula>
    </cfRule>
  </conditionalFormatting>
  <conditionalFormatting sqref="B76:B78">
    <cfRule type="expression" priority="435" dxfId="633">
      <formula>$J76&gt;0</formula>
    </cfRule>
  </conditionalFormatting>
  <conditionalFormatting sqref="B79">
    <cfRule type="expression" priority="622" dxfId="637">
      <formula>$B79&lt;&gt;""</formula>
    </cfRule>
  </conditionalFormatting>
  <conditionalFormatting sqref="B82:B91">
    <cfRule type="expression" priority="230" dxfId="633">
      <formula>$J82&gt;0</formula>
    </cfRule>
  </conditionalFormatting>
  <conditionalFormatting sqref="B92">
    <cfRule type="expression" priority="495" dxfId="633">
      <formula>ISNUMBER(SEARCH("UV",$D82))</formula>
    </cfRule>
    <cfRule type="expression" priority="496" dxfId="358">
      <formula>($D82="CANOPY TYPE")</formula>
    </cfRule>
  </conditionalFormatting>
  <conditionalFormatting sqref="B93:B95">
    <cfRule type="expression" priority="434" dxfId="633">
      <formula>$J93&gt;0</formula>
    </cfRule>
  </conditionalFormatting>
  <conditionalFormatting sqref="B96">
    <cfRule type="expression" priority="621" dxfId="637">
      <formula>$B96&lt;&gt;""</formula>
    </cfRule>
  </conditionalFormatting>
  <conditionalFormatting sqref="B99:B108">
    <cfRule type="expression" priority="219" dxfId="633">
      <formula>$J99&gt;0</formula>
    </cfRule>
  </conditionalFormatting>
  <conditionalFormatting sqref="B109">
    <cfRule type="expression" priority="465" dxfId="633">
      <formula>ISNUMBER(SEARCH("UV",$D99))</formula>
    </cfRule>
    <cfRule type="expression" priority="466" dxfId="358">
      <formula>($D99="CANOPY TYPE")</formula>
    </cfRule>
  </conditionalFormatting>
  <conditionalFormatting sqref="B110:B112 B127:B129 B161:B163 B178:B180">
    <cfRule type="expression" priority="433" dxfId="633">
      <formula>$J110&gt;0</formula>
    </cfRule>
  </conditionalFormatting>
  <conditionalFormatting sqref="B113">
    <cfRule type="expression" priority="325" dxfId="637">
      <formula>$B113&lt;&gt;""</formula>
    </cfRule>
  </conditionalFormatting>
  <conditionalFormatting sqref="B116:B125">
    <cfRule type="expression" priority="208" dxfId="633">
      <formula>$J116&gt;0</formula>
    </cfRule>
  </conditionalFormatting>
  <conditionalFormatting sqref="B126">
    <cfRule type="expression" priority="298" dxfId="633">
      <formula>ISNUMBER(SEARCH("UV",$D116))</formula>
    </cfRule>
    <cfRule type="expression" priority="299" dxfId="358">
      <formula>($D116="CANOPY TYPE")</formula>
    </cfRule>
  </conditionalFormatting>
  <conditionalFormatting sqref="B130">
    <cfRule type="expression" priority="189" dxfId="637">
      <formula>$B130&lt;&gt;""</formula>
    </cfRule>
  </conditionalFormatting>
  <conditionalFormatting sqref="B133:B142">
    <cfRule type="expression" priority="21" dxfId="633">
      <formula>$J133&gt;0</formula>
    </cfRule>
  </conditionalFormatting>
  <conditionalFormatting sqref="B143">
    <cfRule type="expression" priority="159" dxfId="633">
      <formula>ISNUMBER(SEARCH("UV",$D133))</formula>
    </cfRule>
    <cfRule type="expression" priority="160" dxfId="358">
      <formula>($D133="CANOPY TYPE")</formula>
    </cfRule>
  </conditionalFormatting>
  <conditionalFormatting sqref="B144:B146">
    <cfRule type="expression" priority="118" dxfId="633">
      <formula>$J144&gt;0</formula>
    </cfRule>
  </conditionalFormatting>
  <conditionalFormatting sqref="B147">
    <cfRule type="expression" priority="188" dxfId="637">
      <formula>$B147&lt;&gt;""</formula>
    </cfRule>
  </conditionalFormatting>
  <conditionalFormatting sqref="B150:B159">
    <cfRule type="expression" priority="10" dxfId="633">
      <formula>$J150&gt;0</formula>
    </cfRule>
  </conditionalFormatting>
  <conditionalFormatting sqref="B160">
    <cfRule type="expression" priority="130" dxfId="633">
      <formula>ISNUMBER(SEARCH("UV",$D150))</formula>
    </cfRule>
    <cfRule type="expression" priority="131" dxfId="358">
      <formula>($D150="CANOPY TYPE")</formula>
    </cfRule>
  </conditionalFormatting>
  <conditionalFormatting sqref="B164">
    <cfRule type="expression" priority="81" dxfId="637">
      <formula>$B164&lt;&gt;""</formula>
    </cfRule>
  </conditionalFormatting>
  <conditionalFormatting sqref="B167:B176">
    <cfRule type="expression" priority="5" dxfId="633">
      <formula>$J167&gt;0</formula>
    </cfRule>
  </conditionalFormatting>
  <conditionalFormatting sqref="B177">
    <cfRule type="expression" priority="54" dxfId="633">
      <formula>ISNUMBER(SEARCH("UV",$D167))</formula>
    </cfRule>
    <cfRule type="expression" priority="55" dxfId="358">
      <formula>($D167="CANOPY TYPE")</formula>
    </cfRule>
  </conditionalFormatting>
  <conditionalFormatting sqref="B183:B197">
    <cfRule type="expression" priority="618" dxfId="633">
      <formula>$C183&gt;0</formula>
    </cfRule>
  </conditionalFormatting>
  <conditionalFormatting sqref="C14">
    <cfRule type="containsText" priority="423" operator="containsText" dxfId="204" text="CONFIG">
      <formula>NOT(ISERROR(SEARCH("CONFIG",C14)))</formula>
    </cfRule>
  </conditionalFormatting>
  <conditionalFormatting sqref="C15">
    <cfRule type="containsText" priority="428" operator="containsText" dxfId="561" text="LIGHT SELECTION">
      <formula>NOT(ISERROR(SEARCH("LIGHT SELECTION",C15)))</formula>
    </cfRule>
  </conditionalFormatting>
  <conditionalFormatting sqref="C16:C17">
    <cfRule type="containsText" priority="674" operator="containsText" dxfId="561" text="ANSUL SELECTION">
      <formula>NOT(ISERROR(SEARCH("ANSUL SELECTION",C16)))</formula>
    </cfRule>
  </conditionalFormatting>
  <conditionalFormatting sqref="C20:C21">
    <cfRule type="cellIs" priority="671" operator="lessThan" dxfId="561">
      <formula>1</formula>
    </cfRule>
  </conditionalFormatting>
  <conditionalFormatting sqref="C22:C23">
    <cfRule type="expression" priority="403" dxfId="383">
      <formula>D22="WW PODS"</formula>
    </cfRule>
  </conditionalFormatting>
  <conditionalFormatting sqref="C24">
    <cfRule type="expression" priority="689" dxfId="559">
      <formula>ISNUMBER(SEARCH("UV",D14))</formula>
    </cfRule>
  </conditionalFormatting>
  <conditionalFormatting sqref="C25">
    <cfRule type="expression" priority="651" dxfId="472">
      <formula>(ISNUMBER(SEARCH("CMW",D14)))=TRUE</formula>
    </cfRule>
  </conditionalFormatting>
  <conditionalFormatting sqref="C26">
    <cfRule type="expression" priority="650" dxfId="472">
      <formula>(ISNUMBER(SEARCH("CMW",D14)))=TRUE</formula>
    </cfRule>
  </conditionalFormatting>
  <conditionalFormatting sqref="C27">
    <cfRule type="expression" priority="620" dxfId="472">
      <formula>(ISNUMBER(SEARCH("CMW",$D14)))=TRUE</formula>
    </cfRule>
  </conditionalFormatting>
  <conditionalFormatting sqref="C31">
    <cfRule type="containsText" priority="595" operator="containsText" dxfId="204" text="CONFIG">
      <formula>NOT(ISERROR(SEARCH("CONFIG",C31)))</formula>
    </cfRule>
  </conditionalFormatting>
  <conditionalFormatting sqref="C32">
    <cfRule type="containsText" priority="430" operator="containsText" dxfId="561" text="LIGHT SELECTION">
      <formula>NOT(ISERROR(SEARCH("LIGHT SELECTION",C32)))</formula>
    </cfRule>
  </conditionalFormatting>
  <conditionalFormatting sqref="C33:C34">
    <cfRule type="containsText" priority="271" operator="containsText" dxfId="561" text="ANSUL SELECTION">
      <formula>NOT(ISERROR(SEARCH("ANSUL SELECTION",C33)))</formula>
    </cfRule>
  </conditionalFormatting>
  <conditionalFormatting sqref="C37:C38">
    <cfRule type="cellIs" priority="594" operator="lessThan" dxfId="561">
      <formula>1</formula>
    </cfRule>
  </conditionalFormatting>
  <conditionalFormatting sqref="C39:C40">
    <cfRule type="expression" priority="388" dxfId="383">
      <formula>D39="WW PODS"</formula>
    </cfRule>
  </conditionalFormatting>
  <conditionalFormatting sqref="C41">
    <cfRule type="expression" priority="609" dxfId="559">
      <formula>ISNUMBER(SEARCH("UV",D31))</formula>
    </cfRule>
  </conditionalFormatting>
  <conditionalFormatting sqref="C42">
    <cfRule type="expression" priority="592" dxfId="472">
      <formula>(ISNUMBER(SEARCH("CMW",D31)))=TRUE</formula>
    </cfRule>
  </conditionalFormatting>
  <conditionalFormatting sqref="C43">
    <cfRule type="expression" priority="462" dxfId="472">
      <formula>(ISNUMBER(SEARCH("CMW",D31)))=TRUE</formula>
    </cfRule>
  </conditionalFormatting>
  <conditionalFormatting sqref="C44">
    <cfRule type="expression" priority="588" dxfId="472">
      <formula>(ISNUMBER(SEARCH("CMW",$D31)))=TRUE</formula>
    </cfRule>
  </conditionalFormatting>
  <conditionalFormatting sqref="C48">
    <cfRule type="containsText" priority="565" operator="containsText" dxfId="204" text="CONFIG">
      <formula>NOT(ISERROR(SEARCH("CONFIG",C48)))</formula>
    </cfRule>
  </conditionalFormatting>
  <conditionalFormatting sqref="C49">
    <cfRule type="containsText" priority="427" operator="containsText" dxfId="561" text="LIGHT SELECTION">
      <formula>NOT(ISERROR(SEARCH("LIGHT SELECTION",C49)))</formula>
    </cfRule>
  </conditionalFormatting>
  <conditionalFormatting sqref="C50:C51">
    <cfRule type="containsText" priority="260" operator="containsText" dxfId="561" text="ANSUL SELECTION">
      <formula>NOT(ISERROR(SEARCH("ANSUL SELECTION",C50)))</formula>
    </cfRule>
  </conditionalFormatting>
  <conditionalFormatting sqref="C54:C55">
    <cfRule type="cellIs" priority="564" operator="lessThan" dxfId="561">
      <formula>1</formula>
    </cfRule>
  </conditionalFormatting>
  <conditionalFormatting sqref="C56:C57">
    <cfRule type="expression" priority="373" dxfId="383">
      <formula>D56="WW PODS"</formula>
    </cfRule>
  </conditionalFormatting>
  <conditionalFormatting sqref="C58">
    <cfRule type="expression" priority="578" dxfId="559">
      <formula>ISNUMBER(SEARCH("UV",D48))</formula>
    </cfRule>
  </conditionalFormatting>
  <conditionalFormatting sqref="C59">
    <cfRule type="expression" priority="562" dxfId="472">
      <formula>(ISNUMBER(SEARCH("CMW",D48)))=TRUE</formula>
    </cfRule>
  </conditionalFormatting>
  <conditionalFormatting sqref="C60">
    <cfRule type="expression" priority="461" dxfId="472">
      <formula>(ISNUMBER(SEARCH("CMW",D48)))=TRUE</formula>
    </cfRule>
  </conditionalFormatting>
  <conditionalFormatting sqref="C61">
    <cfRule type="expression" priority="558" dxfId="472">
      <formula>(ISNUMBER(SEARCH("CMW",$D48)))=TRUE</formula>
    </cfRule>
  </conditionalFormatting>
  <conditionalFormatting sqref="C65">
    <cfRule type="containsText" priority="536" operator="containsText" dxfId="204" text="CONFIG">
      <formula>NOT(ISERROR(SEARCH("CONFIG",C65)))</formula>
    </cfRule>
  </conditionalFormatting>
  <conditionalFormatting sqref="C66">
    <cfRule type="containsText" priority="426" operator="containsText" dxfId="561" text="LIGHT SELECTION">
      <formula>NOT(ISERROR(SEARCH("LIGHT SELECTION",C66)))</formula>
    </cfRule>
  </conditionalFormatting>
  <conditionalFormatting sqref="C67:C68">
    <cfRule type="containsText" priority="249" operator="containsText" dxfId="561" text="ANSUL SELECTION">
      <formula>NOT(ISERROR(SEARCH("ANSUL SELECTION",C67)))</formula>
    </cfRule>
  </conditionalFormatting>
  <conditionalFormatting sqref="C71:C72">
    <cfRule type="cellIs" priority="535" operator="lessThan" dxfId="561">
      <formula>1</formula>
    </cfRule>
  </conditionalFormatting>
  <conditionalFormatting sqref="C73:C74">
    <cfRule type="expression" priority="358" dxfId="383">
      <formula>D73="WW PODS"</formula>
    </cfRule>
  </conditionalFormatting>
  <conditionalFormatting sqref="C75">
    <cfRule type="expression" priority="549" dxfId="559">
      <formula>ISNUMBER(SEARCH("UV",D65))</formula>
    </cfRule>
  </conditionalFormatting>
  <conditionalFormatting sqref="C76">
    <cfRule type="expression" priority="532" dxfId="472">
      <formula>(ISNUMBER(SEARCH("CMW",D65)))=TRUE</formula>
    </cfRule>
  </conditionalFormatting>
  <conditionalFormatting sqref="C77">
    <cfRule type="expression" priority="460" dxfId="472">
      <formula>(ISNUMBER(SEARCH("CMW",D65)))=TRUE</formula>
    </cfRule>
  </conditionalFormatting>
  <conditionalFormatting sqref="C78">
    <cfRule type="expression" priority="528" dxfId="472">
      <formula>(ISNUMBER(SEARCH("CMW",$D65)))=TRUE</formula>
    </cfRule>
  </conditionalFormatting>
  <conditionalFormatting sqref="C82">
    <cfRule type="containsText" priority="505" operator="containsText" dxfId="204" text="CONFIG">
      <formula>NOT(ISERROR(SEARCH("CONFIG",C82)))</formula>
    </cfRule>
  </conditionalFormatting>
  <conditionalFormatting sqref="C83">
    <cfRule type="containsText" priority="425" operator="containsText" dxfId="561" text="LIGHT SELECTION">
      <formula>NOT(ISERROR(SEARCH("LIGHT SELECTION",C83)))</formula>
    </cfRule>
  </conditionalFormatting>
  <conditionalFormatting sqref="C84:C85">
    <cfRule type="containsText" priority="238" operator="containsText" dxfId="561" text="ANSUL SELECTION">
      <formula>NOT(ISERROR(SEARCH("ANSUL SELECTION",C84)))</formula>
    </cfRule>
  </conditionalFormatting>
  <conditionalFormatting sqref="C88:C89">
    <cfRule type="cellIs" priority="504" operator="lessThan" dxfId="561">
      <formula>1</formula>
    </cfRule>
  </conditionalFormatting>
  <conditionalFormatting sqref="C90:C91">
    <cfRule type="expression" priority="343" dxfId="383">
      <formula>D90="WW PODS"</formula>
    </cfRule>
  </conditionalFormatting>
  <conditionalFormatting sqref="C92">
    <cfRule type="expression" priority="519" dxfId="559">
      <formula>ISNUMBER(SEARCH("UV",D82))</formula>
    </cfRule>
  </conditionalFormatting>
  <conditionalFormatting sqref="C93">
    <cfRule type="expression" priority="501" dxfId="472">
      <formula>(ISNUMBER(SEARCH("CMW",D82)))=TRUE</formula>
    </cfRule>
  </conditionalFormatting>
  <conditionalFormatting sqref="C94">
    <cfRule type="expression" priority="459" dxfId="472">
      <formula>(ISNUMBER(SEARCH("CMW",D82)))=TRUE</formula>
    </cfRule>
  </conditionalFormatting>
  <conditionalFormatting sqref="C95">
    <cfRule type="expression" priority="497" dxfId="472">
      <formula>(ISNUMBER(SEARCH("CMW",$D82)))=TRUE</formula>
    </cfRule>
  </conditionalFormatting>
  <conditionalFormatting sqref="C99">
    <cfRule type="containsText" priority="474" operator="containsText" dxfId="204" text="CONFIG">
      <formula>NOT(ISERROR(SEARCH("CONFIG",C99)))</formula>
    </cfRule>
  </conditionalFormatting>
  <conditionalFormatting sqref="C100">
    <cfRule type="containsText" priority="424" operator="containsText" dxfId="561" text="LIGHT SELECTION">
      <formula>NOT(ISERROR(SEARCH("LIGHT SELECTION",C100)))</formula>
    </cfRule>
  </conditionalFormatting>
  <conditionalFormatting sqref="C101:C102">
    <cfRule type="containsText" priority="227" operator="containsText" dxfId="561" text="ANSUL SELECTION">
      <formula>NOT(ISERROR(SEARCH("ANSUL SELECTION",C101)))</formula>
    </cfRule>
  </conditionalFormatting>
  <conditionalFormatting sqref="C105:C106">
    <cfRule type="cellIs" priority="473" operator="lessThan" dxfId="561">
      <formula>1</formula>
    </cfRule>
  </conditionalFormatting>
  <conditionalFormatting sqref="C107:C108">
    <cfRule type="expression" priority="328" dxfId="383">
      <formula>D107="WW PODS"</formula>
    </cfRule>
  </conditionalFormatting>
  <conditionalFormatting sqref="C109">
    <cfRule type="expression" priority="488" dxfId="559">
      <formula>ISNUMBER(SEARCH("UV",D99))</formula>
    </cfRule>
  </conditionalFormatting>
  <conditionalFormatting sqref="C110">
    <cfRule type="expression" priority="471" dxfId="472">
      <formula>(ISNUMBER(SEARCH("CMW",D99)))=TRUE</formula>
    </cfRule>
  </conditionalFormatting>
  <conditionalFormatting sqref="C111">
    <cfRule type="expression" priority="458" dxfId="472">
      <formula>(ISNUMBER(SEARCH("CMW",D99)))=TRUE</formula>
    </cfRule>
  </conditionalFormatting>
  <conditionalFormatting sqref="C112 C129 C163 C180">
    <cfRule type="expression" priority="467" dxfId="472">
      <formula>(ISNUMBER(SEARCH("CMW",$D99)))=TRUE</formula>
    </cfRule>
  </conditionalFormatting>
  <conditionalFormatting sqref="C116">
    <cfRule type="containsText" priority="306" operator="containsText" dxfId="204" text="CONFIG">
      <formula>NOT(ISERROR(SEARCH("CONFIG",C116)))</formula>
    </cfRule>
  </conditionalFormatting>
  <conditionalFormatting sqref="C117">
    <cfRule type="containsText" priority="291" operator="containsText" dxfId="561" text="LIGHT SELECTION">
      <formula>NOT(ISERROR(SEARCH("LIGHT SELECTION",C117)))</formula>
    </cfRule>
  </conditionalFormatting>
  <conditionalFormatting sqref="C118:C119">
    <cfRule type="containsText" priority="216" operator="containsText" dxfId="561" text="ANSUL SELECTION">
      <formula>NOT(ISERROR(SEARCH("ANSUL SELECTION",C118)))</formula>
    </cfRule>
  </conditionalFormatting>
  <conditionalFormatting sqref="C122:C123">
    <cfRule type="cellIs" priority="305" operator="lessThan" dxfId="561">
      <formula>1</formula>
    </cfRule>
  </conditionalFormatting>
  <conditionalFormatting sqref="C124:C125">
    <cfRule type="expression" priority="275" dxfId="383">
      <formula>D124="WW PODS"</formula>
    </cfRule>
  </conditionalFormatting>
  <conditionalFormatting sqref="C126">
    <cfRule type="expression" priority="320" dxfId="559">
      <formula>ISNUMBER(SEARCH("UV",D116))</formula>
    </cfRule>
  </conditionalFormatting>
  <conditionalFormatting sqref="C127">
    <cfRule type="expression" priority="303" dxfId="472">
      <formula>(ISNUMBER(SEARCH("CMW",D116)))=TRUE</formula>
    </cfRule>
  </conditionalFormatting>
  <conditionalFormatting sqref="C128">
    <cfRule type="expression" priority="296" dxfId="472">
      <formula>(ISNUMBER(SEARCH("CMW",D116)))=TRUE</formula>
    </cfRule>
  </conditionalFormatting>
  <conditionalFormatting sqref="C133">
    <cfRule type="containsText" priority="169" operator="containsText" dxfId="204" text="CONFIG">
      <formula>NOT(ISERROR(SEARCH("CONFIG",C133)))</formula>
    </cfRule>
  </conditionalFormatting>
  <conditionalFormatting sqref="C134">
    <cfRule type="containsText" priority="117" operator="containsText" dxfId="561" text="LIGHT SELECTION">
      <formula>NOT(ISERROR(SEARCH("LIGHT SELECTION",C134)))</formula>
    </cfRule>
  </conditionalFormatting>
  <conditionalFormatting sqref="C135:C136">
    <cfRule type="containsText" priority="29" operator="containsText" dxfId="561" text="ANSUL SELECTION">
      <formula>NOT(ISERROR(SEARCH("ANSUL SELECTION",C135)))</formula>
    </cfRule>
  </conditionalFormatting>
  <conditionalFormatting sqref="C139:C140">
    <cfRule type="cellIs" priority="168" operator="lessThan" dxfId="561">
      <formula>1</formula>
    </cfRule>
  </conditionalFormatting>
  <conditionalFormatting sqref="C141:C142">
    <cfRule type="expression" priority="99" dxfId="383">
      <formula>D141="WW PODS"</formula>
    </cfRule>
  </conditionalFormatting>
  <conditionalFormatting sqref="C143">
    <cfRule type="expression" priority="183" dxfId="559">
      <formula>ISNUMBER(SEARCH("UV",D133))</formula>
    </cfRule>
  </conditionalFormatting>
  <conditionalFormatting sqref="C144">
    <cfRule type="expression" priority="165" dxfId="472">
      <formula>(ISNUMBER(SEARCH("CMW",D133)))=TRUE</formula>
    </cfRule>
  </conditionalFormatting>
  <conditionalFormatting sqref="C145">
    <cfRule type="expression" priority="128" dxfId="472">
      <formula>(ISNUMBER(SEARCH("CMW",D133)))=TRUE</formula>
    </cfRule>
  </conditionalFormatting>
  <conditionalFormatting sqref="C146">
    <cfRule type="expression" priority="161" dxfId="472">
      <formula>(ISNUMBER(SEARCH("CMW",$D133)))=TRUE</formula>
    </cfRule>
  </conditionalFormatting>
  <conditionalFormatting sqref="C150">
    <cfRule type="containsText" priority="138" operator="containsText" dxfId="204" text="CONFIG">
      <formula>NOT(ISERROR(SEARCH("CONFIG",C150)))</formula>
    </cfRule>
  </conditionalFormatting>
  <conditionalFormatting sqref="C151">
    <cfRule type="containsText" priority="116" operator="containsText" dxfId="561" text="LIGHT SELECTION">
      <formula>NOT(ISERROR(SEARCH("LIGHT SELECTION",C151)))</formula>
    </cfRule>
  </conditionalFormatting>
  <conditionalFormatting sqref="C152:C153">
    <cfRule type="containsText" priority="18" operator="containsText" dxfId="561" text="ANSUL SELECTION">
      <formula>NOT(ISERROR(SEARCH("ANSUL SELECTION",C152)))</formula>
    </cfRule>
  </conditionalFormatting>
  <conditionalFormatting sqref="C156:C157">
    <cfRule type="cellIs" priority="137" operator="lessThan" dxfId="561">
      <formula>1</formula>
    </cfRule>
  </conditionalFormatting>
  <conditionalFormatting sqref="C158:C159">
    <cfRule type="expression" priority="84" dxfId="383">
      <formula>D158="WW PODS"</formula>
    </cfRule>
  </conditionalFormatting>
  <conditionalFormatting sqref="C160">
    <cfRule type="expression" priority="152" dxfId="559">
      <formula>ISNUMBER(SEARCH("UV",D150))</formula>
    </cfRule>
  </conditionalFormatting>
  <conditionalFormatting sqref="C161">
    <cfRule type="expression" priority="135" dxfId="472">
      <formula>(ISNUMBER(SEARCH("CMW",D150)))=TRUE</formula>
    </cfRule>
  </conditionalFormatting>
  <conditionalFormatting sqref="C162">
    <cfRule type="expression" priority="127" dxfId="472">
      <formula>(ISNUMBER(SEARCH("CMW",D150)))=TRUE</formula>
    </cfRule>
  </conditionalFormatting>
  <conditionalFormatting sqref="C167">
    <cfRule type="containsText" priority="62" operator="containsText" dxfId="204" text="CONFIG">
      <formula>NOT(ISERROR(SEARCH("CONFIG",C167)))</formula>
    </cfRule>
  </conditionalFormatting>
  <conditionalFormatting sqref="C168">
    <cfRule type="containsText" priority="47" operator="containsText" dxfId="561" text="LIGHT SELECTION">
      <formula>NOT(ISERROR(SEARCH("LIGHT SELECTION",C168)))</formula>
    </cfRule>
  </conditionalFormatting>
  <conditionalFormatting sqref="C169:C170">
    <cfRule type="containsText" priority="7" operator="containsText" dxfId="561" text="ANSUL SELECTION">
      <formula>NOT(ISERROR(SEARCH("ANSUL SELECTION",C169)))</formula>
    </cfRule>
  </conditionalFormatting>
  <conditionalFormatting sqref="C173:C174">
    <cfRule type="cellIs" priority="61" operator="lessThan" dxfId="561">
      <formula>1</formula>
    </cfRule>
  </conditionalFormatting>
  <conditionalFormatting sqref="C175:C176">
    <cfRule type="expression" priority="31" dxfId="383">
      <formula>D175="WW PODS"</formula>
    </cfRule>
  </conditionalFormatting>
  <conditionalFormatting sqref="C177">
    <cfRule type="expression" priority="76" dxfId="559">
      <formula>ISNUMBER(SEARCH("UV",D167))</formula>
    </cfRule>
  </conditionalFormatting>
  <conditionalFormatting sqref="C178">
    <cfRule type="expression" priority="59" dxfId="472">
      <formula>(ISNUMBER(SEARCH("CMW",D167)))=TRUE</formula>
    </cfRule>
  </conditionalFormatting>
  <conditionalFormatting sqref="C179">
    <cfRule type="expression" priority="52" dxfId="472">
      <formula>(ISNUMBER(SEARCH("CMW",D167)))=TRUE</formula>
    </cfRule>
  </conditionalFormatting>
  <conditionalFormatting sqref="C183:C184">
    <cfRule type="cellIs" priority="673" operator="lessThan" dxfId="554">
      <formula>1</formula>
    </cfRule>
  </conditionalFormatting>
  <conditionalFormatting sqref="C185:C186">
    <cfRule type="cellIs" priority="662" operator="lessThan" dxfId="164">
      <formula>1</formula>
    </cfRule>
  </conditionalFormatting>
  <conditionalFormatting sqref="C187:C197">
    <cfRule type="cellIs" priority="273" operator="lessThan" dxfId="554">
      <formula>1</formula>
    </cfRule>
  </conditionalFormatting>
  <conditionalFormatting sqref="C9:D9">
    <cfRule type="cellIs" priority="663" operator="lessThan" dxfId="207">
      <formula>0</formula>
    </cfRule>
    <cfRule type="cellIs" priority="664" operator="greaterThan" dxfId="552">
      <formula>0</formula>
    </cfRule>
  </conditionalFormatting>
  <conditionalFormatting sqref="D14">
    <cfRule type="containsText" priority="675" operator="containsText" dxfId="164" text="CANOPY TYPE">
      <formula>NOT(ISERROR(SEARCH("CANOPY TYPE",D14)))</formula>
    </cfRule>
  </conditionalFormatting>
  <conditionalFormatting sqref="D15">
    <cfRule type="expression" priority="419" dxfId="206">
      <formula>(C15="LIGHT SELECTION")</formula>
    </cfRule>
  </conditionalFormatting>
  <conditionalFormatting sqref="D18">
    <cfRule type="expression" priority="629" dxfId="206">
      <formula>($C18="SELECT WORKS")</formula>
    </cfRule>
  </conditionalFormatting>
  <conditionalFormatting sqref="D19">
    <cfRule type="expression" priority="272" dxfId="206">
      <formula>$C19="SELECT CLADDING"</formula>
    </cfRule>
  </conditionalFormatting>
  <conditionalFormatting sqref="D22:D23">
    <cfRule type="expression" priority="402" dxfId="358">
      <formula>($D$14="CANOPY TYPE")</formula>
    </cfRule>
  </conditionalFormatting>
  <conditionalFormatting sqref="D24">
    <cfRule type="expression" priority="688" dxfId="474">
      <formula>ISNUMBER(SEARCH("UV",D14))</formula>
    </cfRule>
  </conditionalFormatting>
  <conditionalFormatting sqref="D25">
    <cfRule type="expression" priority="614" dxfId="358">
      <formula>($D$14="CANOPY TYPE")</formula>
    </cfRule>
  </conditionalFormatting>
  <conditionalFormatting sqref="D26">
    <cfRule type="expression" priority="637" dxfId="472">
      <formula>(ISNUMBER(SEARCH("CMW",D14)))=TRUE</formula>
    </cfRule>
  </conditionalFormatting>
  <conditionalFormatting sqref="D31">
    <cfRule type="containsText" priority="596" operator="containsText" dxfId="164" text="CANOPY TYPE">
      <formula>NOT(ISERROR(SEARCH("CANOPY TYPE",D31)))</formula>
    </cfRule>
  </conditionalFormatting>
  <conditionalFormatting sqref="D32">
    <cfRule type="expression" priority="432" dxfId="206">
      <formula>(C32="LIGHT SELECTION")</formula>
    </cfRule>
  </conditionalFormatting>
  <conditionalFormatting sqref="D35">
    <cfRule type="expression" priority="589" dxfId="206">
      <formula>($C35="SELECT WORKS")</formula>
    </cfRule>
  </conditionalFormatting>
  <conditionalFormatting sqref="D36">
    <cfRule type="expression" priority="411" dxfId="206">
      <formula>$C36="SELECT CLADDING"</formula>
    </cfRule>
  </conditionalFormatting>
  <conditionalFormatting sqref="D39:D40">
    <cfRule type="expression" priority="387" dxfId="358">
      <formula>($D$14="CANOPY TYPE")</formula>
    </cfRule>
  </conditionalFormatting>
  <conditionalFormatting sqref="D41">
    <cfRule type="expression" priority="608" dxfId="474">
      <formula>ISNUMBER(SEARCH("UV",D31))</formula>
    </cfRule>
  </conditionalFormatting>
  <conditionalFormatting sqref="D42">
    <cfRule type="expression" priority="583" dxfId="358">
      <formula>($D$14="CANOPY TYPE")</formula>
    </cfRule>
  </conditionalFormatting>
  <conditionalFormatting sqref="D43">
    <cfRule type="expression" priority="591" dxfId="472">
      <formula>(ISNUMBER(SEARCH("CMW",D31)))=TRUE</formula>
    </cfRule>
  </conditionalFormatting>
  <conditionalFormatting sqref="D48">
    <cfRule type="containsText" priority="414" operator="containsText" dxfId="164" text="CANOPY TYPE">
      <formula>NOT(ISERROR(SEARCH("CANOPY TYPE",D48)))</formula>
    </cfRule>
  </conditionalFormatting>
  <conditionalFormatting sqref="D49">
    <cfRule type="expression" priority="429" dxfId="206">
      <formula>(C15="LIGHT SELECTION")</formula>
    </cfRule>
  </conditionalFormatting>
  <conditionalFormatting sqref="D52">
    <cfRule type="expression" priority="559" dxfId="206">
      <formula>($C52="SELECT WORKS")</formula>
    </cfRule>
  </conditionalFormatting>
  <conditionalFormatting sqref="D53">
    <cfRule type="expression" priority="412" dxfId="206">
      <formula>$C53="SELECT CLADDING"</formula>
    </cfRule>
  </conditionalFormatting>
  <conditionalFormatting sqref="D56:D57">
    <cfRule type="expression" priority="372" dxfId="358">
      <formula>($D$14="CANOPY TYPE")</formula>
    </cfRule>
  </conditionalFormatting>
  <conditionalFormatting sqref="D58">
    <cfRule type="expression" priority="577" dxfId="474">
      <formula>ISNUMBER(SEARCH("UV",D48))</formula>
    </cfRule>
  </conditionalFormatting>
  <conditionalFormatting sqref="D59">
    <cfRule type="expression" priority="554" dxfId="358">
      <formula>($D$14="CANOPY TYPE")</formula>
    </cfRule>
  </conditionalFormatting>
  <conditionalFormatting sqref="D60">
    <cfRule type="expression" priority="561" dxfId="472">
      <formula>(ISNUMBER(SEARCH("CMW",D48)))=TRUE</formula>
    </cfRule>
  </conditionalFormatting>
  <conditionalFormatting sqref="D65">
    <cfRule type="containsText" priority="413" operator="containsText" dxfId="164" text="CANOPY TYPE">
      <formula>NOT(ISERROR(SEARCH("CANOPY TYPE",D65)))</formula>
    </cfRule>
  </conditionalFormatting>
  <conditionalFormatting sqref="D66">
    <cfRule type="expression" priority="422" dxfId="206">
      <formula>(C66="LIGHT SELECTION")</formula>
    </cfRule>
  </conditionalFormatting>
  <conditionalFormatting sqref="D69">
    <cfRule type="expression" priority="529" dxfId="206">
      <formula>($C69="SELECT WORKS")</formula>
    </cfRule>
  </conditionalFormatting>
  <conditionalFormatting sqref="D70">
    <cfRule type="expression" priority="533" dxfId="206">
      <formula>$C70="SELECT CLADDING"</formula>
    </cfRule>
  </conditionalFormatting>
  <conditionalFormatting sqref="D73:D74">
    <cfRule type="expression" priority="357" dxfId="358">
      <formula>($D$14="CANOPY TYPE")</formula>
    </cfRule>
  </conditionalFormatting>
  <conditionalFormatting sqref="D75">
    <cfRule type="expression" priority="548" dxfId="474">
      <formula>ISNUMBER(SEARCH("UV",D65))</formula>
    </cfRule>
  </conditionalFormatting>
  <conditionalFormatting sqref="D76">
    <cfRule type="expression" priority="524" dxfId="358">
      <formula>($D$14="CANOPY TYPE")</formula>
    </cfRule>
  </conditionalFormatting>
  <conditionalFormatting sqref="D77">
    <cfRule type="expression" priority="531" dxfId="472">
      <formula>(ISNUMBER(SEARCH("CMW",D65)))=TRUE</formula>
    </cfRule>
  </conditionalFormatting>
  <conditionalFormatting sqref="D82">
    <cfRule type="containsText" priority="506" operator="containsText" dxfId="164" text="CANOPY TYPE">
      <formula>NOT(ISERROR(SEARCH("CANOPY TYPE",D82)))</formula>
    </cfRule>
  </conditionalFormatting>
  <conditionalFormatting sqref="D83">
    <cfRule type="expression" priority="421" dxfId="206">
      <formula>(C83="LIGHT SELECTION")</formula>
    </cfRule>
  </conditionalFormatting>
  <conditionalFormatting sqref="D86">
    <cfRule type="expression" priority="498" dxfId="206">
      <formula>($C86="SELECT WORKS")</formula>
    </cfRule>
  </conditionalFormatting>
  <conditionalFormatting sqref="D87">
    <cfRule type="expression" priority="502" dxfId="206">
      <formula>$C87="SELECT CLADDING"</formula>
    </cfRule>
  </conditionalFormatting>
  <conditionalFormatting sqref="D90:D91">
    <cfRule type="expression" priority="342" dxfId="358">
      <formula>($D$14="CANOPY TYPE")</formula>
    </cfRule>
  </conditionalFormatting>
  <conditionalFormatting sqref="D92">
    <cfRule type="expression" priority="518" dxfId="474">
      <formula>ISNUMBER(SEARCH("UV",D82))</formula>
    </cfRule>
  </conditionalFormatting>
  <conditionalFormatting sqref="D93">
    <cfRule type="expression" priority="493" dxfId="358">
      <formula>($D$14="CANOPY TYPE")</formula>
    </cfRule>
  </conditionalFormatting>
  <conditionalFormatting sqref="D94">
    <cfRule type="expression" priority="500" dxfId="472">
      <formula>(ISNUMBER(SEARCH("CMW",D82)))=TRUE</formula>
    </cfRule>
  </conditionalFormatting>
  <conditionalFormatting sqref="D99">
    <cfRule type="containsText" priority="475" operator="containsText" dxfId="164" text="CANOPY TYPE">
      <formula>NOT(ISERROR(SEARCH("CANOPY TYPE",D99)))</formula>
    </cfRule>
  </conditionalFormatting>
  <conditionalFormatting sqref="D100">
    <cfRule type="expression" priority="420" dxfId="206">
      <formula>(C100="LIGHT SELECTION")</formula>
    </cfRule>
  </conditionalFormatting>
  <conditionalFormatting sqref="D103">
    <cfRule type="expression" priority="468" dxfId="206">
      <formula>($C103="SELECT WORKS")</formula>
    </cfRule>
  </conditionalFormatting>
  <conditionalFormatting sqref="D104">
    <cfRule type="expression" priority="410" dxfId="206">
      <formula>$C104="SELECT CLADDING"</formula>
    </cfRule>
  </conditionalFormatting>
  <conditionalFormatting sqref="D107:D108">
    <cfRule type="expression" priority="327" dxfId="358">
      <formula>($D$14="CANOPY TYPE")</formula>
    </cfRule>
  </conditionalFormatting>
  <conditionalFormatting sqref="D109">
    <cfRule type="expression" priority="487" dxfId="474">
      <formula>ISNUMBER(SEARCH("UV",D99))</formula>
    </cfRule>
  </conditionalFormatting>
  <conditionalFormatting sqref="D110">
    <cfRule type="expression" priority="463" dxfId="358">
      <formula>($D$14="CANOPY TYPE")</formula>
    </cfRule>
  </conditionalFormatting>
  <conditionalFormatting sqref="D111">
    <cfRule type="expression" priority="470" dxfId="472">
      <formula>(ISNUMBER(SEARCH("CMW",D99)))=TRUE</formula>
    </cfRule>
  </conditionalFormatting>
  <conditionalFormatting sqref="D116">
    <cfRule type="containsText" priority="307" operator="containsText" dxfId="164" text="CANOPY TYPE">
      <formula>NOT(ISERROR(SEARCH("CANOPY TYPE",D116)))</formula>
    </cfRule>
  </conditionalFormatting>
  <conditionalFormatting sqref="D117">
    <cfRule type="expression" priority="290" dxfId="206">
      <formula>(C117="LIGHT SELECTION")</formula>
    </cfRule>
  </conditionalFormatting>
  <conditionalFormatting sqref="D120">
    <cfRule type="expression" priority="300" dxfId="206">
      <formula>($C120="SELECT WORKS")</formula>
    </cfRule>
  </conditionalFormatting>
  <conditionalFormatting sqref="D121">
    <cfRule type="expression" priority="289" dxfId="206">
      <formula>$C121="SELECT CLADDING"</formula>
    </cfRule>
  </conditionalFormatting>
  <conditionalFormatting sqref="D124:D125">
    <cfRule type="expression" priority="274" dxfId="358">
      <formula>($D$14="CANOPY TYPE")</formula>
    </cfRule>
  </conditionalFormatting>
  <conditionalFormatting sqref="D126">
    <cfRule type="expression" priority="319" dxfId="474">
      <formula>ISNUMBER(SEARCH("UV",D116))</formula>
    </cfRule>
  </conditionalFormatting>
  <conditionalFormatting sqref="D127">
    <cfRule type="expression" priority="297" dxfId="358">
      <formula>($D$14="CANOPY TYPE")</formula>
    </cfRule>
  </conditionalFormatting>
  <conditionalFormatting sqref="D128">
    <cfRule type="expression" priority="302" dxfId="472">
      <formula>(ISNUMBER(SEARCH("CMW",D116)))=TRUE</formula>
    </cfRule>
  </conditionalFormatting>
  <conditionalFormatting sqref="D133">
    <cfRule type="containsText" priority="170" operator="containsText" dxfId="164" text="CANOPY TYPE">
      <formula>NOT(ISERROR(SEARCH("CANOPY TYPE",D133)))</formula>
    </cfRule>
  </conditionalFormatting>
  <conditionalFormatting sqref="D134">
    <cfRule type="expression" priority="115" dxfId="206">
      <formula>(C134="LIGHT SELECTION")</formula>
    </cfRule>
  </conditionalFormatting>
  <conditionalFormatting sqref="D137">
    <cfRule type="expression" priority="162" dxfId="206">
      <formula>($C137="SELECT WORKS")</formula>
    </cfRule>
  </conditionalFormatting>
  <conditionalFormatting sqref="D138">
    <cfRule type="expression" priority="166" dxfId="206">
      <formula>$C138="SELECT CLADDING"</formula>
    </cfRule>
  </conditionalFormatting>
  <conditionalFormatting sqref="D141:D142">
    <cfRule type="expression" priority="98" dxfId="358">
      <formula>($D$14="CANOPY TYPE")</formula>
    </cfRule>
  </conditionalFormatting>
  <conditionalFormatting sqref="D143">
    <cfRule type="expression" priority="182" dxfId="474">
      <formula>ISNUMBER(SEARCH("UV",D133))</formula>
    </cfRule>
  </conditionalFormatting>
  <conditionalFormatting sqref="D144">
    <cfRule type="expression" priority="157" dxfId="358">
      <formula>($D$14="CANOPY TYPE")</formula>
    </cfRule>
  </conditionalFormatting>
  <conditionalFormatting sqref="D145">
    <cfRule type="expression" priority="164" dxfId="472">
      <formula>(ISNUMBER(SEARCH("CMW",D133)))=TRUE</formula>
    </cfRule>
  </conditionalFormatting>
  <conditionalFormatting sqref="D150">
    <cfRule type="containsText" priority="139" operator="containsText" dxfId="164" text="CANOPY TYPE">
      <formula>NOT(ISERROR(SEARCH("CANOPY TYPE",D150)))</formula>
    </cfRule>
  </conditionalFormatting>
  <conditionalFormatting sqref="D151">
    <cfRule type="expression" priority="114" dxfId="206">
      <formula>(C151="LIGHT SELECTION")</formula>
    </cfRule>
  </conditionalFormatting>
  <conditionalFormatting sqref="D154">
    <cfRule type="expression" priority="132" dxfId="206">
      <formula>($C154="SELECT WORKS")</formula>
    </cfRule>
  </conditionalFormatting>
  <conditionalFormatting sqref="D155">
    <cfRule type="expression" priority="113" dxfId="206">
      <formula>$C155="SELECT CLADDING"</formula>
    </cfRule>
  </conditionalFormatting>
  <conditionalFormatting sqref="D158:D159">
    <cfRule type="expression" priority="83" dxfId="358">
      <formula>($D$14="CANOPY TYPE")</formula>
    </cfRule>
  </conditionalFormatting>
  <conditionalFormatting sqref="D160">
    <cfRule type="expression" priority="151" dxfId="474">
      <formula>ISNUMBER(SEARCH("UV",D150))</formula>
    </cfRule>
  </conditionalFormatting>
  <conditionalFormatting sqref="D161">
    <cfRule type="expression" priority="129" dxfId="358">
      <formula>($D$14="CANOPY TYPE")</formula>
    </cfRule>
  </conditionalFormatting>
  <conditionalFormatting sqref="D162">
    <cfRule type="expression" priority="134" dxfId="472">
      <formula>(ISNUMBER(SEARCH("CMW",D150)))=TRUE</formula>
    </cfRule>
  </conditionalFormatting>
  <conditionalFormatting sqref="D167">
    <cfRule type="containsText" priority="63" operator="containsText" dxfId="164" text="CANOPY TYPE">
      <formula>NOT(ISERROR(SEARCH("CANOPY TYPE",D167)))</formula>
    </cfRule>
  </conditionalFormatting>
  <conditionalFormatting sqref="D168">
    <cfRule type="expression" priority="46" dxfId="206">
      <formula>(C168="LIGHT SELECTION")</formula>
    </cfRule>
  </conditionalFormatting>
  <conditionalFormatting sqref="D171">
    <cfRule type="expression" priority="56" dxfId="206">
      <formula>($C171="SELECT WORKS")</formula>
    </cfRule>
  </conditionalFormatting>
  <conditionalFormatting sqref="D172">
    <cfRule type="expression" priority="45" dxfId="206">
      <formula>$C172="SELECT CLADDING"</formula>
    </cfRule>
  </conditionalFormatting>
  <conditionalFormatting sqref="D175:D176">
    <cfRule type="expression" priority="30" dxfId="358">
      <formula>($D$14="CANOPY TYPE")</formula>
    </cfRule>
  </conditionalFormatting>
  <conditionalFormatting sqref="D177">
    <cfRule type="expression" priority="75" dxfId="474">
      <formula>ISNUMBER(SEARCH("UV",D167))</formula>
    </cfRule>
  </conditionalFormatting>
  <conditionalFormatting sqref="D178">
    <cfRule type="expression" priority="53" dxfId="358">
      <formula>($D$14="CANOPY TYPE")</formula>
    </cfRule>
  </conditionalFormatting>
  <conditionalFormatting sqref="D179">
    <cfRule type="expression" priority="58" dxfId="472">
      <formula>(ISNUMBER(SEARCH("CMW",D167)))=TRUE</formula>
    </cfRule>
  </conditionalFormatting>
  <conditionalFormatting sqref="E12">
    <cfRule type="expression" priority="685" dxfId="386">
      <formula>AND((ISNUMBER(SEARCH("I-MUAP",$D$14))),E12&lt;2500)</formula>
    </cfRule>
    <cfRule type="expression" priority="686" dxfId="387">
      <formula>ISNUMBER(SEARCH("I-MUAP",$D$14))</formula>
    </cfRule>
    <cfRule type="cellIs" priority="687" operator="greaterThan" dxfId="204">
      <formula>2000</formula>
    </cfRule>
  </conditionalFormatting>
  <conditionalFormatting sqref="E15">
    <cfRule type="expression" priority="417" dxfId="315">
      <formula>(C15="LIGHT SELECTION")</formula>
    </cfRule>
  </conditionalFormatting>
  <conditionalFormatting sqref="E17:E18">
    <cfRule type="expression" priority="628" dxfId="381">
      <formula>$C17="SELECT WORKS"</formula>
    </cfRule>
  </conditionalFormatting>
  <conditionalFormatting sqref="E22:E23">
    <cfRule type="expression" priority="667" dxfId="384">
      <formula>D22="WW PODS"</formula>
    </cfRule>
    <cfRule type="expression" priority="668" dxfId="383">
      <formula>D22="FILTER TYPE"</formula>
    </cfRule>
    <cfRule type="expression" priority="669" dxfId="382">
      <formula>D22="KSA"</formula>
    </cfRule>
    <cfRule type="expression" priority="690" dxfId="381">
      <formula>(D14="CANOPY TYPE")</formula>
    </cfRule>
  </conditionalFormatting>
  <conditionalFormatting sqref="E24">
    <cfRule type="containsText" priority="677" operator="containsText" dxfId="380" text="LONG ">
      <formula>NOT(ISERROR(SEARCH("LONG ",E24)))</formula>
    </cfRule>
  </conditionalFormatting>
  <conditionalFormatting sqref="E29">
    <cfRule type="expression" priority="605" dxfId="386">
      <formula>AND((ISNUMBER(SEARCH("I-MUAP",$D$14))),E29&lt;2500)</formula>
    </cfRule>
    <cfRule type="expression" priority="606" dxfId="387">
      <formula>ISNUMBER(SEARCH("I-MUAP",$D$14))</formula>
    </cfRule>
    <cfRule type="cellIs" priority="607" operator="greaterThan" dxfId="204">
      <formula>2000</formula>
    </cfRule>
  </conditionalFormatting>
  <conditionalFormatting sqref="E34">
    <cfRule type="expression" priority="264" dxfId="381">
      <formula>$C34="SELECT WORKS"</formula>
    </cfRule>
  </conditionalFormatting>
  <conditionalFormatting sqref="E39:E40">
    <cfRule type="expression" priority="389" dxfId="384">
      <formula>D39="WW PODS"</formula>
    </cfRule>
    <cfRule type="expression" priority="390" dxfId="383">
      <formula>D39="FILTER TYPE"</formula>
    </cfRule>
    <cfRule type="expression" priority="391" dxfId="382">
      <formula>D39="KSA"</formula>
    </cfRule>
    <cfRule type="expression" priority="392" dxfId="381">
      <formula>(D31="CANOPY TYPE")</formula>
    </cfRule>
  </conditionalFormatting>
  <conditionalFormatting sqref="E41">
    <cfRule type="containsText" priority="598" operator="containsText" dxfId="380" text="LONG ">
      <formula>NOT(ISERROR(SEARCH("LONG ",E41)))</formula>
    </cfRule>
  </conditionalFormatting>
  <conditionalFormatting sqref="E46">
    <cfRule type="expression" priority="574" dxfId="386">
      <formula>AND((ISNUMBER(SEARCH("I-MUAP",$D$14))),E46&lt;2500)</formula>
    </cfRule>
    <cfRule type="expression" priority="575" dxfId="387">
      <formula>ISNUMBER(SEARCH("I-MUAP",$D$14))</formula>
    </cfRule>
    <cfRule type="cellIs" priority="576" operator="greaterThan" dxfId="204">
      <formula>2000</formula>
    </cfRule>
  </conditionalFormatting>
  <conditionalFormatting sqref="E49">
    <cfRule type="expression" priority="431" dxfId="315">
      <formula>(C49="LIGHT SELECTION")</formula>
    </cfRule>
  </conditionalFormatting>
  <conditionalFormatting sqref="E51:E52">
    <cfRule type="expression" priority="253" dxfId="381">
      <formula>$C51="SELECT WORKS"</formula>
    </cfRule>
  </conditionalFormatting>
  <conditionalFormatting sqref="E56:E57">
    <cfRule type="expression" priority="374" dxfId="384">
      <formula>D56="WW PODS"</formula>
    </cfRule>
    <cfRule type="expression" priority="375" dxfId="383">
      <formula>D56="FILTER TYPE"</formula>
    </cfRule>
    <cfRule type="expression" priority="376" dxfId="382">
      <formula>D56="KSA"</formula>
    </cfRule>
    <cfRule type="expression" priority="377" dxfId="381">
      <formula>(D48="CANOPY TYPE")</formula>
    </cfRule>
  </conditionalFormatting>
  <conditionalFormatting sqref="E58">
    <cfRule type="containsText" priority="567" operator="containsText" dxfId="380" text="LONG ">
      <formula>NOT(ISERROR(SEARCH("LONG ",E58)))</formula>
    </cfRule>
  </conditionalFormatting>
  <conditionalFormatting sqref="E63">
    <cfRule type="expression" priority="545" dxfId="386">
      <formula>AND((ISNUMBER(SEARCH("I-MUAP",$D$14))),E63&lt;2500)</formula>
    </cfRule>
    <cfRule type="expression" priority="546" dxfId="387">
      <formula>ISNUMBER(SEARCH("I-MUAP",$D$14))</formula>
    </cfRule>
    <cfRule type="cellIs" priority="547" operator="greaterThan" dxfId="204">
      <formula>2000</formula>
    </cfRule>
  </conditionalFormatting>
  <conditionalFormatting sqref="E68:E69">
    <cfRule type="expression" priority="242" dxfId="381">
      <formula>$C68="SELECT WORKS"</formula>
    </cfRule>
  </conditionalFormatting>
  <conditionalFormatting sqref="E73:E74">
    <cfRule type="expression" priority="359" dxfId="384">
      <formula>D73="WW PODS"</formula>
    </cfRule>
    <cfRule type="expression" priority="360" dxfId="383">
      <formula>D73="FILTER TYPE"</formula>
    </cfRule>
    <cfRule type="expression" priority="361" dxfId="382">
      <formula>D73="KSA"</formula>
    </cfRule>
    <cfRule type="expression" priority="362" dxfId="381">
      <formula>(D65="CANOPY TYPE")</formula>
    </cfRule>
  </conditionalFormatting>
  <conditionalFormatting sqref="E75">
    <cfRule type="containsText" priority="538" operator="containsText" dxfId="380" text="LONG ">
      <formula>NOT(ISERROR(SEARCH("LONG ",E75)))</formula>
    </cfRule>
  </conditionalFormatting>
  <conditionalFormatting sqref="E80">
    <cfRule type="expression" priority="515" dxfId="386">
      <formula>AND((ISNUMBER(SEARCH("I-MUAP",$D$14))),E80&lt;2500)</formula>
    </cfRule>
    <cfRule type="expression" priority="516" dxfId="387">
      <formula>ISNUMBER(SEARCH("I-MUAP",$D$14))</formula>
    </cfRule>
    <cfRule type="cellIs" priority="517" operator="greaterThan" dxfId="204">
      <formula>2000</formula>
    </cfRule>
  </conditionalFormatting>
  <conditionalFormatting sqref="E85:E86">
    <cfRule type="expression" priority="231" dxfId="381">
      <formula>$C85="SELECT WORKS"</formula>
    </cfRule>
  </conditionalFormatting>
  <conditionalFormatting sqref="E90:E91">
    <cfRule type="expression" priority="344" dxfId="384">
      <formula>D90="WW PODS"</formula>
    </cfRule>
    <cfRule type="expression" priority="345" dxfId="383">
      <formula>D90="FILTER TYPE"</formula>
    </cfRule>
    <cfRule type="expression" priority="346" dxfId="382">
      <formula>D90="KSA"</formula>
    </cfRule>
    <cfRule type="expression" priority="347" dxfId="381">
      <formula>(D82="CANOPY TYPE")</formula>
    </cfRule>
  </conditionalFormatting>
  <conditionalFormatting sqref="E92">
    <cfRule type="containsText" priority="508" operator="containsText" dxfId="380" text="LONG ">
      <formula>NOT(ISERROR(SEARCH("LONG ",E92)))</formula>
    </cfRule>
  </conditionalFormatting>
  <conditionalFormatting sqref="E97">
    <cfRule type="expression" priority="484" dxfId="386">
      <formula>AND((ISNUMBER(SEARCH("I-MUAP",$D$14))),E97&lt;2500)</formula>
    </cfRule>
    <cfRule type="expression" priority="485" dxfId="387">
      <formula>ISNUMBER(SEARCH("I-MUAP",$D$14))</formula>
    </cfRule>
    <cfRule type="cellIs" priority="486" operator="greaterThan" dxfId="204">
      <formula>2000</formula>
    </cfRule>
  </conditionalFormatting>
  <conditionalFormatting sqref="E102:E103">
    <cfRule type="expression" priority="220" dxfId="381">
      <formula>$C102="SELECT WORKS"</formula>
    </cfRule>
  </conditionalFormatting>
  <conditionalFormatting sqref="E107:E108">
    <cfRule type="expression" priority="329" dxfId="384">
      <formula>D107="WW PODS"</formula>
    </cfRule>
    <cfRule type="expression" priority="330" dxfId="383">
      <formula>D107="FILTER TYPE"</formula>
    </cfRule>
    <cfRule type="expression" priority="331" dxfId="382">
      <formula>D107="KSA"</formula>
    </cfRule>
    <cfRule type="expression" priority="332" dxfId="381">
      <formula>(D99="CANOPY TYPE")</formula>
    </cfRule>
  </conditionalFormatting>
  <conditionalFormatting sqref="E109">
    <cfRule type="containsText" priority="477" operator="containsText" dxfId="380" text="LONG ">
      <formula>NOT(ISERROR(SEARCH("LONG ",E109)))</formula>
    </cfRule>
  </conditionalFormatting>
  <conditionalFormatting sqref="E114">
    <cfRule type="expression" priority="316" dxfId="386">
      <formula>AND((ISNUMBER(SEARCH("I-MUAP",$D$14))),E114&lt;2500)</formula>
    </cfRule>
    <cfRule type="expression" priority="317" dxfId="387">
      <formula>ISNUMBER(SEARCH("I-MUAP",$D$14))</formula>
    </cfRule>
    <cfRule type="cellIs" priority="318" operator="greaterThan" dxfId="204">
      <formula>2000</formula>
    </cfRule>
  </conditionalFormatting>
  <conditionalFormatting sqref="E119:E120">
    <cfRule type="expression" priority="209" dxfId="381">
      <formula>$C119="SELECT WORKS"</formula>
    </cfRule>
  </conditionalFormatting>
  <conditionalFormatting sqref="E124:E125">
    <cfRule type="expression" priority="276" dxfId="384">
      <formula>D124="WW PODS"</formula>
    </cfRule>
    <cfRule type="expression" priority="277" dxfId="383">
      <formula>D124="FILTER TYPE"</formula>
    </cfRule>
    <cfRule type="expression" priority="278" dxfId="382">
      <formula>D124="KSA"</formula>
    </cfRule>
    <cfRule type="expression" priority="279" dxfId="381">
      <formula>(D116="CANOPY TYPE")</formula>
    </cfRule>
  </conditionalFormatting>
  <conditionalFormatting sqref="E126">
    <cfRule type="containsText" priority="309" operator="containsText" dxfId="380" text="LONG ">
      <formula>NOT(ISERROR(SEARCH("LONG ",E126)))</formula>
    </cfRule>
  </conditionalFormatting>
  <conditionalFormatting sqref="E131">
    <cfRule type="expression" priority="179" dxfId="386">
      <formula>AND((ISNUMBER(SEARCH("I-MUAP",$D$14))),E131&lt;2500)</formula>
    </cfRule>
    <cfRule type="expression" priority="180" dxfId="387">
      <formula>ISNUMBER(SEARCH("I-MUAP",$D$14))</formula>
    </cfRule>
    <cfRule type="cellIs" priority="181" operator="greaterThan" dxfId="204">
      <formula>2000</formula>
    </cfRule>
  </conditionalFormatting>
  <conditionalFormatting sqref="E136:E137">
    <cfRule type="expression" priority="22" dxfId="381">
      <formula>$C136="SELECT WORKS"</formula>
    </cfRule>
  </conditionalFormatting>
  <conditionalFormatting sqref="E141:E142">
    <cfRule type="expression" priority="100" dxfId="384">
      <formula>D141="WW PODS"</formula>
    </cfRule>
    <cfRule type="expression" priority="101" dxfId="383">
      <formula>D141="FILTER TYPE"</formula>
    </cfRule>
    <cfRule type="expression" priority="102" dxfId="382">
      <formula>D141="KSA"</formula>
    </cfRule>
    <cfRule type="expression" priority="103" dxfId="381">
      <formula>(D133="CANOPY TYPE")</formula>
    </cfRule>
  </conditionalFormatting>
  <conditionalFormatting sqref="E143">
    <cfRule type="containsText" priority="172" operator="containsText" dxfId="380" text="LONG ">
      <formula>NOT(ISERROR(SEARCH("LONG ",E143)))</formula>
    </cfRule>
  </conditionalFormatting>
  <conditionalFormatting sqref="E148">
    <cfRule type="expression" priority="148" dxfId="386">
      <formula>AND((ISNUMBER(SEARCH("I-MUAP",$D$14))),E148&lt;2500)</formula>
    </cfRule>
    <cfRule type="expression" priority="149" dxfId="387">
      <formula>ISNUMBER(SEARCH("I-MUAP",$D$14))</formula>
    </cfRule>
    <cfRule type="cellIs" priority="150" operator="greaterThan" dxfId="204">
      <formula>2000</formula>
    </cfRule>
  </conditionalFormatting>
  <conditionalFormatting sqref="E153:E154">
    <cfRule type="expression" priority="11" dxfId="381">
      <formula>$C153="SELECT WORKS"</formula>
    </cfRule>
  </conditionalFormatting>
  <conditionalFormatting sqref="E158:E159">
    <cfRule type="expression" priority="85" dxfId="384">
      <formula>D158="WW PODS"</formula>
    </cfRule>
    <cfRule type="expression" priority="86" dxfId="383">
      <formula>D158="FILTER TYPE"</formula>
    </cfRule>
    <cfRule type="expression" priority="87" dxfId="382">
      <formula>D158="KSA"</formula>
    </cfRule>
    <cfRule type="expression" priority="88" dxfId="381">
      <formula>(D150="CANOPY TYPE")</formula>
    </cfRule>
  </conditionalFormatting>
  <conditionalFormatting sqref="E160">
    <cfRule type="containsText" priority="141" operator="containsText" dxfId="380" text="LONG ">
      <formula>NOT(ISERROR(SEARCH("LONG ",E160)))</formula>
    </cfRule>
  </conditionalFormatting>
  <conditionalFormatting sqref="E165">
    <cfRule type="expression" priority="72" dxfId="386">
      <formula>AND((ISNUMBER(SEARCH("I-MUAP",$D$14))),E165&lt;2500)</formula>
    </cfRule>
    <cfRule type="expression" priority="73" dxfId="387">
      <formula>ISNUMBER(SEARCH("I-MUAP",$D$14))</formula>
    </cfRule>
    <cfRule type="cellIs" priority="74" operator="greaterThan" dxfId="204">
      <formula>2000</formula>
    </cfRule>
  </conditionalFormatting>
  <conditionalFormatting sqref="E170:E171">
    <cfRule type="expression" priority="6" dxfId="381">
      <formula>$C170="SELECT WORKS"</formula>
    </cfRule>
  </conditionalFormatting>
  <conditionalFormatting sqref="E175:E176">
    <cfRule type="expression" priority="32" dxfId="384">
      <formula>D175="WW PODS"</formula>
    </cfRule>
    <cfRule type="expression" priority="33" dxfId="383">
      <formula>D175="FILTER TYPE"</formula>
    </cfRule>
    <cfRule type="expression" priority="34" dxfId="382">
      <formula>D175="KSA"</formula>
    </cfRule>
    <cfRule type="expression" priority="35" dxfId="381">
      <formula>(D167="CANOPY TYPE")</formula>
    </cfRule>
  </conditionalFormatting>
  <conditionalFormatting sqref="E177">
    <cfRule type="containsText" priority="65" operator="containsText" dxfId="380" text="LONG ">
      <formula>NOT(ISERROR(SEARCH("LONG ",E177)))</formula>
    </cfRule>
  </conditionalFormatting>
  <conditionalFormatting sqref="E12:F12">
    <cfRule type="cellIs" priority="681" operator="lessThan" dxfId="204">
      <formula>1000</formula>
    </cfRule>
  </conditionalFormatting>
  <conditionalFormatting sqref="E14:F14">
    <cfRule type="cellIs" priority="678" operator="lessThan" dxfId="164">
      <formula>1000</formula>
    </cfRule>
  </conditionalFormatting>
  <conditionalFormatting sqref="E25:F27">
    <cfRule type="expression" priority="615" dxfId="358">
      <formula>($D$14="CANOPY TYPE")</formula>
    </cfRule>
  </conditionalFormatting>
  <conditionalFormatting sqref="E29:F29">
    <cfRule type="cellIs" priority="602" operator="lessThan" dxfId="204">
      <formula>1000</formula>
    </cfRule>
  </conditionalFormatting>
  <conditionalFormatting sqref="E31:F31">
    <cfRule type="cellIs" priority="599" operator="lessThan" dxfId="164">
      <formula>1000</formula>
    </cfRule>
  </conditionalFormatting>
  <conditionalFormatting sqref="E32:F32">
    <cfRule type="expression" priority="455" dxfId="315">
      <formula>(C32="LIGHT SELECTION")</formula>
    </cfRule>
  </conditionalFormatting>
  <conditionalFormatting sqref="E42:F44">
    <cfRule type="expression" priority="584" dxfId="358">
      <formula>($D$14="CANOPY TYPE")</formula>
    </cfRule>
  </conditionalFormatting>
  <conditionalFormatting sqref="E46:F46">
    <cfRule type="cellIs" priority="571" operator="lessThan" dxfId="204">
      <formula>1000</formula>
    </cfRule>
  </conditionalFormatting>
  <conditionalFormatting sqref="E48:F48">
    <cfRule type="cellIs" priority="568" operator="lessThan" dxfId="164">
      <formula>1000</formula>
    </cfRule>
  </conditionalFormatting>
  <conditionalFormatting sqref="E59:F61">
    <cfRule type="expression" priority="555" dxfId="358">
      <formula>($D$14="CANOPY TYPE")</formula>
    </cfRule>
  </conditionalFormatting>
  <conditionalFormatting sqref="E63:F63">
    <cfRule type="cellIs" priority="542" operator="lessThan" dxfId="204">
      <formula>1000</formula>
    </cfRule>
  </conditionalFormatting>
  <conditionalFormatting sqref="E65:F65">
    <cfRule type="cellIs" priority="539" operator="lessThan" dxfId="164">
      <formula>1000</formula>
    </cfRule>
  </conditionalFormatting>
  <conditionalFormatting sqref="E66:F66">
    <cfRule type="expression" priority="448" dxfId="315">
      <formula>(C66="LIGHT SELECTION")</formula>
    </cfRule>
  </conditionalFormatting>
  <conditionalFormatting sqref="E76:F78">
    <cfRule type="expression" priority="525" dxfId="358">
      <formula>($D$14="CANOPY TYPE")</formula>
    </cfRule>
  </conditionalFormatting>
  <conditionalFormatting sqref="E80:F80">
    <cfRule type="cellIs" priority="512" operator="lessThan" dxfId="204">
      <formula>1000</formula>
    </cfRule>
  </conditionalFormatting>
  <conditionalFormatting sqref="E82:F82">
    <cfRule type="cellIs" priority="509" operator="lessThan" dxfId="164">
      <formula>1000</formula>
    </cfRule>
  </conditionalFormatting>
  <conditionalFormatting sqref="E83:F83">
    <cfRule type="expression" priority="444" dxfId="315">
      <formula>(C83="LIGHT SELECTION")</formula>
    </cfRule>
  </conditionalFormatting>
  <conditionalFormatting sqref="E93:F95">
    <cfRule type="expression" priority="494" dxfId="358">
      <formula>($D$14="CANOPY TYPE")</formula>
    </cfRule>
  </conditionalFormatting>
  <conditionalFormatting sqref="E97:F97">
    <cfRule type="cellIs" priority="481" operator="lessThan" dxfId="204">
      <formula>1000</formula>
    </cfRule>
  </conditionalFormatting>
  <conditionalFormatting sqref="E99:F99">
    <cfRule type="cellIs" priority="478" operator="lessThan" dxfId="164">
      <formula>1000</formula>
    </cfRule>
  </conditionalFormatting>
  <conditionalFormatting sqref="E100:F100">
    <cfRule type="expression" priority="440" dxfId="315">
      <formula>(C100="LIGHT SELECTION")</formula>
    </cfRule>
  </conditionalFormatting>
  <conditionalFormatting sqref="E110:F112 E127:F129 E161:F163 E178:F180">
    <cfRule type="expression" priority="464" dxfId="358">
      <formula>($D$14="CANOPY TYPE")</formula>
    </cfRule>
  </conditionalFormatting>
  <conditionalFormatting sqref="E114:F114">
    <cfRule type="cellIs" priority="313" operator="lessThan" dxfId="204">
      <formula>1000</formula>
    </cfRule>
  </conditionalFormatting>
  <conditionalFormatting sqref="E116:F116">
    <cfRule type="cellIs" priority="310" operator="lessThan" dxfId="164">
      <formula>1000</formula>
    </cfRule>
  </conditionalFormatting>
  <conditionalFormatting sqref="E117:F117">
    <cfRule type="expression" priority="294" dxfId="315">
      <formula>(C117="LIGHT SELECTION")</formula>
    </cfRule>
  </conditionalFormatting>
  <conditionalFormatting sqref="E131:F131">
    <cfRule type="cellIs" priority="176" operator="lessThan" dxfId="204">
      <formula>1000</formula>
    </cfRule>
  </conditionalFormatting>
  <conditionalFormatting sqref="E133:F133">
    <cfRule type="cellIs" priority="173" operator="lessThan" dxfId="164">
      <formula>1000</formula>
    </cfRule>
  </conditionalFormatting>
  <conditionalFormatting sqref="E134:F134">
    <cfRule type="expression" priority="125" dxfId="315">
      <formula>(C134="LIGHT SELECTION")</formula>
    </cfRule>
  </conditionalFormatting>
  <conditionalFormatting sqref="E144:F146">
    <cfRule type="expression" priority="158" dxfId="358">
      <formula>($D$14="CANOPY TYPE")</formula>
    </cfRule>
  </conditionalFormatting>
  <conditionalFormatting sqref="E148:F148">
    <cfRule type="cellIs" priority="145" operator="lessThan" dxfId="204">
      <formula>1000</formula>
    </cfRule>
  </conditionalFormatting>
  <conditionalFormatting sqref="E150:F150">
    <cfRule type="cellIs" priority="142" operator="lessThan" dxfId="164">
      <formula>1000</formula>
    </cfRule>
  </conditionalFormatting>
  <conditionalFormatting sqref="E151:F151">
    <cfRule type="expression" priority="121" dxfId="315">
      <formula>(C151="LIGHT SELECTION")</formula>
    </cfRule>
  </conditionalFormatting>
  <conditionalFormatting sqref="E165:F165">
    <cfRule type="cellIs" priority="69" operator="lessThan" dxfId="204">
      <formula>1000</formula>
    </cfRule>
  </conditionalFormatting>
  <conditionalFormatting sqref="E167:F167">
    <cfRule type="cellIs" priority="66" operator="lessThan" dxfId="164">
      <formula>1000</formula>
    </cfRule>
  </conditionalFormatting>
  <conditionalFormatting sqref="E168:F168">
    <cfRule type="expression" priority="50" dxfId="315">
      <formula>(C168="LIGHT SELECTION")</formula>
    </cfRule>
  </conditionalFormatting>
  <conditionalFormatting sqref="F12">
    <cfRule type="cellIs" priority="682" operator="greaterThan" dxfId="204">
      <formula>3001</formula>
    </cfRule>
  </conditionalFormatting>
  <conditionalFormatting sqref="F15">
    <cfRule type="expression" priority="457" dxfId="214">
      <formula>(C15="LED STRIP")</formula>
    </cfRule>
    <cfRule type="expression" priority="670" dxfId="215">
      <formula>(C15="LIGHT SELECTION")</formula>
    </cfRule>
    <cfRule type="expression" priority="672" dxfId="216">
      <formula>(C15="FLO")</formula>
    </cfRule>
    <cfRule type="expression" priority="704" dxfId="315">
      <formula>(D49="LIGHT SELECTION")</formula>
    </cfRule>
  </conditionalFormatting>
  <conditionalFormatting sqref="F22:F23">
    <cfRule type="expression" priority="695" dxfId="206">
      <formula>D22="NF"</formula>
    </cfRule>
    <cfRule type="expression" priority="696" dxfId="208">
      <formula>D22="WW PODS"</formula>
    </cfRule>
    <cfRule type="expression" priority="697" dxfId="206">
      <formula>D22="GRILLE"</formula>
    </cfRule>
    <cfRule type="expression" priority="698" dxfId="206">
      <formula>D22="CENTREX"</formula>
    </cfRule>
    <cfRule type="expression" priority="699" dxfId="206" stopIfTrue="1">
      <formula>D14="canopy type"</formula>
    </cfRule>
    <cfRule type="expression" priority="700" dxfId="207">
      <formula>(((I14*3600)/(C22*I11))^2+20)&gt;300</formula>
    </cfRule>
    <cfRule type="expression" priority="701" dxfId="205" stopIfTrue="1">
      <formula>(ISNUMBER(SEARCH("UV",D14)))</formula>
    </cfRule>
    <cfRule type="expression" priority="702" dxfId="207">
      <formula>(((I14*3600)/(C22*I11))^2+20)&gt;180</formula>
    </cfRule>
    <cfRule type="expression" priority="703" dxfId="205">
      <formula>D22="KSA"</formula>
    </cfRule>
  </conditionalFormatting>
  <conditionalFormatting sqref="F24">
    <cfRule type="cellIs" priority="676" operator="lessThan" dxfId="204">
      <formula>2100</formula>
    </cfRule>
  </conditionalFormatting>
  <conditionalFormatting sqref="F29">
    <cfRule type="cellIs" priority="603" operator="greaterThan" dxfId="204">
      <formula>3001</formula>
    </cfRule>
  </conditionalFormatting>
  <conditionalFormatting sqref="F32">
    <cfRule type="expression" priority="453" dxfId="214">
      <formula>(C32="LED STRIP")</formula>
    </cfRule>
    <cfRule type="expression" priority="454" dxfId="215">
      <formula>(C32="LIGHT SELECTION")</formula>
    </cfRule>
    <cfRule type="expression" priority="456" dxfId="216">
      <formula>(C32="FLO")</formula>
    </cfRule>
  </conditionalFormatting>
  <conditionalFormatting sqref="F39:F40">
    <cfRule type="expression" priority="393" dxfId="206">
      <formula>D39="NF"</formula>
    </cfRule>
    <cfRule type="expression" priority="394" dxfId="208">
      <formula>D39="WW PODS"</formula>
    </cfRule>
    <cfRule type="expression" priority="395" dxfId="206">
      <formula>D39="GRILLE"</formula>
    </cfRule>
    <cfRule type="expression" priority="396" dxfId="206">
      <formula>D39="CENTREX"</formula>
    </cfRule>
    <cfRule type="expression" priority="397" dxfId="206" stopIfTrue="1">
      <formula>D31="canopy type"</formula>
    </cfRule>
    <cfRule type="expression" priority="398" dxfId="207">
      <formula>(((I31*3600)/(C39*I28))^2+20)&gt;300</formula>
    </cfRule>
    <cfRule type="expression" priority="399" dxfId="205" stopIfTrue="1">
      <formula>(ISNUMBER(SEARCH("UV",D31)))</formula>
    </cfRule>
    <cfRule type="expression" priority="400" dxfId="207">
      <formula>(((I31*3600)/(C39*I28))^2+20)&gt;180</formula>
    </cfRule>
    <cfRule type="expression" priority="401" dxfId="205">
      <formula>D39="KSA"</formula>
    </cfRule>
  </conditionalFormatting>
  <conditionalFormatting sqref="F41">
    <cfRule type="cellIs" priority="597" operator="lessThan" dxfId="204">
      <formula>2100</formula>
    </cfRule>
  </conditionalFormatting>
  <conditionalFormatting sqref="F46">
    <cfRule type="cellIs" priority="572" operator="greaterThan" dxfId="204">
      <formula>3001</formula>
    </cfRule>
  </conditionalFormatting>
  <conditionalFormatting sqref="F49">
    <cfRule type="expression" priority="450" dxfId="214">
      <formula>(C49="LED STRIP")</formula>
    </cfRule>
    <cfRule type="expression" priority="451" dxfId="215">
      <formula>(C49="LIGHT SELECTION")</formula>
    </cfRule>
    <cfRule type="expression" priority="452" dxfId="216">
      <formula>(C49="FLO")</formula>
    </cfRule>
    <cfRule type="expression" priority="705" dxfId="315">
      <formula>(#REF!="LIGHT SELECTION")</formula>
    </cfRule>
  </conditionalFormatting>
  <conditionalFormatting sqref="F56:F57">
    <cfRule type="expression" priority="378" dxfId="206">
      <formula>D56="NF"</formula>
    </cfRule>
    <cfRule type="expression" priority="379" dxfId="208">
      <formula>D56="WW PODS"</formula>
    </cfRule>
    <cfRule type="expression" priority="380" dxfId="206">
      <formula>D56="GRILLE"</formula>
    </cfRule>
    <cfRule type="expression" priority="381" dxfId="206">
      <formula>D56="CENTREX"</formula>
    </cfRule>
    <cfRule type="expression" priority="382" dxfId="206" stopIfTrue="1">
      <formula>D48="canopy type"</formula>
    </cfRule>
    <cfRule type="expression" priority="383" dxfId="207">
      <formula>(((I48*3600)/(C56*I45))^2+20)&gt;300</formula>
    </cfRule>
    <cfRule type="expression" priority="384" dxfId="205" stopIfTrue="1">
      <formula>(ISNUMBER(SEARCH("UV",D48)))</formula>
    </cfRule>
    <cfRule type="expression" priority="385" dxfId="207">
      <formula>(((I48*3600)/(C56*I45))^2+20)&gt;180</formula>
    </cfRule>
    <cfRule type="expression" priority="386" dxfId="205">
      <formula>D56="KSA"</formula>
    </cfRule>
  </conditionalFormatting>
  <conditionalFormatting sqref="F58">
    <cfRule type="cellIs" priority="566" operator="lessThan" dxfId="204">
      <formula>2100</formula>
    </cfRule>
  </conditionalFormatting>
  <conditionalFormatting sqref="F63">
    <cfRule type="cellIs" priority="543" operator="greaterThan" dxfId="204">
      <formula>3001</formula>
    </cfRule>
  </conditionalFormatting>
  <conditionalFormatting sqref="F66">
    <cfRule type="expression" priority="446" dxfId="214">
      <formula>(C66="LED STRIP")</formula>
    </cfRule>
    <cfRule type="expression" priority="447" dxfId="215">
      <formula>(C66="LIGHT SELECTION")</formula>
    </cfRule>
    <cfRule type="expression" priority="449" dxfId="216">
      <formula>(C66="FLO")</formula>
    </cfRule>
  </conditionalFormatting>
  <conditionalFormatting sqref="F73:F74">
    <cfRule type="expression" priority="363" dxfId="206">
      <formula>D73="NF"</formula>
    </cfRule>
    <cfRule type="expression" priority="364" dxfId="208">
      <formula>D73="WW PODS"</formula>
    </cfRule>
    <cfRule type="expression" priority="365" dxfId="206">
      <formula>D73="GRILLE"</formula>
    </cfRule>
    <cfRule type="expression" priority="366" dxfId="206">
      <formula>D73="CENTREX"</formula>
    </cfRule>
    <cfRule type="expression" priority="367" dxfId="206" stopIfTrue="1">
      <formula>D65="canopy type"</formula>
    </cfRule>
    <cfRule type="expression" priority="368" dxfId="207">
      <formula>(((I65*3600)/(C73*I62))^2+20)&gt;300</formula>
    </cfRule>
    <cfRule type="expression" priority="369" dxfId="205" stopIfTrue="1">
      <formula>(ISNUMBER(SEARCH("UV",D65)))</formula>
    </cfRule>
    <cfRule type="expression" priority="370" dxfId="207">
      <formula>(((I65*3600)/(C73*I62))^2+20)&gt;180</formula>
    </cfRule>
    <cfRule type="expression" priority="371" dxfId="205">
      <formula>D73="KSA"</formula>
    </cfRule>
  </conditionalFormatting>
  <conditionalFormatting sqref="F75">
    <cfRule type="cellIs" priority="537" operator="lessThan" dxfId="204">
      <formula>2100</formula>
    </cfRule>
  </conditionalFormatting>
  <conditionalFormatting sqref="F80">
    <cfRule type="cellIs" priority="513" operator="greaterThan" dxfId="204">
      <formula>3001</formula>
    </cfRule>
  </conditionalFormatting>
  <conditionalFormatting sqref="F83">
    <cfRule type="expression" priority="442" dxfId="214">
      <formula>(C83="LED STRIP")</formula>
    </cfRule>
    <cfRule type="expression" priority="443" dxfId="215">
      <formula>(C83="LIGHT SELECTION")</formula>
    </cfRule>
    <cfRule type="expression" priority="445" dxfId="216">
      <formula>(C83="FLO")</formula>
    </cfRule>
  </conditionalFormatting>
  <conditionalFormatting sqref="F90:F91">
    <cfRule type="expression" priority="348" dxfId="206">
      <formula>D90="NF"</formula>
    </cfRule>
    <cfRule type="expression" priority="349" dxfId="208">
      <formula>D90="WW PODS"</formula>
    </cfRule>
    <cfRule type="expression" priority="350" dxfId="206">
      <formula>D90="GRILLE"</formula>
    </cfRule>
    <cfRule type="expression" priority="351" dxfId="206">
      <formula>D90="CENTREX"</formula>
    </cfRule>
    <cfRule type="expression" priority="352" dxfId="206" stopIfTrue="1">
      <formula>D82="canopy type"</formula>
    </cfRule>
    <cfRule type="expression" priority="353" dxfId="207">
      <formula>(((I82*3600)/(C90*I79))^2+20)&gt;300</formula>
    </cfRule>
    <cfRule type="expression" priority="354" dxfId="205" stopIfTrue="1">
      <formula>(ISNUMBER(SEARCH("UV",D82)))</formula>
    </cfRule>
    <cfRule type="expression" priority="355" dxfId="207">
      <formula>(((I82*3600)/(C90*I79))^2+20)&gt;180</formula>
    </cfRule>
    <cfRule type="expression" priority="356" dxfId="205">
      <formula>D90="KSA"</formula>
    </cfRule>
  </conditionalFormatting>
  <conditionalFormatting sqref="F92">
    <cfRule type="cellIs" priority="507" operator="lessThan" dxfId="204">
      <formula>2100</formula>
    </cfRule>
  </conditionalFormatting>
  <conditionalFormatting sqref="F97">
    <cfRule type="cellIs" priority="482" operator="greaterThan" dxfId="204">
      <formula>3001</formula>
    </cfRule>
  </conditionalFormatting>
  <conditionalFormatting sqref="F100">
    <cfRule type="expression" priority="438" dxfId="214">
      <formula>(C100="LED STRIP")</formula>
    </cfRule>
    <cfRule type="expression" priority="439" dxfId="215">
      <formula>(C100="LIGHT SELECTION")</formula>
    </cfRule>
    <cfRule type="expression" priority="441" dxfId="216">
      <formula>(C100="FLO")</formula>
    </cfRule>
  </conditionalFormatting>
  <conditionalFormatting sqref="F107:F108">
    <cfRule type="expression" priority="333" dxfId="206">
      <formula>D107="NF"</formula>
    </cfRule>
    <cfRule type="expression" priority="334" dxfId="208">
      <formula>D107="WW PODS"</formula>
    </cfRule>
    <cfRule type="expression" priority="335" dxfId="206">
      <formula>D107="GRILLE"</formula>
    </cfRule>
    <cfRule type="expression" priority="336" dxfId="206">
      <formula>D107="CENTREX"</formula>
    </cfRule>
    <cfRule type="expression" priority="337" dxfId="206" stopIfTrue="1">
      <formula>D99="canopy type"</formula>
    </cfRule>
    <cfRule type="expression" priority="338" dxfId="207">
      <formula>(((I99*3600)/(C107*I96))^2+20)&gt;300</formula>
    </cfRule>
    <cfRule type="expression" priority="339" dxfId="205" stopIfTrue="1">
      <formula>(ISNUMBER(SEARCH("UV",D99)))</formula>
    </cfRule>
    <cfRule type="expression" priority="340" dxfId="207">
      <formula>(((I99*3600)/(C107*I96))^2+20)&gt;180</formula>
    </cfRule>
    <cfRule type="expression" priority="341" dxfId="205">
      <formula>D107="KSA"</formula>
    </cfRule>
  </conditionalFormatting>
  <conditionalFormatting sqref="F109">
    <cfRule type="cellIs" priority="476" operator="lessThan" dxfId="204">
      <formula>2100</formula>
    </cfRule>
  </conditionalFormatting>
  <conditionalFormatting sqref="F114">
    <cfRule type="cellIs" priority="314" operator="greaterThan" dxfId="204">
      <formula>3001</formula>
    </cfRule>
  </conditionalFormatting>
  <conditionalFormatting sqref="F117">
    <cfRule type="expression" priority="292" dxfId="214">
      <formula>(C117="LED STRIP")</formula>
    </cfRule>
    <cfRule type="expression" priority="293" dxfId="215">
      <formula>(C117="LIGHT SELECTION")</formula>
    </cfRule>
    <cfRule type="expression" priority="295" dxfId="216">
      <formula>(C117="FLO")</formula>
    </cfRule>
  </conditionalFormatting>
  <conditionalFormatting sqref="F124:F125">
    <cfRule type="expression" priority="280" dxfId="206">
      <formula>D124="NF"</formula>
    </cfRule>
    <cfRule type="expression" priority="281" dxfId="208">
      <formula>D124="WW PODS"</formula>
    </cfRule>
    <cfRule type="expression" priority="282" dxfId="206">
      <formula>D124="GRILLE"</formula>
    </cfRule>
    <cfRule type="expression" priority="283" dxfId="206">
      <formula>D124="CENTREX"</formula>
    </cfRule>
    <cfRule type="expression" priority="284" dxfId="206" stopIfTrue="1">
      <formula>D116="canopy type"</formula>
    </cfRule>
    <cfRule type="expression" priority="285" dxfId="207">
      <formula>(((I116*3600)/(C124*I113))^2+20)&gt;300</formula>
    </cfRule>
    <cfRule type="expression" priority="286" dxfId="205" stopIfTrue="1">
      <formula>(ISNUMBER(SEARCH("UV",D116)))</formula>
    </cfRule>
    <cfRule type="expression" priority="287" dxfId="207">
      <formula>(((I116*3600)/(C124*I113))^2+20)&gt;180</formula>
    </cfRule>
    <cfRule type="expression" priority="288" dxfId="205">
      <formula>D124="KSA"</formula>
    </cfRule>
  </conditionalFormatting>
  <conditionalFormatting sqref="F126">
    <cfRule type="cellIs" priority="308" operator="lessThan" dxfId="204">
      <formula>2100</formula>
    </cfRule>
  </conditionalFormatting>
  <conditionalFormatting sqref="F131">
    <cfRule type="cellIs" priority="177" operator="greaterThan" dxfId="204">
      <formula>3001</formula>
    </cfRule>
  </conditionalFormatting>
  <conditionalFormatting sqref="F134">
    <cfRule type="expression" priority="123" dxfId="214">
      <formula>(C134="LED STRIP")</formula>
    </cfRule>
    <cfRule type="expression" priority="124" dxfId="215">
      <formula>(C134="LIGHT SELECTION")</formula>
    </cfRule>
    <cfRule type="expression" priority="126" dxfId="216">
      <formula>(C134="FLO")</formula>
    </cfRule>
  </conditionalFormatting>
  <conditionalFormatting sqref="F141:F142">
    <cfRule type="expression" priority="104" dxfId="206">
      <formula>D141="NF"</formula>
    </cfRule>
    <cfRule type="expression" priority="105" dxfId="208">
      <formula>D141="WW PODS"</formula>
    </cfRule>
    <cfRule type="expression" priority="106" dxfId="206">
      <formula>D141="GRILLE"</formula>
    </cfRule>
    <cfRule type="expression" priority="107" dxfId="206">
      <formula>D141="CENTREX"</formula>
    </cfRule>
    <cfRule type="expression" priority="108" dxfId="206" stopIfTrue="1">
      <formula>D133="canopy type"</formula>
    </cfRule>
    <cfRule type="expression" priority="109" dxfId="207">
      <formula>(((I133*3600)/(C141*I130))^2+20)&gt;300</formula>
    </cfRule>
    <cfRule type="expression" priority="110" dxfId="205" stopIfTrue="1">
      <formula>(ISNUMBER(SEARCH("UV",D133)))</formula>
    </cfRule>
    <cfRule type="expression" priority="111" dxfId="207">
      <formula>(((I133*3600)/(C141*I130))^2+20)&gt;180</formula>
    </cfRule>
    <cfRule type="expression" priority="112" dxfId="205">
      <formula>D141="KSA"</formula>
    </cfRule>
  </conditionalFormatting>
  <conditionalFormatting sqref="F143">
    <cfRule type="cellIs" priority="171" operator="lessThan" dxfId="204">
      <formula>2100</formula>
    </cfRule>
  </conditionalFormatting>
  <conditionalFormatting sqref="F148">
    <cfRule type="cellIs" priority="146" operator="greaterThan" dxfId="204">
      <formula>3001</formula>
    </cfRule>
  </conditionalFormatting>
  <conditionalFormatting sqref="F151">
    <cfRule type="expression" priority="119" dxfId="214">
      <formula>(C151="LED STRIP")</formula>
    </cfRule>
    <cfRule type="expression" priority="120" dxfId="215">
      <formula>(C151="LIGHT SELECTION")</formula>
    </cfRule>
    <cfRule type="expression" priority="122" dxfId="216">
      <formula>(C151="FLO")</formula>
    </cfRule>
  </conditionalFormatting>
  <conditionalFormatting sqref="F158:F159">
    <cfRule type="expression" priority="89" dxfId="206">
      <formula>D158="NF"</formula>
    </cfRule>
    <cfRule type="expression" priority="90" dxfId="208">
      <formula>D158="WW PODS"</formula>
    </cfRule>
    <cfRule type="expression" priority="91" dxfId="206">
      <formula>D158="GRILLE"</formula>
    </cfRule>
    <cfRule type="expression" priority="92" dxfId="206">
      <formula>D158="CENTREX"</formula>
    </cfRule>
    <cfRule type="expression" priority="93" dxfId="206" stopIfTrue="1">
      <formula>D150="canopy type"</formula>
    </cfRule>
    <cfRule type="expression" priority="94" dxfId="207">
      <formula>(((I150*3600)/(C158*I147))^2+20)&gt;300</formula>
    </cfRule>
    <cfRule type="expression" priority="95" dxfId="205" stopIfTrue="1">
      <formula>(ISNUMBER(SEARCH("UV",D150)))</formula>
    </cfRule>
    <cfRule type="expression" priority="96" dxfId="207">
      <formula>(((I150*3600)/(C158*I147))^2+20)&gt;180</formula>
    </cfRule>
    <cfRule type="expression" priority="97" dxfId="205">
      <formula>D158="KSA"</formula>
    </cfRule>
  </conditionalFormatting>
  <conditionalFormatting sqref="F160">
    <cfRule type="cellIs" priority="140" operator="lessThan" dxfId="204">
      <formula>2100</formula>
    </cfRule>
  </conditionalFormatting>
  <conditionalFormatting sqref="F165">
    <cfRule type="cellIs" priority="70" operator="greaterThan" dxfId="204">
      <formula>3001</formula>
    </cfRule>
  </conditionalFormatting>
  <conditionalFormatting sqref="F168">
    <cfRule type="expression" priority="48" dxfId="214">
      <formula>(C168="LED STRIP")</formula>
    </cfRule>
    <cfRule type="expression" priority="49" dxfId="215">
      <formula>(C168="LIGHT SELECTION")</formula>
    </cfRule>
    <cfRule type="expression" priority="51" dxfId="216">
      <formula>(C168="FLO")</formula>
    </cfRule>
  </conditionalFormatting>
  <conditionalFormatting sqref="F175:F176">
    <cfRule type="expression" priority="36" dxfId="206">
      <formula>D175="NF"</formula>
    </cfRule>
    <cfRule type="expression" priority="37" dxfId="208">
      <formula>D175="WW PODS"</formula>
    </cfRule>
    <cfRule type="expression" priority="38" dxfId="206">
      <formula>D175="GRILLE"</formula>
    </cfRule>
    <cfRule type="expression" priority="39" dxfId="206">
      <formula>D175="CENTREX"</formula>
    </cfRule>
    <cfRule type="expression" priority="40" dxfId="206" stopIfTrue="1">
      <formula>D167="canopy type"</formula>
    </cfRule>
    <cfRule type="expression" priority="41" dxfId="207">
      <formula>(((I167*3600)/(C175*I164))^2+20)&gt;300</formula>
    </cfRule>
    <cfRule type="expression" priority="42" dxfId="205" stopIfTrue="1">
      <formula>(ISNUMBER(SEARCH("UV",D167)))</formula>
    </cfRule>
    <cfRule type="expression" priority="43" dxfId="207">
      <formula>(((I167*3600)/(C175*I164))^2+20)&gt;180</formula>
    </cfRule>
    <cfRule type="expression" priority="44" dxfId="205">
      <formula>D175="KSA"</formula>
    </cfRule>
  </conditionalFormatting>
  <conditionalFormatting sqref="F177">
    <cfRule type="cellIs" priority="64" operator="lessThan" dxfId="204">
      <formula>2100</formula>
    </cfRule>
  </conditionalFormatting>
  <conditionalFormatting sqref="G11">
    <cfRule type="expression" priority="684" dxfId="176">
      <formula>((F14-50)/H14)&lt;950</formula>
    </cfRule>
  </conditionalFormatting>
  <conditionalFormatting sqref="G12">
    <cfRule type="expression" priority="683" dxfId="175">
      <formula>((F14-50)/H14)&lt;950</formula>
    </cfRule>
  </conditionalFormatting>
  <conditionalFormatting sqref="G14">
    <cfRule type="cellIs" priority="679" operator="lessThan" dxfId="164">
      <formula>400</formula>
    </cfRule>
  </conditionalFormatting>
  <conditionalFormatting sqref="G28">
    <cfRule type="expression" priority="626" dxfId="176">
      <formula>((F31-50)/H31)&lt;950</formula>
    </cfRule>
  </conditionalFormatting>
  <conditionalFormatting sqref="G29">
    <cfRule type="expression" priority="604" dxfId="175">
      <formula>((F31-50)/H31)&lt;950</formula>
    </cfRule>
  </conditionalFormatting>
  <conditionalFormatting sqref="G31">
    <cfRule type="cellIs" priority="600" operator="lessThan" dxfId="164">
      <formula>400</formula>
    </cfRule>
  </conditionalFormatting>
  <conditionalFormatting sqref="G45">
    <cfRule type="expression" priority="643" dxfId="176">
      <formula>((F48-50)/H48)&lt;950</formula>
    </cfRule>
  </conditionalFormatting>
  <conditionalFormatting sqref="G46">
    <cfRule type="expression" priority="573" dxfId="175">
      <formula>((F48-50)/H48)&lt;950</formula>
    </cfRule>
  </conditionalFormatting>
  <conditionalFormatting sqref="G48">
    <cfRule type="cellIs" priority="569" operator="lessThan" dxfId="164">
      <formula>400</formula>
    </cfRule>
  </conditionalFormatting>
  <conditionalFormatting sqref="G62">
    <cfRule type="expression" priority="644" dxfId="176">
      <formula>((F65-50)/H65)&lt;950</formula>
    </cfRule>
  </conditionalFormatting>
  <conditionalFormatting sqref="G63">
    <cfRule type="expression" priority="544" dxfId="175">
      <formula>((F65-50)/H65)&lt;950</formula>
    </cfRule>
  </conditionalFormatting>
  <conditionalFormatting sqref="G65">
    <cfRule type="cellIs" priority="540" operator="lessThan" dxfId="164">
      <formula>400</formula>
    </cfRule>
  </conditionalFormatting>
  <conditionalFormatting sqref="G79">
    <cfRule type="expression" priority="645" dxfId="176">
      <formula>((F82-50)/H82)&lt;950</formula>
    </cfRule>
  </conditionalFormatting>
  <conditionalFormatting sqref="G80">
    <cfRule type="expression" priority="514" dxfId="175">
      <formula>((F82-50)/H82)&lt;950</formula>
    </cfRule>
  </conditionalFormatting>
  <conditionalFormatting sqref="G82">
    <cfRule type="cellIs" priority="510" operator="lessThan" dxfId="164">
      <formula>400</formula>
    </cfRule>
  </conditionalFormatting>
  <conditionalFormatting sqref="G96">
    <cfRule type="expression" priority="653" dxfId="176">
      <formula>((F99-50)/H99)&lt;950</formula>
    </cfRule>
  </conditionalFormatting>
  <conditionalFormatting sqref="G97">
    <cfRule type="expression" priority="483" dxfId="175">
      <formula>((F99-50)/H99)&lt;950</formula>
    </cfRule>
  </conditionalFormatting>
  <conditionalFormatting sqref="G99">
    <cfRule type="cellIs" priority="479" operator="lessThan" dxfId="164">
      <formula>400</formula>
    </cfRule>
  </conditionalFormatting>
  <conditionalFormatting sqref="G113">
    <cfRule type="expression" priority="326" dxfId="176">
      <formula>((F116-50)/H116)&lt;950</formula>
    </cfRule>
  </conditionalFormatting>
  <conditionalFormatting sqref="G114">
    <cfRule type="expression" priority="315" dxfId="175">
      <formula>((F116-50)/H116)&lt;950</formula>
    </cfRule>
  </conditionalFormatting>
  <conditionalFormatting sqref="G116">
    <cfRule type="cellIs" priority="311" operator="lessThan" dxfId="164">
      <formula>400</formula>
    </cfRule>
  </conditionalFormatting>
  <conditionalFormatting sqref="G130">
    <cfRule type="expression" priority="190" dxfId="176">
      <formula>((F133-50)/H133)&lt;950</formula>
    </cfRule>
  </conditionalFormatting>
  <conditionalFormatting sqref="G131">
    <cfRule type="expression" priority="178" dxfId="175">
      <formula>((F133-50)/H133)&lt;950</formula>
    </cfRule>
  </conditionalFormatting>
  <conditionalFormatting sqref="G133">
    <cfRule type="cellIs" priority="174" operator="lessThan" dxfId="164">
      <formula>400</formula>
    </cfRule>
  </conditionalFormatting>
  <conditionalFormatting sqref="G147">
    <cfRule type="expression" priority="191" dxfId="176">
      <formula>((F150-50)/H150)&lt;950</formula>
    </cfRule>
  </conditionalFormatting>
  <conditionalFormatting sqref="G148">
    <cfRule type="expression" priority="147" dxfId="175">
      <formula>((F150-50)/H150)&lt;950</formula>
    </cfRule>
  </conditionalFormatting>
  <conditionalFormatting sqref="G150">
    <cfRule type="cellIs" priority="143" operator="lessThan" dxfId="164">
      <formula>400</formula>
    </cfRule>
  </conditionalFormatting>
  <conditionalFormatting sqref="G164">
    <cfRule type="expression" priority="82" dxfId="176">
      <formula>((F167-50)/H167)&lt;950</formula>
    </cfRule>
  </conditionalFormatting>
  <conditionalFormatting sqref="G165">
    <cfRule type="expression" priority="71" dxfId="175">
      <formula>((F167-50)/H167)&lt;950</formula>
    </cfRule>
  </conditionalFormatting>
  <conditionalFormatting sqref="G167">
    <cfRule type="cellIs" priority="67" operator="lessThan" dxfId="164">
      <formula>400</formula>
    </cfRule>
  </conditionalFormatting>
  <conditionalFormatting sqref="I14">
    <cfRule type="cellIs" priority="680" operator="lessThan" dxfId="164">
      <formula>0.1</formula>
    </cfRule>
  </conditionalFormatting>
  <conditionalFormatting sqref="I31">
    <cfRule type="cellIs" priority="601" operator="lessThan" dxfId="164">
      <formula>0.1</formula>
    </cfRule>
  </conditionalFormatting>
  <conditionalFormatting sqref="I48">
    <cfRule type="cellIs" priority="570" operator="lessThan" dxfId="164">
      <formula>0.1</formula>
    </cfRule>
  </conditionalFormatting>
  <conditionalFormatting sqref="I65">
    <cfRule type="cellIs" priority="541" operator="lessThan" dxfId="164">
      <formula>0.1</formula>
    </cfRule>
  </conditionalFormatting>
  <conditionalFormatting sqref="I82">
    <cfRule type="cellIs" priority="511" operator="lessThan" dxfId="164">
      <formula>0.1</formula>
    </cfRule>
  </conditionalFormatting>
  <conditionalFormatting sqref="I99">
    <cfRule type="cellIs" priority="480" operator="lessThan" dxfId="164">
      <formula>0.1</formula>
    </cfRule>
  </conditionalFormatting>
  <conditionalFormatting sqref="I116">
    <cfRule type="cellIs" priority="312" operator="lessThan" dxfId="164">
      <formula>0.1</formula>
    </cfRule>
  </conditionalFormatting>
  <conditionalFormatting sqref="I133">
    <cfRule type="cellIs" priority="175" operator="lessThan" dxfId="164">
      <formula>0.1</formula>
    </cfRule>
  </conditionalFormatting>
  <conditionalFormatting sqref="I150">
    <cfRule type="cellIs" priority="144" operator="lessThan" dxfId="164">
      <formula>0.1</formula>
    </cfRule>
  </conditionalFormatting>
  <conditionalFormatting sqref="I167">
    <cfRule type="cellIs" priority="68" operator="lessThan" dxfId="164">
      <formula>0.1</formula>
    </cfRule>
  </conditionalFormatting>
  <conditionalFormatting sqref="J14:J27">
    <cfRule type="cellIs" priority="404" operator="greaterThan" dxfId="153">
      <formula>0</formula>
    </cfRule>
  </conditionalFormatting>
  <conditionalFormatting sqref="J31:J44">
    <cfRule type="cellIs" priority="261" operator="greaterThan" dxfId="153">
      <formula>0</formula>
    </cfRule>
  </conditionalFormatting>
  <conditionalFormatting sqref="J48:J61">
    <cfRule type="cellIs" priority="250" operator="greaterThan" dxfId="153">
      <formula>0</formula>
    </cfRule>
  </conditionalFormatting>
  <conditionalFormatting sqref="J65:J78">
    <cfRule type="cellIs" priority="239" operator="greaterThan" dxfId="153">
      <formula>0</formula>
    </cfRule>
  </conditionalFormatting>
  <conditionalFormatting sqref="J82:J95">
    <cfRule type="cellIs" priority="228" operator="greaterThan" dxfId="153">
      <formula>0</formula>
    </cfRule>
  </conditionalFormatting>
  <conditionalFormatting sqref="J99:J112">
    <cfRule type="cellIs" priority="217" operator="greaterThan" dxfId="153">
      <formula>0</formula>
    </cfRule>
  </conditionalFormatting>
  <conditionalFormatting sqref="J116:J129 J167:J180">
    <cfRule type="cellIs" priority="206" operator="greaterThan" dxfId="153">
      <formula>0</formula>
    </cfRule>
  </conditionalFormatting>
  <conditionalFormatting sqref="J133:J146">
    <cfRule type="cellIs" priority="19" operator="greaterThan" dxfId="153">
      <formula>0</formula>
    </cfRule>
  </conditionalFormatting>
  <conditionalFormatting sqref="J150:J163">
    <cfRule type="cellIs" priority="8" operator="greaterThan" dxfId="153">
      <formula>0</formula>
    </cfRule>
  </conditionalFormatting>
  <conditionalFormatting sqref="J183:J197">
    <cfRule type="expression" priority="654" dxfId="153">
      <formula>C183&gt;0</formula>
    </cfRule>
  </conditionalFormatting>
  <conditionalFormatting sqref="J199">
    <cfRule type="expression" priority="659" dxfId="2">
      <formula>#REF!="EURO"</formula>
    </cfRule>
  </conditionalFormatting>
  <conditionalFormatting sqref="K14:K27">
    <cfRule type="cellIs" priority="418" operator="greaterThan" dxfId="141">
      <formula>0</formula>
    </cfRule>
  </conditionalFormatting>
  <conditionalFormatting sqref="K31:K44">
    <cfRule type="cellIs" priority="262" operator="greaterThan" dxfId="141">
      <formula>0</formula>
    </cfRule>
  </conditionalFormatting>
  <conditionalFormatting sqref="K48:K61">
    <cfRule type="cellIs" priority="251" operator="greaterThan" dxfId="141">
      <formula>0</formula>
    </cfRule>
  </conditionalFormatting>
  <conditionalFormatting sqref="K65:K78">
    <cfRule type="cellIs" priority="240" operator="greaterThan" dxfId="141">
      <formula>0</formula>
    </cfRule>
  </conditionalFormatting>
  <conditionalFormatting sqref="K82:K95">
    <cfRule type="cellIs" priority="229" operator="greaterThan" dxfId="141">
      <formula>0</formula>
    </cfRule>
  </conditionalFormatting>
  <conditionalFormatting sqref="K99:K112">
    <cfRule type="cellIs" priority="218" operator="greaterThan" dxfId="141">
      <formula>0</formula>
    </cfRule>
  </conditionalFormatting>
  <conditionalFormatting sqref="K116:K129 K167:K180">
    <cfRule type="cellIs" priority="207" operator="greaterThan" dxfId="141">
      <formula>0</formula>
    </cfRule>
  </conditionalFormatting>
  <conditionalFormatting sqref="K133:K146">
    <cfRule type="cellIs" priority="20" operator="greaterThan" dxfId="141">
      <formula>0</formula>
    </cfRule>
  </conditionalFormatting>
  <conditionalFormatting sqref="K150:K163">
    <cfRule type="cellIs" priority="9" operator="greaterThan" dxfId="141">
      <formula>0</formula>
    </cfRule>
  </conditionalFormatting>
  <conditionalFormatting sqref="K183:K197">
    <cfRule type="cellIs" priority="661" operator="greaterThan" dxfId="141">
      <formula>0</formula>
    </cfRule>
  </conditionalFormatting>
  <conditionalFormatting sqref="K199">
    <cfRule type="expression" priority="655" dxfId="4">
      <formula>$B$9="PLN"</formula>
    </cfRule>
    <cfRule type="expression" priority="656" dxfId="0">
      <formula>$B$9="CZK"</formula>
    </cfRule>
    <cfRule type="expression" priority="657" dxfId="3">
      <formula>$B$9="USD"</formula>
    </cfRule>
    <cfRule type="expression" priority="658" dxfId="2">
      <formula>$B$9="EURO"</formula>
    </cfRule>
  </conditionalFormatting>
  <conditionalFormatting sqref="L14:L27">
    <cfRule type="expression" priority="415" dxfId="116">
      <formula>$C$9&lt;0</formula>
    </cfRule>
    <cfRule type="expression" priority="416" dxfId="115">
      <formula>$C$9&gt;0</formula>
    </cfRule>
  </conditionalFormatting>
  <conditionalFormatting sqref="L31:L44">
    <cfRule type="expression" priority="204" dxfId="116">
      <formula>$C$9&lt;0</formula>
    </cfRule>
    <cfRule type="expression" priority="205" dxfId="115">
      <formula>$C$9&gt;0</formula>
    </cfRule>
  </conditionalFormatting>
  <conditionalFormatting sqref="L48:L61">
    <cfRule type="expression" priority="202" dxfId="116">
      <formula>$C$9&lt;0</formula>
    </cfRule>
    <cfRule type="expression" priority="203" dxfId="115">
      <formula>$C$9&gt;0</formula>
    </cfRule>
  </conditionalFormatting>
  <conditionalFormatting sqref="L65:L78">
    <cfRule type="expression" priority="200" dxfId="116">
      <formula>$C$9&lt;0</formula>
    </cfRule>
    <cfRule type="expression" priority="201" dxfId="115">
      <formula>$C$9&gt;0</formula>
    </cfRule>
  </conditionalFormatting>
  <conditionalFormatting sqref="L82:L95">
    <cfRule type="expression" priority="198" dxfId="116">
      <formula>$C$9&lt;0</formula>
    </cfRule>
    <cfRule type="expression" priority="199" dxfId="115">
      <formula>$C$9&gt;0</formula>
    </cfRule>
  </conditionalFormatting>
  <conditionalFormatting sqref="L99:L112">
    <cfRule type="expression" priority="196" dxfId="116">
      <formula>$C$9&lt;0</formula>
    </cfRule>
    <cfRule type="expression" priority="197" dxfId="115">
      <formula>$C$9&gt;0</formula>
    </cfRule>
  </conditionalFormatting>
  <conditionalFormatting sqref="L116:L129 L167:L180">
    <cfRule type="expression" priority="194" dxfId="116">
      <formula>$C$9&lt;0</formula>
    </cfRule>
    <cfRule type="expression" priority="195" dxfId="115">
      <formula>$C$9&gt;0</formula>
    </cfRule>
  </conditionalFormatting>
  <conditionalFormatting sqref="L133:L146">
    <cfRule type="expression" priority="3" dxfId="116">
      <formula>$C$9&lt;0</formula>
    </cfRule>
    <cfRule type="expression" priority="4" dxfId="115">
      <formula>$C$9&gt;0</formula>
    </cfRule>
  </conditionalFormatting>
  <conditionalFormatting sqref="L150:L163">
    <cfRule type="expression" priority="1" dxfId="116">
      <formula>$C$9&lt;0</formula>
    </cfRule>
    <cfRule type="expression" priority="2" dxfId="115">
      <formula>$C$9&gt;0</formula>
    </cfRule>
  </conditionalFormatting>
  <conditionalFormatting sqref="L183:L197">
    <cfRule type="expression" priority="192" dxfId="116">
      <formula>$C$9&lt;0</formula>
    </cfRule>
    <cfRule type="expression" priority="193" dxfId="115">
      <formula>$C$9&gt;0</formula>
    </cfRule>
  </conditionalFormatting>
  <conditionalFormatting sqref="N9 N12">
    <cfRule type="expression" priority="691" dxfId="4">
      <formula>$B$9="PLN"</formula>
    </cfRule>
    <cfRule type="expression" priority="692" dxfId="0">
      <formula>$B$9="CZK"</formula>
    </cfRule>
    <cfRule type="expression" priority="693" dxfId="3">
      <formula>$B$9="USD"</formula>
    </cfRule>
    <cfRule type="expression" priority="694" dxfId="2">
      <formula>$B$9="EURO"</formula>
    </cfRule>
  </conditionalFormatting>
  <conditionalFormatting sqref="N14:N27">
    <cfRule type="cellIs" priority="630" operator="greaterThan" dxfId="1">
      <formula>0</formula>
    </cfRule>
    <cfRule type="expression" priority="631" dxfId="2">
      <formula>$B$9="EURO"</formula>
    </cfRule>
    <cfRule type="expression" priority="632" dxfId="3">
      <formula>$B$9="USD"</formula>
    </cfRule>
    <cfRule type="expression" priority="633" dxfId="4">
      <formula>$B$9="PLN"</formula>
    </cfRule>
    <cfRule type="expression" priority="634" dxfId="0">
      <formula>$B$9="CZK"</formula>
    </cfRule>
  </conditionalFormatting>
  <conditionalFormatting sqref="N29">
    <cfRule type="expression" priority="610" dxfId="4">
      <formula>$B$9="PLN"</formula>
    </cfRule>
    <cfRule type="expression" priority="611" dxfId="0">
      <formula>$B$9="CZK"</formula>
    </cfRule>
    <cfRule type="expression" priority="612" dxfId="3">
      <formula>$B$9="USD"</formula>
    </cfRule>
    <cfRule type="expression" priority="613" dxfId="2">
      <formula>$B$9="EURO"</formula>
    </cfRule>
  </conditionalFormatting>
  <conditionalFormatting sqref="N31:N44">
    <cfRule type="cellIs" priority="265" operator="greaterThan" dxfId="1">
      <formula>0</formula>
    </cfRule>
    <cfRule type="expression" priority="266" dxfId="2">
      <formula>$B$9="EURO"</formula>
    </cfRule>
    <cfRule type="expression" priority="267" dxfId="3">
      <formula>$B$9="USD"</formula>
    </cfRule>
    <cfRule type="expression" priority="268" dxfId="4">
      <formula>$B$9="PLN"</formula>
    </cfRule>
    <cfRule type="expression" priority="269" dxfId="0">
      <formula>$B$9="CZK"</formula>
    </cfRule>
  </conditionalFormatting>
  <conditionalFormatting sqref="N46">
    <cfRule type="expression" priority="579" dxfId="4">
      <formula>$B$9="PLN"</formula>
    </cfRule>
    <cfRule type="expression" priority="580" dxfId="0">
      <formula>$B$9="CZK"</formula>
    </cfRule>
    <cfRule type="expression" priority="581" dxfId="3">
      <formula>$B$9="USD"</formula>
    </cfRule>
    <cfRule type="expression" priority="582" dxfId="2">
      <formula>$B$9="EURO"</formula>
    </cfRule>
  </conditionalFormatting>
  <conditionalFormatting sqref="N48:N61">
    <cfRule type="cellIs" priority="254" operator="greaterThan" dxfId="1">
      <formula>0</formula>
    </cfRule>
    <cfRule type="expression" priority="255" dxfId="2">
      <formula>$B$9="EURO"</formula>
    </cfRule>
    <cfRule type="expression" priority="256" dxfId="3">
      <formula>$B$9="USD"</formula>
    </cfRule>
    <cfRule type="expression" priority="257" dxfId="4">
      <formula>$B$9="PLN"</formula>
    </cfRule>
    <cfRule type="expression" priority="258" dxfId="0">
      <formula>$B$9="CZK"</formula>
    </cfRule>
  </conditionalFormatting>
  <conditionalFormatting sqref="N63">
    <cfRule type="expression" priority="550" dxfId="4">
      <formula>$B$9="PLN"</formula>
    </cfRule>
    <cfRule type="expression" priority="551" dxfId="0">
      <formula>$B$9="CZK"</formula>
    </cfRule>
    <cfRule type="expression" priority="552" dxfId="3">
      <formula>$B$9="USD"</formula>
    </cfRule>
    <cfRule type="expression" priority="553" dxfId="2">
      <formula>$B$9="EURO"</formula>
    </cfRule>
  </conditionalFormatting>
  <conditionalFormatting sqref="N65:N78">
    <cfRule type="cellIs" priority="243" operator="greaterThan" dxfId="1">
      <formula>0</formula>
    </cfRule>
    <cfRule type="expression" priority="244" dxfId="2">
      <formula>$B$9="EURO"</formula>
    </cfRule>
    <cfRule type="expression" priority="245" dxfId="3">
      <formula>$B$9="USD"</formula>
    </cfRule>
    <cfRule type="expression" priority="246" dxfId="4">
      <formula>$B$9="PLN"</formula>
    </cfRule>
    <cfRule type="expression" priority="247" dxfId="0">
      <formula>$B$9="CZK"</formula>
    </cfRule>
  </conditionalFormatting>
  <conditionalFormatting sqref="N80">
    <cfRule type="expression" priority="520" dxfId="4">
      <formula>$B$9="PLN"</formula>
    </cfRule>
    <cfRule type="expression" priority="521" dxfId="0">
      <formula>$B$9="CZK"</formula>
    </cfRule>
    <cfRule type="expression" priority="522" dxfId="3">
      <formula>$B$9="USD"</formula>
    </cfRule>
    <cfRule type="expression" priority="523" dxfId="2">
      <formula>$B$9="EURO"</formula>
    </cfRule>
  </conditionalFormatting>
  <conditionalFormatting sqref="N82:N95">
    <cfRule type="cellIs" priority="232" operator="greaterThan" dxfId="1">
      <formula>0</formula>
    </cfRule>
    <cfRule type="expression" priority="233" dxfId="2">
      <formula>$B$9="EURO"</formula>
    </cfRule>
    <cfRule type="expression" priority="234" dxfId="3">
      <formula>$B$9="USD"</formula>
    </cfRule>
    <cfRule type="expression" priority="235" dxfId="4">
      <formula>$B$9="PLN"</formula>
    </cfRule>
    <cfRule type="expression" priority="236" dxfId="0">
      <formula>$B$9="CZK"</formula>
    </cfRule>
  </conditionalFormatting>
  <conditionalFormatting sqref="N97">
    <cfRule type="expression" priority="489" dxfId="4">
      <formula>$B$9="PLN"</formula>
    </cfRule>
    <cfRule type="expression" priority="490" dxfId="0">
      <formula>$B$9="CZK"</formula>
    </cfRule>
    <cfRule type="expression" priority="491" dxfId="3">
      <formula>$B$9="USD"</formula>
    </cfRule>
    <cfRule type="expression" priority="492" dxfId="2">
      <formula>$B$9="EURO"</formula>
    </cfRule>
  </conditionalFormatting>
  <conditionalFormatting sqref="N99:N112">
    <cfRule type="cellIs" priority="221" operator="greaterThan" dxfId="1">
      <formula>0</formula>
    </cfRule>
    <cfRule type="expression" priority="222" dxfId="2">
      <formula>$B$9="EURO"</formula>
    </cfRule>
    <cfRule type="expression" priority="223" dxfId="3">
      <formula>$B$9="USD"</formula>
    </cfRule>
    <cfRule type="expression" priority="224" dxfId="4">
      <formula>$B$9="PLN"</formula>
    </cfRule>
    <cfRule type="expression" priority="225" dxfId="0">
      <formula>$B$9="CZK"</formula>
    </cfRule>
  </conditionalFormatting>
  <conditionalFormatting sqref="N114">
    <cfRule type="expression" priority="321" dxfId="4">
      <formula>$B$9="PLN"</formula>
    </cfRule>
    <cfRule type="expression" priority="322" dxfId="0">
      <formula>$B$9="CZK"</formula>
    </cfRule>
    <cfRule type="expression" priority="323" dxfId="3">
      <formula>$B$9="USD"</formula>
    </cfRule>
    <cfRule type="expression" priority="324" dxfId="2">
      <formula>$B$9="EURO"</formula>
    </cfRule>
  </conditionalFormatting>
  <conditionalFormatting sqref="N116:N129 N167:N180">
    <cfRule type="cellIs" priority="210" operator="greaterThan" dxfId="1">
      <formula>0</formula>
    </cfRule>
    <cfRule type="expression" priority="211" dxfId="2">
      <formula>$B$9="EURO"</formula>
    </cfRule>
    <cfRule type="expression" priority="212" dxfId="3">
      <formula>$B$9="USD"</formula>
    </cfRule>
    <cfRule type="expression" priority="213" dxfId="4">
      <formula>$B$9="PLN"</formula>
    </cfRule>
    <cfRule type="expression" priority="214" dxfId="0">
      <formula>$B$9="CZK"</formula>
    </cfRule>
  </conditionalFormatting>
  <conditionalFormatting sqref="N131">
    <cfRule type="expression" priority="184" dxfId="4">
      <formula>$B$9="PLN"</formula>
    </cfRule>
    <cfRule type="expression" priority="185" dxfId="0">
      <formula>$B$9="CZK"</formula>
    </cfRule>
    <cfRule type="expression" priority="186" dxfId="3">
      <formula>$B$9="USD"</formula>
    </cfRule>
    <cfRule type="expression" priority="187" dxfId="2">
      <formula>$B$9="EURO"</formula>
    </cfRule>
  </conditionalFormatting>
  <conditionalFormatting sqref="N133:N146">
    <cfRule type="cellIs" priority="23" operator="greaterThan" dxfId="1">
      <formula>0</formula>
    </cfRule>
    <cfRule type="expression" priority="24" dxfId="2">
      <formula>$B$9="EURO"</formula>
    </cfRule>
    <cfRule type="expression" priority="25" dxfId="3">
      <formula>$B$9="USD"</formula>
    </cfRule>
    <cfRule type="expression" priority="26" dxfId="4">
      <formula>$B$9="PLN"</formula>
    </cfRule>
    <cfRule type="expression" priority="27" dxfId="0">
      <formula>$B$9="CZK"</formula>
    </cfRule>
  </conditionalFormatting>
  <conditionalFormatting sqref="N148">
    <cfRule type="expression" priority="153" dxfId="4">
      <formula>$B$9="PLN"</formula>
    </cfRule>
    <cfRule type="expression" priority="154" dxfId="0">
      <formula>$B$9="CZK"</formula>
    </cfRule>
    <cfRule type="expression" priority="155" dxfId="3">
      <formula>$B$9="USD"</formula>
    </cfRule>
    <cfRule type="expression" priority="156" dxfId="2">
      <formula>$B$9="EURO"</formula>
    </cfRule>
  </conditionalFormatting>
  <conditionalFormatting sqref="N150:N163">
    <cfRule type="cellIs" priority="12" operator="greaterThan" dxfId="1">
      <formula>0</formula>
    </cfRule>
    <cfRule type="expression" priority="13" dxfId="2">
      <formula>$B$9="EURO"</formula>
    </cfRule>
    <cfRule type="expression" priority="14" dxfId="3">
      <formula>$B$9="USD"</formula>
    </cfRule>
    <cfRule type="expression" priority="15" dxfId="4">
      <formula>$B$9="PLN"</formula>
    </cfRule>
    <cfRule type="expression" priority="16" dxfId="0">
      <formula>$B$9="CZK"</formula>
    </cfRule>
  </conditionalFormatting>
  <conditionalFormatting sqref="N165">
    <cfRule type="expression" priority="77" dxfId="4">
      <formula>$B$9="PLN"</formula>
    </cfRule>
    <cfRule type="expression" priority="78" dxfId="0">
      <formula>$B$9="CZK"</formula>
    </cfRule>
    <cfRule type="expression" priority="79" dxfId="3">
      <formula>$B$9="USD"</formula>
    </cfRule>
    <cfRule type="expression" priority="80" dxfId="2">
      <formula>$B$9="EURO"</formula>
    </cfRule>
  </conditionalFormatting>
  <conditionalFormatting sqref="N183:N197">
    <cfRule type="cellIs" priority="638" operator="greaterThan" dxfId="1">
      <formula>0</formula>
    </cfRule>
    <cfRule type="expression" priority="639" dxfId="2">
      <formula>$B$9="EURO"</formula>
    </cfRule>
    <cfRule type="expression" priority="640" dxfId="3">
      <formula>$B$9="USD"</formula>
    </cfRule>
    <cfRule type="expression" priority="641" dxfId="4">
      <formula>$B$9="PLN"</formula>
    </cfRule>
    <cfRule type="expression" priority="642" dxfId="0">
      <formula>$B$9="CZK"</formula>
    </cfRule>
  </conditionalFormatting>
  <conditionalFormatting sqref="N182:O182">
    <cfRule type="expression" priority="646" dxfId="4">
      <formula>$B$9="PLN"</formula>
    </cfRule>
    <cfRule type="expression" priority="647" dxfId="0">
      <formula>$B$9="CZK"</formula>
    </cfRule>
    <cfRule type="expression" priority="648" dxfId="3">
      <formula>$B$9="USD"</formula>
    </cfRule>
    <cfRule type="expression" priority="649" dxfId="2">
      <formula>$B$9="EURO"</formula>
    </cfRule>
  </conditionalFormatting>
  <conditionalFormatting sqref="O14:O27">
    <cfRule type="cellIs" priority="635" operator="greaterThan" dxfId="5">
      <formula>0</formula>
    </cfRule>
  </conditionalFormatting>
  <conditionalFormatting sqref="O31:O44">
    <cfRule type="cellIs" priority="270" operator="greaterThan" dxfId="5">
      <formula>0</formula>
    </cfRule>
  </conditionalFormatting>
  <conditionalFormatting sqref="O48:O61">
    <cfRule type="cellIs" priority="259" operator="greaterThan" dxfId="5">
      <formula>0</formula>
    </cfRule>
  </conditionalFormatting>
  <conditionalFormatting sqref="O65:O78">
    <cfRule type="cellIs" priority="248" operator="greaterThan" dxfId="5">
      <formula>0</formula>
    </cfRule>
  </conditionalFormatting>
  <conditionalFormatting sqref="O82:O95">
    <cfRule type="cellIs" priority="237" operator="greaterThan" dxfId="5">
      <formula>0</formula>
    </cfRule>
  </conditionalFormatting>
  <conditionalFormatting sqref="O99:O112">
    <cfRule type="cellIs" priority="226" operator="greaterThan" dxfId="5">
      <formula>0</formula>
    </cfRule>
  </conditionalFormatting>
  <conditionalFormatting sqref="O116:O129 O167:O180">
    <cfRule type="cellIs" priority="215" operator="greaterThan" dxfId="5">
      <formula>0</formula>
    </cfRule>
  </conditionalFormatting>
  <conditionalFormatting sqref="O133:O146">
    <cfRule type="cellIs" priority="28" operator="greaterThan" dxfId="5">
      <formula>0</formula>
    </cfRule>
  </conditionalFormatting>
  <conditionalFormatting sqref="O150:O163">
    <cfRule type="cellIs" priority="17" operator="greaterThan" dxfId="5">
      <formula>0</formula>
    </cfRule>
  </conditionalFormatting>
  <conditionalFormatting sqref="O183:O197">
    <cfRule type="cellIs" priority="660" operator="greaterThan" dxfId="5">
      <formula>0</formula>
    </cfRule>
  </conditionalFormatting>
  <conditionalFormatting sqref="Q16">
    <cfRule type="cellIs" priority="405" operator="greaterThan" dxfId="1">
      <formula>0</formula>
    </cfRule>
    <cfRule type="expression" priority="406" dxfId="2">
      <formula>$B$9="EURO"</formula>
    </cfRule>
    <cfRule type="expression" priority="407" dxfId="3">
      <formula>$B$9="USD"</formula>
    </cfRule>
    <cfRule type="expression" priority="408" dxfId="4">
      <formula>$B$9="PLN"</formula>
    </cfRule>
    <cfRule type="expression" priority="409" dxfId="0">
      <formula>$B$9="CZK"</formula>
    </cfRule>
  </conditionalFormatting>
  <dataValidations count="7">
    <dataValidation sqref="D26 D43 D60 D77 D94 D111 D128 D145 D162 D179" showDropDown="0" showInputMessage="1" showErrorMessage="1" allowBlank="1" type="list">
      <formula1>"0,1,2,3,4,5,6,7,8,9,10"</formula1>
    </dataValidation>
    <dataValidation sqref="G181" showDropDown="0" showInputMessage="1" showErrorMessage="1" allowBlank="1" type="list">
      <formula1>#REF!</formula1>
    </dataValidation>
    <dataValidation sqref="C14 C31 C48 C65 C82 C99 C116 C133 C150 C167" showDropDown="0" showInputMessage="1" showErrorMessage="1" allowBlank="1" type="list">
      <formula1>"WALL, ISLAND"</formula1>
    </dataValidation>
    <dataValidation sqref="E14 E31 E48 E65 E82 E99 E116 E133 E150 E167" showDropDown="0" showInputMessage="1" showErrorMessage="1" allowBlank="1" operator="greaterThan"/>
    <dataValidation sqref="C20:C21 C37:C38 C54:C55 C71:C72 C88:C89 C105:C106 C122:C123 C139:C140 C156:C157 C173:C174 I16 I33 I50 I67 I84 I101 I118 I135 I152 I169" showDropDown="0" showInputMessage="1" showErrorMessage="1" allowBlank="1" type="list">
      <formula1>"0,1,2,3,4,5,6,7,8,9,10,11,12,13,14,15,16,17,18,19,20"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7 C44 C61 C78 C95 C112 C129 C146 C163 C180" showDropDown="0" showInputMessage="1" showErrorMessage="1" allowBlank="1" type="list">
      <formula1>"0,0.5,1,1.5,2,2.5,3,3.5,4,4.5,5"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2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 codeName="Sheet43">
    <tabColor theme="8" tint="0.7999816888943144"/>
    <outlinePr summaryBelow="1" summaryRight="1"/>
    <pageSetUpPr fitToPage="1"/>
  </sheetPr>
  <dimension ref="A1:Z310"/>
  <sheetViews>
    <sheetView showGridLines="0" zoomScale="80" zoomScaleNormal="80" zoomScaleSheetLayoutView="50" workbookViewId="0">
      <selection activeCell="G21" sqref="G21"/>
    </sheetView>
  </sheetViews>
  <sheetFormatPr baseColWidth="10" defaultColWidth="8.83203125" defaultRowHeight="15" customHeight="1" outlineLevelRow="1"/>
  <cols>
    <col width="2" customWidth="1" style="666" min="1" max="1"/>
    <col width="32.33203125" customWidth="1" style="1095" min="2" max="2"/>
    <col width="25.83203125" bestFit="1" customWidth="1" style="1095" min="3" max="3"/>
    <col width="27.1640625" customWidth="1" style="1095" min="4" max="4"/>
    <col width="24.83203125" customWidth="1" style="1095" min="5" max="5"/>
    <col width="18.83203125" customWidth="1" style="1095" min="6" max="6"/>
    <col width="20.33203125" customWidth="1" style="1095" min="7" max="7"/>
    <col width="9.33203125" bestFit="1" customWidth="1" style="1096" min="8" max="8"/>
    <col width="11.83203125" customWidth="1" style="1096" min="9" max="9"/>
    <col width="14.83203125" bestFit="1" customWidth="1" style="1097" min="10" max="10"/>
    <col width="17.5" customWidth="1" style="1098" min="11" max="11"/>
    <col width="7.6640625" bestFit="1" customWidth="1" style="1098" min="12" max="12"/>
    <col hidden="1" width="15.5" customWidth="1" style="1099" min="13" max="13"/>
    <col width="13.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8"/>
    <col width="8.83203125" customWidth="1" style="1095" min="99" max="16384"/>
  </cols>
  <sheetData>
    <row r="1" ht="15" customHeight="1" s="1085">
      <c r="B1" s="1116" t="inlineStr">
        <is>
          <t>F24 - 19  CANOPY COST SHEET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>
        <f>IF(CANOPY!C3="","",CANOPY!C3)</f>
        <v/>
      </c>
      <c r="F3" s="690" t="inlineStr">
        <is>
          <t>Project Name</t>
        </is>
      </c>
      <c r="G3" s="1071">
        <f>IF(CANOPY!G3="","",CANOPY!G3)</f>
        <v/>
      </c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>
        <f>IF(CANOPY!C5="","",CANOPY!C5)</f>
        <v/>
      </c>
      <c r="F5" s="690" t="inlineStr">
        <is>
          <t>Location</t>
        </is>
      </c>
      <c r="G5" s="1071">
        <f>IF(CANOPY!G5="","",CANOPY!G5)</f>
        <v/>
      </c>
      <c r="M5" s="684" t="n"/>
      <c r="N5" s="685" t="n"/>
      <c r="P5" s="694" t="n"/>
      <c r="R5" s="687" t="n"/>
      <c r="S5" s="688" t="n"/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>
        <f>IF(CANOPY!C7="","",CANOPY!C7)</f>
        <v/>
      </c>
      <c r="F7" s="690" t="inlineStr">
        <is>
          <t>Date</t>
        </is>
      </c>
      <c r="G7" s="1075">
        <f>IF(CANOPY!G7="","",CANOPY!G7)</f>
        <v/>
      </c>
      <c r="N7" s="699" t="inlineStr">
        <is>
          <t>Revision No</t>
        </is>
      </c>
      <c r="O7" s="1141">
        <f>IF(CANOPY!O7="","",CANOPY!O7)</f>
        <v/>
      </c>
      <c r="P7" s="694" t="n"/>
      <c r="R7" s="687" t="n"/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P8" s="694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52" t="n">
        <v>0</v>
      </c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9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 xml:space="preserve">ITEM  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95" t="n"/>
      <c r="Q12" s="1095" t="n"/>
      <c r="R12" s="1095" t="n"/>
      <c r="S12" s="713" t="n"/>
      <c r="T12" s="1095" t="n"/>
      <c r="X12" s="1095" t="n"/>
      <c r="Y12" s="1095" t="n"/>
      <c r="Z12" s="1095" t="n"/>
    </row>
    <row r="13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CANOPY TYPE</t>
        </is>
      </c>
      <c r="E14" s="734" t="n"/>
      <c r="F14" s="734" t="n"/>
      <c r="G14" s="734" t="n"/>
      <c r="H14" s="735" t="n"/>
      <c r="I14" s="734" t="n"/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LIGHT SELECTION</t>
        </is>
      </c>
      <c r="D15" s="741" t="n"/>
      <c r="E15" s="848" t="n"/>
      <c r="F15" s="743" t="n"/>
      <c r="G15" s="744" t="n"/>
      <c r="H15" s="668" t="n"/>
      <c r="I15" s="668" t="n"/>
      <c r="J15" s="736">
        <f>IF(ISNA(C12),0,IF(D15=0,0,IF(C15="FLO",VLOOKUP(E15,'Base Costs'!$M$4:$N$12,2,FALSE),IF(C15="LED STRIP",VLOOKUP(E15,'Base Costs'!$M$4:$N$12,2,FALSE),(VLOOKUP(C15,'Base Costs'!$M$4:$N$12,2,FALSE))))))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outlineLevel="1" ht="15" customHeight="1" s="1085">
      <c r="A16" s="666" t="n">
        <v>234</v>
      </c>
      <c r="B16" s="269" t="inlineStr">
        <is>
          <t xml:space="preserve">FIRE SUPPRESSION </t>
        </is>
      </c>
      <c r="C16" s="953" t="inlineStr">
        <is>
          <t>FIRE SUPPRESSION</t>
        </is>
      </c>
      <c r="D16" s="746" t="n"/>
      <c r="E16" s="1103" t="n"/>
      <c r="F16" s="748" t="n"/>
      <c r="G16" s="749" t="n"/>
      <c r="H16" s="750" t="n"/>
      <c r="I16" s="751" t="n">
        <v>1</v>
      </c>
      <c r="J16" s="736">
        <f>VLOOKUP(C16,'Base Costs'!$U$4:$V$41,2,FALSE)</f>
        <v/>
      </c>
      <c r="K16" s="737">
        <f>J16*1</f>
        <v/>
      </c>
      <c r="L16" s="738" t="n">
        <v>0.25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outlineLevel="1" ht="15" customHeight="1" s="1085">
      <c r="B17" s="269" t="inlineStr">
        <is>
          <t>TANK INSTALL</t>
        </is>
      </c>
      <c r="C17" s="953" t="inlineStr">
        <is>
          <t>TANK INSTALL</t>
        </is>
      </c>
      <c r="D17" s="966" t="n">
        <v>1</v>
      </c>
      <c r="E17" s="753" t="n"/>
      <c r="F17" s="754" t="n"/>
      <c r="G17" s="749" t="n"/>
      <c r="H17" s="750" t="n"/>
      <c r="I17" s="755" t="n"/>
      <c r="J17" s="736">
        <f>VLOOKUP(C17,'Base Costs'!$U$44:$V$56,2,FALSE)</f>
        <v/>
      </c>
      <c r="K17" s="737">
        <f>J17*D17</f>
        <v/>
      </c>
      <c r="L17" s="738" t="n">
        <v>0.35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outlineLevel="1" ht="15" customHeight="1" s="1085">
      <c r="B18" s="269" t="inlineStr">
        <is>
          <t>SPECIAL WORKS</t>
        </is>
      </c>
      <c r="C18" s="752" t="inlineStr">
        <is>
          <t>SELECT WORKS</t>
        </is>
      </c>
      <c r="D18" s="735" t="n"/>
      <c r="E18" s="753">
        <f>IF(C18="","",VLOOKUP(C18,CCBASE!$A$53:$D$73,4,FALSE))</f>
        <v/>
      </c>
      <c r="F18" s="754" t="n"/>
      <c r="G18" s="749" t="n"/>
      <c r="H18" s="750" t="n"/>
      <c r="I18" s="755" t="n"/>
      <c r="J18" s="736">
        <f>IF(C18="",0,VLOOKUP(C18,CCBASE!$A$53:$C$73,2,FALSE))</f>
        <v/>
      </c>
      <c r="K18" s="737">
        <f>J18*D18</f>
        <v/>
      </c>
      <c r="L18" s="738" t="n">
        <v>0.44</v>
      </c>
      <c r="M18" s="739">
        <f>K18/(1-L18)*(1+$C$9)</f>
        <v/>
      </c>
      <c r="N18" s="737">
        <f>M18*VLOOKUP($B$9,'Base Costs'!$A$32:$B$37,2,FALSE)</f>
        <v/>
      </c>
      <c r="O18" s="740">
        <f>M18-K18</f>
        <v/>
      </c>
      <c r="S18" s="694" t="n"/>
      <c r="Y18" s="1095" t="n"/>
    </row>
    <row r="19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SELECT CLADDING</t>
        </is>
      </c>
      <c r="D19" s="756">
        <f>ROUNDUP($F14/1000,0)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S19" s="694" t="n"/>
      <c r="Y19" s="1095" t="n"/>
    </row>
    <row r="20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S22" s="694" t="n"/>
      <c r="Y22" s="1095" t="n"/>
    </row>
    <row r="23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 t="n"/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>ITEM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95" t="n"/>
      <c r="Q29" s="1095" t="n"/>
      <c r="R29" s="1095" t="n"/>
      <c r="S29" s="713" t="n"/>
      <c r="T29" s="1095" t="n"/>
      <c r="X29" s="1095" t="n"/>
      <c r="Y29" s="1095" t="n"/>
      <c r="Z29" s="1095" t="n"/>
    </row>
    <row r="30" hidden="1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hidden="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hidden="1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hidden="1" outlineLevel="1" ht="15" customHeight="1" s="1085">
      <c r="A33" s="666" t="n">
        <v>234</v>
      </c>
      <c r="B33" s="269" t="inlineStr">
        <is>
          <t>FIRE SUPPRESSION</t>
        </is>
      </c>
      <c r="C33" s="953" t="inlineStr">
        <is>
          <t>FIRE SUPPRESSION</t>
        </is>
      </c>
      <c r="D33" s="746" t="n"/>
      <c r="E33" s="747" t="n"/>
      <c r="F33" s="748" t="n"/>
      <c r="G33" s="749" t="n"/>
      <c r="H33" s="750" t="n"/>
      <c r="I33" s="751" t="n">
        <v>1</v>
      </c>
      <c r="J33" s="736">
        <f>VLOOKUP(C33,'Base Costs'!$U$4:$V$41,2,FALSE)</f>
        <v/>
      </c>
      <c r="K33" s="737">
        <f>J33*1</f>
        <v/>
      </c>
      <c r="L33" s="738" t="n">
        <v>0.25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hidden="1" outlineLevel="1" ht="15" customHeight="1" s="1085">
      <c r="B34" s="269" t="inlineStr">
        <is>
          <t>TANK INSTALL</t>
        </is>
      </c>
      <c r="C34" s="953" t="inlineStr">
        <is>
          <t>TANK INSTALL</t>
        </is>
      </c>
      <c r="D34" s="966" t="n">
        <v>1</v>
      </c>
      <c r="E34" s="753" t="n"/>
      <c r="F34" s="754" t="n"/>
      <c r="G34" s="749" t="n"/>
      <c r="H34" s="750" t="n"/>
      <c r="I34" s="755" t="n"/>
      <c r="J34" s="736">
        <f>VLOOKUP(C34,'Base Costs'!$U$44:$V$56,2,FALSE)</f>
        <v/>
      </c>
      <c r="K34" s="737">
        <f>J34*D34</f>
        <v/>
      </c>
      <c r="L34" s="738" t="n">
        <v>0.35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hidden="1" outlineLevel="1" ht="15" customHeight="1" s="1085">
      <c r="B35" s="269" t="inlineStr">
        <is>
          <t>SPECIAL WORKS</t>
        </is>
      </c>
      <c r="C35" s="752" t="inlineStr">
        <is>
          <t>SELECT WORKS</t>
        </is>
      </c>
      <c r="D35" s="735" t="n"/>
      <c r="E35" s="1109" t="n"/>
      <c r="G35" s="749" t="n"/>
      <c r="H35" s="750" t="n"/>
      <c r="I35" s="755" t="n"/>
      <c r="J35" s="736">
        <f>IF(C35="",0,VLOOKUP(C35,CCBASE!$A$53:$C$73,2,FALSE))</f>
        <v/>
      </c>
      <c r="K35" s="737">
        <f>J35*D35</f>
        <v/>
      </c>
      <c r="L35" s="738" t="n">
        <v>0.44</v>
      </c>
      <c r="M35" s="739">
        <f>K35/(1-L35)*(1+$C$9)</f>
        <v/>
      </c>
      <c r="N35" s="737">
        <f>M35*VLOOKUP($B$9,'Base Costs'!$A$32:$B$37,2,FALSE)</f>
        <v/>
      </c>
      <c r="O35" s="740">
        <f>M35-K35</f>
        <v/>
      </c>
      <c r="S35" s="694" t="n"/>
      <c r="Y35" s="1095" t="n"/>
    </row>
    <row r="36" hidden="1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SELECT CLADDING</t>
        </is>
      </c>
      <c r="D36" s="756">
        <f>ROUNDUP($F31/1000,0)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Y36" s="1095" t="n"/>
    </row>
    <row r="37" hidden="1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hidden="1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hidden="1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S39" s="694" t="n"/>
      <c r="Y39" s="1095" t="n"/>
    </row>
    <row r="40" hidden="1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 t="n"/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hidden="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hidden="1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hidden="1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hidden="1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collapsed="1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95" t="n"/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269" t="inlineStr">
        <is>
          <t xml:space="preserve">FIRE SUPPRESSION </t>
        </is>
      </c>
      <c r="C50" s="953" t="inlineStr">
        <is>
          <t>FIRE SUPPRESSION</t>
        </is>
      </c>
      <c r="D50" s="746" t="n"/>
      <c r="E50" s="747" t="n"/>
      <c r="F50" s="748" t="n"/>
      <c r="G50" s="749" t="n"/>
      <c r="H50" s="750" t="n"/>
      <c r="I50" s="751" t="n">
        <v>1</v>
      </c>
      <c r="J50" s="736">
        <f>VLOOKUP(C50,'Base Costs'!$U$4:$V$41,2,FALSE)</f>
        <v/>
      </c>
      <c r="K50" s="737">
        <f>J50*1</f>
        <v/>
      </c>
      <c r="L50" s="738" t="n">
        <v>0.25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269" t="inlineStr">
        <is>
          <t>TANK INSTALL</t>
        </is>
      </c>
      <c r="C51" s="953" t="inlineStr">
        <is>
          <t>TANK INSTALL</t>
        </is>
      </c>
      <c r="D51" s="966" t="n">
        <v>1</v>
      </c>
      <c r="E51" s="753" t="n"/>
      <c r="F51" s="754" t="n"/>
      <c r="G51" s="749" t="n"/>
      <c r="H51" s="750" t="n"/>
      <c r="I51" s="755" t="n"/>
      <c r="J51" s="736">
        <f>VLOOKUP(C51,'Base Costs'!$U$44:$V$56,2,FALSE)</f>
        <v/>
      </c>
      <c r="K51" s="737">
        <f>J51*D51</f>
        <v/>
      </c>
      <c r="L51" s="738" t="n">
        <v>0.35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269" t="inlineStr">
        <is>
          <t>SPECIAL WORKS</t>
        </is>
      </c>
      <c r="C52" s="752" t="inlineStr">
        <is>
          <t>SELECT WORKS</t>
        </is>
      </c>
      <c r="D52" s="735" t="n"/>
      <c r="E52" s="753">
        <f>IF(C52="","",VLOOKUP(C52,CCBASE!$A$53:$D$73,4,FALSE))</f>
        <v/>
      </c>
      <c r="F52" s="754" t="n"/>
      <c r="G52" s="749" t="n"/>
      <c r="H52" s="750" t="n"/>
      <c r="I52" s="755" t="n"/>
      <c r="J52" s="736">
        <f>IF(C52="",0,VLOOKUP(C52,CCBASE!$A$53:$C$73,2,FALSE))</f>
        <v/>
      </c>
      <c r="K52" s="737">
        <f>J52*D52</f>
        <v/>
      </c>
      <c r="L52" s="738" t="n">
        <v>0.44</v>
      </c>
      <c r="M52" s="739">
        <f>K52/(1-L52)*(1+$C$9)</f>
        <v/>
      </c>
      <c r="N52" s="737">
        <f>M52*VLOOKUP($B$9,'Base Costs'!$A$32:$B$37,2,FALSE)</f>
        <v/>
      </c>
      <c r="O52" s="740">
        <f>M52-K52</f>
        <v/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SELECT CLADDING</t>
        </is>
      </c>
      <c r="D53" s="756">
        <f>ROUNDUP($F48/1000,0)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 t="n"/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95" t="n"/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269" t="inlineStr">
        <is>
          <t xml:space="preserve">FIRE SUPPRESSION </t>
        </is>
      </c>
      <c r="C67" s="953" t="inlineStr">
        <is>
          <t>FIRE SUPPRESSION</t>
        </is>
      </c>
      <c r="D67" s="746" t="n"/>
      <c r="E67" s="747" t="n"/>
      <c r="F67" s="748" t="n"/>
      <c r="G67" s="749" t="n"/>
      <c r="H67" s="750" t="n"/>
      <c r="I67" s="751" t="n">
        <v>1</v>
      </c>
      <c r="J67" s="736">
        <f>VLOOKUP(C67,'Base Costs'!$U$4:$V$41,2,FALSE)</f>
        <v/>
      </c>
      <c r="K67" s="737">
        <f>J67*1</f>
        <v/>
      </c>
      <c r="L67" s="738" t="n">
        <v>0.25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269" t="inlineStr">
        <is>
          <t>TANK INSTALL</t>
        </is>
      </c>
      <c r="C68" s="953" t="inlineStr">
        <is>
          <t>TANK INSTALL</t>
        </is>
      </c>
      <c r="D68" s="966" t="n">
        <v>1</v>
      </c>
      <c r="E68" s="753" t="n"/>
      <c r="F68" s="754" t="n"/>
      <c r="G68" s="749" t="n"/>
      <c r="H68" s="750" t="n"/>
      <c r="I68" s="755" t="n"/>
      <c r="J68" s="736">
        <f>VLOOKUP(C68,'Base Costs'!$U$44:$V$56,2,FALSE)</f>
        <v/>
      </c>
      <c r="K68" s="737">
        <f>J68*D68</f>
        <v/>
      </c>
      <c r="L68" s="738" t="n">
        <v>0.35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269" t="inlineStr">
        <is>
          <t>SPECIAL WORKS</t>
        </is>
      </c>
      <c r="C69" s="752" t="inlineStr">
        <is>
          <t>SELECT WORKS</t>
        </is>
      </c>
      <c r="D69" s="735" t="n"/>
      <c r="E69" s="753">
        <f>IF(C69="","",VLOOKUP(C69,CCBASE!$A$53:$D$73,4,FALSE))</f>
        <v/>
      </c>
      <c r="F69" s="754" t="n"/>
      <c r="G69" s="749" t="n"/>
      <c r="H69" s="750" t="n"/>
      <c r="I69" s="755" t="n"/>
      <c r="J69" s="736">
        <f>IF(C69="",0,VLOOKUP(C69,CCBASE!$A$53:$C$73,2,FALSE))</f>
        <v/>
      </c>
      <c r="K69" s="737">
        <f>J69*D69</f>
        <v/>
      </c>
      <c r="L69" s="738" t="n">
        <v>0.44</v>
      </c>
      <c r="M69" s="739">
        <f>K69/(1-L69)*(1+$C$9)</f>
        <v/>
      </c>
      <c r="N69" s="737">
        <f>M69*VLOOKUP($B$9,'Base Costs'!$A$32:$B$37,2,FALSE)</f>
        <v/>
      </c>
      <c r="O69" s="740">
        <f>M69-K69</f>
        <v/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ROUNDUP($F65/1000,0)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 t="n"/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95" t="n"/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269" t="inlineStr">
        <is>
          <t xml:space="preserve">FIRE SUPPRESSION </t>
        </is>
      </c>
      <c r="C84" s="953" t="inlineStr">
        <is>
          <t>FIRE SUPPRESSION</t>
        </is>
      </c>
      <c r="D84" s="746" t="n"/>
      <c r="E84" s="747" t="n"/>
      <c r="F84" s="748" t="n"/>
      <c r="G84" s="749" t="n"/>
      <c r="H84" s="750" t="n"/>
      <c r="I84" s="751" t="n">
        <v>1</v>
      </c>
      <c r="J84" s="736">
        <f>VLOOKUP(C84,'Base Costs'!$U$4:$V$41,2,FALSE)</f>
        <v/>
      </c>
      <c r="K84" s="737">
        <f>J84*1</f>
        <v/>
      </c>
      <c r="L84" s="738" t="n">
        <v>0.25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TANK INSTALL</t>
        </is>
      </c>
      <c r="C85" s="953" t="inlineStr">
        <is>
          <t>TANK INSTALL</t>
        </is>
      </c>
      <c r="D85" s="966" t="n">
        <v>1</v>
      </c>
      <c r="E85" s="753" t="n"/>
      <c r="F85" s="754" t="n"/>
      <c r="G85" s="749" t="n"/>
      <c r="H85" s="750" t="n"/>
      <c r="I85" s="755" t="n"/>
      <c r="J85" s="736">
        <f>VLOOKUP(C85,'Base Costs'!$U$44:$V$56,2,FALSE)</f>
        <v/>
      </c>
      <c r="K85" s="737">
        <f>J85*D85</f>
        <v/>
      </c>
      <c r="L85" s="738" t="n">
        <v>0.35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269" t="inlineStr">
        <is>
          <t>SPECIAL WORKS</t>
        </is>
      </c>
      <c r="C86" s="752" t="inlineStr">
        <is>
          <t>SELECT WORKS</t>
        </is>
      </c>
      <c r="D86" s="735" t="n"/>
      <c r="E86" s="753">
        <f>IF(C86="","",VLOOKUP(C86,CCBASE!$A$53:$D$73,4,FALSE))</f>
        <v/>
      </c>
      <c r="F86" s="754" t="n"/>
      <c r="G86" s="749" t="n"/>
      <c r="H86" s="750" t="n"/>
      <c r="I86" s="755" t="n"/>
      <c r="J86" s="736">
        <f>IF(C86="",0,VLOOKUP(C86,CCBASE!$A$53:$C$73,2,FALSE))</f>
        <v/>
      </c>
      <c r="K86" s="737">
        <f>J86*D86</f>
        <v/>
      </c>
      <c r="L86" s="738" t="n">
        <v>0.44</v>
      </c>
      <c r="M86" s="739">
        <f>K86/(1-L86)*(1+$C$9)</f>
        <v/>
      </c>
      <c r="N86" s="737">
        <f>M86*VLOOKUP($B$9,'Base Costs'!$A$32:$B$37,2,FALSE)</f>
        <v/>
      </c>
      <c r="O86" s="740">
        <f>M86-K86</f>
        <v/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ROUNDUP($F82/1000,0)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 t="n"/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IF(ISNUMBER(SEARCH("UV",HD4)),49.7,71.75)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95" t="n"/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269" t="inlineStr">
        <is>
          <t>FIRE SUPPRESSION</t>
        </is>
      </c>
      <c r="C101" s="953" t="inlineStr">
        <is>
          <t>FIRE SUPPRESSION</t>
        </is>
      </c>
      <c r="D101" s="746" t="n"/>
      <c r="E101" s="747" t="n"/>
      <c r="F101" s="748" t="n"/>
      <c r="G101" s="749" t="n"/>
      <c r="H101" s="750" t="n"/>
      <c r="I101" s="751" t="n">
        <v>1</v>
      </c>
      <c r="J101" s="736">
        <f>VLOOKUP(C101,'Base Costs'!$U$4:$V$41,2,FALSE)</f>
        <v/>
      </c>
      <c r="K101" s="737">
        <f>J101*1</f>
        <v/>
      </c>
      <c r="L101" s="738" t="n">
        <v>0.25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269" t="inlineStr">
        <is>
          <t>TANK INSTALL</t>
        </is>
      </c>
      <c r="C102" s="953" t="inlineStr">
        <is>
          <t>TANK INSTALL</t>
        </is>
      </c>
      <c r="D102" s="966" t="n">
        <v>1</v>
      </c>
      <c r="E102" s="753" t="n"/>
      <c r="F102" s="754" t="n"/>
      <c r="G102" s="749" t="n"/>
      <c r="H102" s="750" t="n"/>
      <c r="I102" s="755" t="n"/>
      <c r="J102" s="736">
        <f>VLOOKUP(C102,'Base Costs'!$U$44:$V$56,2,FALSE)</f>
        <v/>
      </c>
      <c r="K102" s="737">
        <f>J102*D102</f>
        <v/>
      </c>
      <c r="L102" s="738" t="n">
        <v>0.35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584" t="inlineStr">
        <is>
          <t>SPECIAL WORKS</t>
        </is>
      </c>
      <c r="C103" s="33" t="inlineStr">
        <is>
          <t>SELECT WORKS</t>
        </is>
      </c>
      <c r="D103" s="735" t="n"/>
      <c r="E103" s="753">
        <f>IF(C103="","",VLOOKUP(C103,CCBASE!$A$53:$D$73,4,FALSE))</f>
        <v/>
      </c>
      <c r="F103" s="754" t="n"/>
      <c r="G103" s="749" t="n"/>
      <c r="H103" s="750" t="n"/>
      <c r="I103" s="755" t="n"/>
      <c r="J103" s="736">
        <f>IF(C103="",0,VLOOKUP(C103,CCBASE!$A$53:$C$73,2,FALSE))</f>
        <v/>
      </c>
      <c r="K103" s="737">
        <f>J103*D103</f>
        <v/>
      </c>
      <c r="L103" s="738" t="n">
        <v>0.44</v>
      </c>
      <c r="M103" s="739">
        <f>K103/(1-L103)*(1+$C$9)</f>
        <v/>
      </c>
      <c r="N103" s="737">
        <f>M103*VLOOKUP($B$9,'Base Costs'!$A$32:$B$37,2,FALSE)</f>
        <v/>
      </c>
      <c r="O103" s="740">
        <f>M103-K103</f>
        <v/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ROUNDUP($F99/1000,0)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 t="n"/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IF(ISNUMBER(SEARCH("UV",HD21)),49.7,71.75)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95" t="n"/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269" t="inlineStr">
        <is>
          <t>FIRE SUPPRESSION</t>
        </is>
      </c>
      <c r="C118" s="953" t="inlineStr">
        <is>
          <t>FIRE SUPPRESSION</t>
        </is>
      </c>
      <c r="D118" s="746" t="n"/>
      <c r="E118" s="747" t="n"/>
      <c r="F118" s="748" t="n"/>
      <c r="G118" s="749" t="n"/>
      <c r="H118" s="750" t="n"/>
      <c r="I118" s="751" t="n">
        <v>1</v>
      </c>
      <c r="J118" s="736">
        <f>VLOOKUP(C118,'Base Costs'!$U$4:$V$41,2,FALSE)</f>
        <v/>
      </c>
      <c r="K118" s="737">
        <f>J118*1</f>
        <v/>
      </c>
      <c r="L118" s="738" t="n">
        <v>0.25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269" t="inlineStr">
        <is>
          <t>TANK INSTALL</t>
        </is>
      </c>
      <c r="C119" s="953" t="inlineStr">
        <is>
          <t>TANK INSTALL</t>
        </is>
      </c>
      <c r="D119" s="966" t="n">
        <v>1</v>
      </c>
      <c r="E119" s="753" t="n"/>
      <c r="F119" s="754" t="n"/>
      <c r="G119" s="749" t="n"/>
      <c r="H119" s="750" t="n"/>
      <c r="I119" s="755" t="n"/>
      <c r="J119" s="736">
        <f>VLOOKUP(C119,'Base Costs'!$U$44:$V$56,2,FALSE)</f>
        <v/>
      </c>
      <c r="K119" s="737">
        <f>J119*D119</f>
        <v/>
      </c>
      <c r="L119" s="738" t="n">
        <v>0.35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584" t="inlineStr">
        <is>
          <t>SPECIAL WORKS</t>
        </is>
      </c>
      <c r="C120" s="33" t="inlineStr">
        <is>
          <t>SELECT WORKS</t>
        </is>
      </c>
      <c r="D120" s="735" t="n"/>
      <c r="E120" s="753">
        <f>IF(C120="","",VLOOKUP(C120,CCBASE!$A$53:$D$73,4,FALSE))</f>
        <v/>
      </c>
      <c r="F120" s="754" t="n"/>
      <c r="G120" s="749" t="n"/>
      <c r="H120" s="750" t="n"/>
      <c r="I120" s="755" t="n"/>
      <c r="J120" s="736">
        <f>IF(C120="",0,VLOOKUP(C120,CCBASE!$A$53:$C$73,2,FALSE))</f>
        <v/>
      </c>
      <c r="K120" s="737">
        <f>J120*D120</f>
        <v/>
      </c>
      <c r="L120" s="738" t="n">
        <v>0.44</v>
      </c>
      <c r="M120" s="739">
        <f>K120/(1-L120)*(1+$C$9)</f>
        <v/>
      </c>
      <c r="N120" s="737">
        <f>M120*VLOOKUP($B$9,'Base Costs'!$A$32:$B$37,2,FALSE)</f>
        <v/>
      </c>
      <c r="O120" s="740">
        <f>M120-K120</f>
        <v/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ROUNDUP($F116/1000,0)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 t="n"/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95" t="n"/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850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269" t="inlineStr">
        <is>
          <t xml:space="preserve">FIRE SUPPRESSION </t>
        </is>
      </c>
      <c r="C135" s="953" t="inlineStr">
        <is>
          <t>FIRE SUPPRESSION</t>
        </is>
      </c>
      <c r="D135" s="746" t="n"/>
      <c r="E135" s="747" t="n"/>
      <c r="F135" s="748" t="n"/>
      <c r="G135" s="749" t="n"/>
      <c r="H135" s="750" t="n"/>
      <c r="I135" s="751" t="n">
        <v>1</v>
      </c>
      <c r="J135" s="736">
        <f>VLOOKUP(C135,'Base Costs'!$U$4:$V$41,2,FALSE)</f>
        <v/>
      </c>
      <c r="K135" s="737">
        <f>J135*1</f>
        <v/>
      </c>
      <c r="L135" s="738" t="n">
        <v>0.25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269" t="inlineStr">
        <is>
          <t>TANK INSTALL</t>
        </is>
      </c>
      <c r="C136" s="953" t="inlineStr">
        <is>
          <t>TANK INSTALL</t>
        </is>
      </c>
      <c r="D136" s="966" t="n">
        <v>1</v>
      </c>
      <c r="E136" s="753" t="n"/>
      <c r="F136" s="754" t="n"/>
      <c r="G136" s="749" t="n"/>
      <c r="H136" s="750" t="n"/>
      <c r="I136" s="755" t="n"/>
      <c r="J136" s="736">
        <f>VLOOKUP(C136,'Base Costs'!$U$44:$V$56,2,FALSE)</f>
        <v/>
      </c>
      <c r="K136" s="737">
        <f>J136*D136</f>
        <v/>
      </c>
      <c r="L136" s="738" t="n">
        <v>0.35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269" t="inlineStr">
        <is>
          <t>SPECIAL WORKS</t>
        </is>
      </c>
      <c r="C137" s="752" t="inlineStr">
        <is>
          <t>SELECT WORKS</t>
        </is>
      </c>
      <c r="D137" s="735" t="n"/>
      <c r="E137" s="753">
        <f>IF(C137="","",VLOOKUP(C137,CCBASE!$A$53:$D$73,4,FALSE))</f>
        <v/>
      </c>
      <c r="F137" s="754" t="n"/>
      <c r="G137" s="749" t="n"/>
      <c r="H137" s="750" t="n"/>
      <c r="I137" s="755" t="n"/>
      <c r="J137" s="736">
        <f>IF(C137="",0,VLOOKUP(C137,CCBASE!$A$53:$C$73,2,FALSE))</f>
        <v/>
      </c>
      <c r="K137" s="737">
        <f>J137*D137</f>
        <v/>
      </c>
      <c r="L137" s="738" t="n">
        <v>0.44</v>
      </c>
      <c r="M137" s="739">
        <f>K137/(1-L137)*(1+$C$9)</f>
        <v/>
      </c>
      <c r="N137" s="737">
        <f>M137*VLOOKUP($B$9,'Base Costs'!$A$32:$B$37,2,FALSE)</f>
        <v/>
      </c>
      <c r="O137" s="740">
        <f>M137-K137</f>
        <v/>
      </c>
      <c r="S137" s="694" t="n"/>
      <c r="Y137" s="1095" t="n"/>
    </row>
    <row r="138" hidden="1" outlineLevel="1" ht="15" customHeight="1" s="1085">
      <c r="A138" s="666" t="n">
        <v>289</v>
      </c>
      <c r="B138" s="731" t="inlineStr">
        <is>
          <t>WALL CLADDING</t>
        </is>
      </c>
      <c r="C138" s="752" t="inlineStr">
        <is>
          <t>SELECT CLADDING</t>
        </is>
      </c>
      <c r="D138" s="756">
        <f>ROUNDUP($F133/1000,0)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731" t="inlineStr">
        <is>
          <t>INFILL PANEL</t>
        </is>
      </c>
      <c r="C139" s="752" t="n"/>
      <c r="D139" s="742" t="inlineStr">
        <is>
          <t>m²</t>
        </is>
      </c>
      <c r="E139" s="749" t="inlineStr">
        <is>
          <t xml:space="preserve">Up to 500mm high only. </t>
        </is>
      </c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 t="n"/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IF(ISNUMBER(SEARCH("UV",HD55)),49.7,71.75)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95" t="n"/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269" t="inlineStr">
        <is>
          <t>FIRE SUPPRESSION</t>
        </is>
      </c>
      <c r="C152" s="953" t="inlineStr">
        <is>
          <t>FIRE SUPPRESSION</t>
        </is>
      </c>
      <c r="D152" s="746" t="n"/>
      <c r="E152" s="747" t="n"/>
      <c r="F152" s="748" t="n"/>
      <c r="G152" s="749" t="n"/>
      <c r="H152" s="750" t="n"/>
      <c r="I152" s="751" t="n">
        <v>1</v>
      </c>
      <c r="J152" s="736">
        <f>VLOOKUP(C152,'Base Costs'!$U$4:$V$41,2,FALSE)</f>
        <v/>
      </c>
      <c r="K152" s="737">
        <f>J152*1</f>
        <v/>
      </c>
      <c r="L152" s="738" t="n">
        <v>0.25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269" t="inlineStr">
        <is>
          <t>TANK INSTALL</t>
        </is>
      </c>
      <c r="C153" s="953" t="inlineStr">
        <is>
          <t>TANK INSTALL</t>
        </is>
      </c>
      <c r="D153" s="966" t="n">
        <v>1</v>
      </c>
      <c r="E153" s="753" t="n"/>
      <c r="F153" s="754" t="n"/>
      <c r="G153" s="749" t="n"/>
      <c r="H153" s="750" t="n"/>
      <c r="I153" s="755" t="n"/>
      <c r="J153" s="736">
        <f>VLOOKUP(C153,'Base Costs'!$U$44:$V$56,2,FALSE)</f>
        <v/>
      </c>
      <c r="K153" s="737">
        <f>J153*D153</f>
        <v/>
      </c>
      <c r="L153" s="738" t="n">
        <v>0.35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584" t="inlineStr">
        <is>
          <t>SPECIAL WORKS</t>
        </is>
      </c>
      <c r="C154" s="33" t="inlineStr">
        <is>
          <t>SELECT WORKS</t>
        </is>
      </c>
      <c r="D154" s="735" t="n"/>
      <c r="E154" s="753">
        <f>IF(C154="","",VLOOKUP(C154,CCBASE!$A$53:$D$73,4,FALSE))</f>
        <v/>
      </c>
      <c r="F154" s="754" t="n"/>
      <c r="G154" s="749" t="n"/>
      <c r="H154" s="750" t="n"/>
      <c r="I154" s="755" t="n"/>
      <c r="J154" s="736">
        <f>IF(C154="",0,VLOOKUP(C154,CCBASE!$A$53:$C$73,2,FALSE))</f>
        <v/>
      </c>
      <c r="K154" s="737">
        <f>J154*D154</f>
        <v/>
      </c>
      <c r="L154" s="738" t="n">
        <v>0.44</v>
      </c>
      <c r="M154" s="739">
        <f>K154/(1-L154)*(1+$C$9)</f>
        <v/>
      </c>
      <c r="N154" s="737">
        <f>M154*VLOOKUP($B$9,'Base Costs'!$A$32:$B$37,2,FALSE)</f>
        <v/>
      </c>
      <c r="O154" s="740">
        <f>M154-K154</f>
        <v/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ROUNDUP($F150/1000,0)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 t="n"/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IF(ISNUMBER(SEARCH("UV",HD72)),49.7,71.75)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95" t="n"/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269" t="inlineStr">
        <is>
          <t>FIRE SUPPRESSION</t>
        </is>
      </c>
      <c r="C169" s="953" t="inlineStr">
        <is>
          <t>FIRE SUPPRESSION</t>
        </is>
      </c>
      <c r="D169" s="746" t="n"/>
      <c r="E169" s="747" t="n"/>
      <c r="F169" s="748" t="n"/>
      <c r="G169" s="749" t="n"/>
      <c r="H169" s="750" t="n"/>
      <c r="I169" s="751" t="n">
        <v>1</v>
      </c>
      <c r="J169" s="736">
        <f>VLOOKUP(C169,'Base Costs'!$U$4:$V$41,2,FALSE)</f>
        <v/>
      </c>
      <c r="K169" s="737">
        <f>J169*1</f>
        <v/>
      </c>
      <c r="L169" s="738" t="n">
        <v>0.25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269" t="inlineStr">
        <is>
          <t>TANK INSTALL</t>
        </is>
      </c>
      <c r="C170" s="953" t="inlineStr">
        <is>
          <t>TANK INSTALL</t>
        </is>
      </c>
      <c r="D170" s="966" t="n">
        <v>1</v>
      </c>
      <c r="E170" s="753" t="n"/>
      <c r="F170" s="754" t="n"/>
      <c r="G170" s="749" t="n"/>
      <c r="H170" s="750" t="n"/>
      <c r="I170" s="755" t="n"/>
      <c r="J170" s="736">
        <f>VLOOKUP(C170,'Base Costs'!$U$44:$V$56,2,FALSE)</f>
        <v/>
      </c>
      <c r="K170" s="737">
        <f>J170*D170</f>
        <v/>
      </c>
      <c r="L170" s="738" t="n">
        <v>0.35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584" t="inlineStr">
        <is>
          <t>SPECIAL WORKS</t>
        </is>
      </c>
      <c r="C171" s="33" t="inlineStr">
        <is>
          <t>SELECT WORKS</t>
        </is>
      </c>
      <c r="D171" s="735" t="n"/>
      <c r="E171" s="753">
        <f>IF(C171="","",VLOOKUP(C171,CCBASE!$A$53:$D$73,4,FALSE))</f>
        <v/>
      </c>
      <c r="F171" s="754" t="n"/>
      <c r="G171" s="749" t="n"/>
      <c r="H171" s="750" t="n"/>
      <c r="I171" s="755" t="n"/>
      <c r="J171" s="736">
        <f>IF(C171="",0,VLOOKUP(C171,CCBASE!$A$53:$C$73,2,FALSE))</f>
        <v/>
      </c>
      <c r="K171" s="737">
        <f>J171*D171</f>
        <v/>
      </c>
      <c r="L171" s="738" t="n">
        <v>0.44</v>
      </c>
      <c r="M171" s="739">
        <f>K171/(1-L171)*(1+$C$9)</f>
        <v/>
      </c>
      <c r="N171" s="737">
        <f>M171*VLOOKUP($B$9,'Base Costs'!$A$32:$B$37,2,FALSE)</f>
        <v/>
      </c>
      <c r="O171" s="740">
        <f>M171-K171</f>
        <v/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ROUNDUP($F167/1000,0)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 t="n"/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10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S182" s="694" t="n"/>
    </row>
    <row r="183" ht="15" customHeight="1" s="1085">
      <c r="A183" s="666" t="n">
        <v>222</v>
      </c>
      <c r="B183" s="270" t="inlineStr">
        <is>
          <t>DELIVERY 1 x 7.5T TAIL LIFT 3200KGS</t>
        </is>
      </c>
      <c r="C183" s="774" t="n"/>
      <c r="D183" s="775" t="inlineStr">
        <is>
          <t>SELECT LOCATION…</t>
        </is>
      </c>
      <c r="E183" s="1109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/>
      <c r="D184" s="775" t="inlineStr">
        <is>
          <t>PLANT SELECTION (weekly)</t>
        </is>
      </c>
      <c r="E184" s="1126" t="inlineStr">
        <is>
          <t>OR 2.5% OF TOTAL CONTRACT VALUE</t>
        </is>
      </c>
      <c r="G184" s="748" t="n"/>
      <c r="H184" s="748" t="n"/>
      <c r="I184" s="748" t="n"/>
      <c r="J184" s="776">
        <f>VLOOKUP(D184,'Base Costs'!$A$4:$B$16,2,FALSE)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955" t="inlineStr">
        <is>
          <t xml:space="preserve">PLANT HIRE </t>
        </is>
      </c>
      <c r="C185" s="961" t="n">
        <v>1</v>
      </c>
      <c r="D185" s="954" t="inlineStr">
        <is>
          <t>PECO LIFT</t>
        </is>
      </c>
      <c r="E185" s="1123" t="inlineStr">
        <is>
          <t>OR 2.5% OF TOTAL CONTRACT VALUE</t>
        </is>
      </c>
      <c r="G185" s="748" t="n"/>
      <c r="H185" s="748" t="n"/>
      <c r="I185" s="748" t="n"/>
      <c r="J185" s="776">
        <f>VLOOKUP(D185,'Base Costs'!$A$4:$B$16,2,FALSE)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P185" s="1070" t="inlineStr">
        <is>
          <t>ALWAYS INCLUDE</t>
        </is>
      </c>
      <c r="S185" s="694" t="n"/>
    </row>
    <row r="186" ht="15" customHeight="1" s="1085">
      <c r="A186" s="666" t="n">
        <v>222</v>
      </c>
      <c r="B186" s="945" t="inlineStr">
        <is>
          <t>ANSUL DELIVERY</t>
        </is>
      </c>
      <c r="C186" s="962" t="n">
        <v>0.5</v>
      </c>
      <c r="D186" s="954" t="inlineStr">
        <is>
          <t>SELECT LOCATION…</t>
        </is>
      </c>
      <c r="E186" s="1125" t="inlineStr">
        <is>
          <t>0.5 Per Area/System</t>
        </is>
      </c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P186" s="1070" t="inlineStr">
        <is>
          <t>ALWAYS INCLUDE</t>
        </is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550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 t="n"/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955" t="inlineStr">
        <is>
          <t xml:space="preserve">INDUCTION </t>
        </is>
      </c>
      <c r="C189" s="777" t="n">
        <v>1</v>
      </c>
      <c r="D189" s="1122" t="inlineStr">
        <is>
          <t>PER PROJECT</t>
        </is>
      </c>
      <c r="G189" s="30" t="n"/>
      <c r="H189" s="30" t="n"/>
      <c r="I189" s="30" t="n"/>
      <c r="J189" s="776" t="n">
        <v>350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P189" s="1070" t="inlineStr">
        <is>
          <t>ALWAYS INCLUDE</t>
        </is>
      </c>
      <c r="S189" s="694" t="n"/>
    </row>
    <row r="190" ht="15" customHeight="1" s="1085">
      <c r="A190" s="666" t="n">
        <v>400</v>
      </c>
      <c r="B190" s="955" t="inlineStr">
        <is>
          <t>LIVE SITE TEST</t>
        </is>
      </c>
      <c r="C190" s="963" t="n">
        <v>1</v>
      </c>
      <c r="D190" s="1122" t="inlineStr">
        <is>
          <t>INCLUDE FOR ANSUL BUT SHOWN AS A LINE ITEM FOR AMEREX</t>
        </is>
      </c>
      <c r="G190" s="1121" t="inlineStr">
        <is>
          <t>JEM's ADHOC DAY RATE</t>
        </is>
      </c>
      <c r="J190" s="776" t="n">
        <v>550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P190" s="1070" t="inlineStr">
        <is>
          <t>ALWAYS INCLUDE</t>
        </is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550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24" t="inlineStr">
        <is>
          <t>ONE Engineer,  2 days per Pollustop,1 days per 3no UV &amp; W/W canopies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9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09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20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1">
    <mergeCell ref="B203:O203"/>
    <mergeCell ref="H91:I91"/>
    <mergeCell ref="G190:I190"/>
    <mergeCell ref="E121:F121"/>
    <mergeCell ref="D189:F189"/>
    <mergeCell ref="H38:I38"/>
    <mergeCell ref="H125:I125"/>
    <mergeCell ref="D194:F194"/>
    <mergeCell ref="G186:I186"/>
    <mergeCell ref="B200:O200"/>
    <mergeCell ref="C5:D5"/>
    <mergeCell ref="H55:I55"/>
    <mergeCell ref="E185:F185"/>
    <mergeCell ref="B182:G182"/>
    <mergeCell ref="B202:O202"/>
    <mergeCell ref="D197:F197"/>
    <mergeCell ref="H40:I40"/>
    <mergeCell ref="H74:I74"/>
    <mergeCell ref="H176:I176"/>
    <mergeCell ref="H56:I56"/>
    <mergeCell ref="E35:F35"/>
    <mergeCell ref="H39:I39"/>
    <mergeCell ref="G9:J9"/>
    <mergeCell ref="H21:I21"/>
    <mergeCell ref="E87:F87"/>
    <mergeCell ref="H73:I73"/>
    <mergeCell ref="H157:I157"/>
    <mergeCell ref="D195:E195"/>
    <mergeCell ref="E138:F138"/>
    <mergeCell ref="D193:F193"/>
    <mergeCell ref="B204:O204"/>
    <mergeCell ref="E19:F19"/>
    <mergeCell ref="H142:I142"/>
    <mergeCell ref="E155:F155"/>
    <mergeCell ref="H89:I89"/>
    <mergeCell ref="H123:I123"/>
    <mergeCell ref="B1:C1"/>
    <mergeCell ref="E9:F9"/>
    <mergeCell ref="H108:I108"/>
    <mergeCell ref="E186:F186"/>
    <mergeCell ref="H175:I175"/>
    <mergeCell ref="G183:I183"/>
    <mergeCell ref="E104:F104"/>
    <mergeCell ref="H72:I72"/>
    <mergeCell ref="H90:I90"/>
    <mergeCell ref="H174:I174"/>
    <mergeCell ref="B205:O205"/>
    <mergeCell ref="G7:J7"/>
    <mergeCell ref="E36:F36"/>
    <mergeCell ref="H57:I57"/>
    <mergeCell ref="H159:I159"/>
    <mergeCell ref="H22:I22"/>
    <mergeCell ref="E70:F70"/>
    <mergeCell ref="H140:I140"/>
    <mergeCell ref="H158:I158"/>
    <mergeCell ref="D196:E196"/>
    <mergeCell ref="D190:F190"/>
    <mergeCell ref="E172:F172"/>
    <mergeCell ref="C7:D7"/>
    <mergeCell ref="G3:J3"/>
    <mergeCell ref="H124:I124"/>
    <mergeCell ref="E183:F183"/>
    <mergeCell ref="B201:O201"/>
    <mergeCell ref="E184:F184"/>
    <mergeCell ref="H23:I23"/>
    <mergeCell ref="E53:F53"/>
    <mergeCell ref="H141:I141"/>
    <mergeCell ref="H107:I107"/>
    <mergeCell ref="C3:D3"/>
    <mergeCell ref="G5:J5"/>
    <mergeCell ref="H106:I106"/>
  </mergeCells>
  <conditionalFormatting sqref="B9">
    <cfRule type="containsText" priority="665" operator="containsText" dxfId="680" text="SELECT">
      <formula>NOT(ISERROR(SEARCH("SELECT",B9)))</formula>
    </cfRule>
    <cfRule type="expression" priority="666" dxfId="680">
      <formula>B9="CURRENCY"</formula>
    </cfRule>
  </conditionalFormatting>
  <conditionalFormatting sqref="B11">
    <cfRule type="expression" priority="627" dxfId="637">
      <formula>$B11&lt;&gt;""</formula>
    </cfRule>
  </conditionalFormatting>
  <conditionalFormatting sqref="B14:B23">
    <cfRule type="expression" priority="619" dxfId="633">
      <formula>$J14&gt;0</formula>
    </cfRule>
  </conditionalFormatting>
  <conditionalFormatting sqref="B24">
    <cfRule type="expression" priority="616" dxfId="633">
      <formula>ISNUMBER(SEARCH("UV",$D14))</formula>
    </cfRule>
    <cfRule type="expression" priority="617" dxfId="358">
      <formula>($D14="CANOPY TYPE")</formula>
    </cfRule>
  </conditionalFormatting>
  <conditionalFormatting sqref="B25:B27">
    <cfRule type="expression" priority="437" dxfId="633">
      <formula>$J25&gt;0</formula>
    </cfRule>
  </conditionalFormatting>
  <conditionalFormatting sqref="B28">
    <cfRule type="expression" priority="625" dxfId="637">
      <formula>$B28&lt;&gt;""</formula>
    </cfRule>
  </conditionalFormatting>
  <conditionalFormatting sqref="B31:B40">
    <cfRule type="expression" priority="263" dxfId="633">
      <formula>$J31&gt;0</formula>
    </cfRule>
  </conditionalFormatting>
  <conditionalFormatting sqref="B41">
    <cfRule type="expression" priority="585" dxfId="633">
      <formula>ISNUMBER(SEARCH("UV",$D31))</formula>
    </cfRule>
    <cfRule type="expression" priority="586" dxfId="358">
      <formula>($D31="CANOPY TYPE")</formula>
    </cfRule>
  </conditionalFormatting>
  <conditionalFormatting sqref="B42:B44">
    <cfRule type="expression" priority="587" dxfId="633">
      <formula>$J42&gt;0</formula>
    </cfRule>
  </conditionalFormatting>
  <conditionalFormatting sqref="B45">
    <cfRule type="expression" priority="624" dxfId="637">
      <formula>$B45&lt;&gt;""</formula>
    </cfRule>
  </conditionalFormatting>
  <conditionalFormatting sqref="B48:B57">
    <cfRule type="expression" priority="252" dxfId="633">
      <formula>$J48&gt;0</formula>
    </cfRule>
  </conditionalFormatting>
  <conditionalFormatting sqref="B58">
    <cfRule type="expression" priority="556" dxfId="633">
      <formula>ISNUMBER(SEARCH("UV",$D48))</formula>
    </cfRule>
    <cfRule type="expression" priority="557" dxfId="358">
      <formula>($D48="CANOPY TYPE")</formula>
    </cfRule>
  </conditionalFormatting>
  <conditionalFormatting sqref="B59:B61">
    <cfRule type="expression" priority="436" dxfId="633">
      <formula>$J59&gt;0</formula>
    </cfRule>
  </conditionalFormatting>
  <conditionalFormatting sqref="B62">
    <cfRule type="expression" priority="623" dxfId="637">
      <formula>$B62&lt;&gt;""</formula>
    </cfRule>
  </conditionalFormatting>
  <conditionalFormatting sqref="B65:B74">
    <cfRule type="expression" priority="241" dxfId="633">
      <formula>$J65&gt;0</formula>
    </cfRule>
  </conditionalFormatting>
  <conditionalFormatting sqref="B75">
    <cfRule type="expression" priority="526" dxfId="633">
      <formula>ISNUMBER(SEARCH("UV",$D65))</formula>
    </cfRule>
    <cfRule type="expression" priority="527" dxfId="358">
      <formula>($D65="CANOPY TYPE")</formula>
    </cfRule>
  </conditionalFormatting>
  <conditionalFormatting sqref="B76:B78">
    <cfRule type="expression" priority="435" dxfId="633">
      <formula>$J76&gt;0</formula>
    </cfRule>
  </conditionalFormatting>
  <conditionalFormatting sqref="B79">
    <cfRule type="expression" priority="622" dxfId="637">
      <formula>$B79&lt;&gt;""</formula>
    </cfRule>
  </conditionalFormatting>
  <conditionalFormatting sqref="B82:B91">
    <cfRule type="expression" priority="230" dxfId="633">
      <formula>$J82&gt;0</formula>
    </cfRule>
  </conditionalFormatting>
  <conditionalFormatting sqref="B92">
    <cfRule type="expression" priority="495" dxfId="633">
      <formula>ISNUMBER(SEARCH("UV",$D82))</formula>
    </cfRule>
    <cfRule type="expression" priority="496" dxfId="358">
      <formula>($D82="CANOPY TYPE")</formula>
    </cfRule>
  </conditionalFormatting>
  <conditionalFormatting sqref="B93:B95">
    <cfRule type="expression" priority="434" dxfId="633">
      <formula>$J93&gt;0</formula>
    </cfRule>
  </conditionalFormatting>
  <conditionalFormatting sqref="B96">
    <cfRule type="expression" priority="621" dxfId="637">
      <formula>$B96&lt;&gt;""</formula>
    </cfRule>
  </conditionalFormatting>
  <conditionalFormatting sqref="B99:B108">
    <cfRule type="expression" priority="219" dxfId="633">
      <formula>$J99&gt;0</formula>
    </cfRule>
  </conditionalFormatting>
  <conditionalFormatting sqref="B109">
    <cfRule type="expression" priority="465" dxfId="633">
      <formula>ISNUMBER(SEARCH("UV",$D99))</formula>
    </cfRule>
    <cfRule type="expression" priority="466" dxfId="358">
      <formula>($D99="CANOPY TYPE")</formula>
    </cfRule>
  </conditionalFormatting>
  <conditionalFormatting sqref="B110:B112 B127:B129 B161:B163 B178:B180">
    <cfRule type="expression" priority="433" dxfId="633">
      <formula>$J110&gt;0</formula>
    </cfRule>
  </conditionalFormatting>
  <conditionalFormatting sqref="B113">
    <cfRule type="expression" priority="325" dxfId="637">
      <formula>$B113&lt;&gt;""</formula>
    </cfRule>
  </conditionalFormatting>
  <conditionalFormatting sqref="B116:B125">
    <cfRule type="expression" priority="208" dxfId="633">
      <formula>$J116&gt;0</formula>
    </cfRule>
  </conditionalFormatting>
  <conditionalFormatting sqref="B126">
    <cfRule type="expression" priority="298" dxfId="633">
      <formula>ISNUMBER(SEARCH("UV",$D116))</formula>
    </cfRule>
    <cfRule type="expression" priority="299" dxfId="358">
      <formula>($D116="CANOPY TYPE")</formula>
    </cfRule>
  </conditionalFormatting>
  <conditionalFormatting sqref="B130">
    <cfRule type="expression" priority="189" dxfId="637">
      <formula>$B130&lt;&gt;""</formula>
    </cfRule>
  </conditionalFormatting>
  <conditionalFormatting sqref="B133:B142">
    <cfRule type="expression" priority="21" dxfId="633">
      <formula>$J133&gt;0</formula>
    </cfRule>
  </conditionalFormatting>
  <conditionalFormatting sqref="B143">
    <cfRule type="expression" priority="159" dxfId="633">
      <formula>ISNUMBER(SEARCH("UV",$D133))</formula>
    </cfRule>
    <cfRule type="expression" priority="160" dxfId="358">
      <formula>($D133="CANOPY TYPE")</formula>
    </cfRule>
  </conditionalFormatting>
  <conditionalFormatting sqref="B144:B146">
    <cfRule type="expression" priority="118" dxfId="633">
      <formula>$J144&gt;0</formula>
    </cfRule>
  </conditionalFormatting>
  <conditionalFormatting sqref="B147">
    <cfRule type="expression" priority="188" dxfId="637">
      <formula>$B147&lt;&gt;""</formula>
    </cfRule>
  </conditionalFormatting>
  <conditionalFormatting sqref="B150:B159">
    <cfRule type="expression" priority="10" dxfId="633">
      <formula>$J150&gt;0</formula>
    </cfRule>
  </conditionalFormatting>
  <conditionalFormatting sqref="B160">
    <cfRule type="expression" priority="130" dxfId="633">
      <formula>ISNUMBER(SEARCH("UV",$D150))</formula>
    </cfRule>
    <cfRule type="expression" priority="131" dxfId="358">
      <formula>($D150="CANOPY TYPE")</formula>
    </cfRule>
  </conditionalFormatting>
  <conditionalFormatting sqref="B164">
    <cfRule type="expression" priority="81" dxfId="637">
      <formula>$B164&lt;&gt;""</formula>
    </cfRule>
  </conditionalFormatting>
  <conditionalFormatting sqref="B167:B176">
    <cfRule type="expression" priority="5" dxfId="633">
      <formula>$J167&gt;0</formula>
    </cfRule>
  </conditionalFormatting>
  <conditionalFormatting sqref="B177">
    <cfRule type="expression" priority="54" dxfId="633">
      <formula>ISNUMBER(SEARCH("UV",$D167))</formula>
    </cfRule>
    <cfRule type="expression" priority="55" dxfId="358">
      <formula>($D167="CANOPY TYPE")</formula>
    </cfRule>
  </conditionalFormatting>
  <conditionalFormatting sqref="B183:B197">
    <cfRule type="expression" priority="618" dxfId="633">
      <formula>$C183&gt;0</formula>
    </cfRule>
  </conditionalFormatting>
  <conditionalFormatting sqref="C14">
    <cfRule type="containsText" priority="423" operator="containsText" dxfId="204" text="CONFIG">
      <formula>NOT(ISERROR(SEARCH("CONFIG",C14)))</formula>
    </cfRule>
  </conditionalFormatting>
  <conditionalFormatting sqref="C15">
    <cfRule type="containsText" priority="428" operator="containsText" dxfId="561" text="LIGHT SELECTION">
      <formula>NOT(ISERROR(SEARCH("LIGHT SELECTION",C15)))</formula>
    </cfRule>
  </conditionalFormatting>
  <conditionalFormatting sqref="C16:C17">
    <cfRule type="containsText" priority="674" operator="containsText" dxfId="561" text="ANSUL SELECTION">
      <formula>NOT(ISERROR(SEARCH("ANSUL SELECTION",C16)))</formula>
    </cfRule>
  </conditionalFormatting>
  <conditionalFormatting sqref="C20:C21">
    <cfRule type="cellIs" priority="671" operator="lessThan" dxfId="561">
      <formula>1</formula>
    </cfRule>
  </conditionalFormatting>
  <conditionalFormatting sqref="C22:C23">
    <cfRule type="expression" priority="403" dxfId="383">
      <formula>D22="WW PODS"</formula>
    </cfRule>
  </conditionalFormatting>
  <conditionalFormatting sqref="C24">
    <cfRule type="expression" priority="689" dxfId="559">
      <formula>ISNUMBER(SEARCH("UV",D14))</formula>
    </cfRule>
  </conditionalFormatting>
  <conditionalFormatting sqref="C25">
    <cfRule type="expression" priority="651" dxfId="472">
      <formula>(ISNUMBER(SEARCH("CMW",D14)))=TRUE</formula>
    </cfRule>
  </conditionalFormatting>
  <conditionalFormatting sqref="C26">
    <cfRule type="expression" priority="650" dxfId="472">
      <formula>(ISNUMBER(SEARCH("CMW",D14)))=TRUE</formula>
    </cfRule>
  </conditionalFormatting>
  <conditionalFormatting sqref="C27">
    <cfRule type="expression" priority="620" dxfId="472">
      <formula>(ISNUMBER(SEARCH("CMW",$D14)))=TRUE</formula>
    </cfRule>
  </conditionalFormatting>
  <conditionalFormatting sqref="C31">
    <cfRule type="containsText" priority="595" operator="containsText" dxfId="204" text="CONFIG">
      <formula>NOT(ISERROR(SEARCH("CONFIG",C31)))</formula>
    </cfRule>
  </conditionalFormatting>
  <conditionalFormatting sqref="C32">
    <cfRule type="containsText" priority="430" operator="containsText" dxfId="561" text="LIGHT SELECTION">
      <formula>NOT(ISERROR(SEARCH("LIGHT SELECTION",C32)))</formula>
    </cfRule>
  </conditionalFormatting>
  <conditionalFormatting sqref="C33:C34">
    <cfRule type="containsText" priority="271" operator="containsText" dxfId="561" text="ANSUL SELECTION">
      <formula>NOT(ISERROR(SEARCH("ANSUL SELECTION",C33)))</formula>
    </cfRule>
  </conditionalFormatting>
  <conditionalFormatting sqref="C37:C38">
    <cfRule type="cellIs" priority="594" operator="lessThan" dxfId="561">
      <formula>1</formula>
    </cfRule>
  </conditionalFormatting>
  <conditionalFormatting sqref="C39:C40">
    <cfRule type="expression" priority="388" dxfId="383">
      <formula>D39="WW PODS"</formula>
    </cfRule>
  </conditionalFormatting>
  <conditionalFormatting sqref="C41">
    <cfRule type="expression" priority="609" dxfId="559">
      <formula>ISNUMBER(SEARCH("UV",D31))</formula>
    </cfRule>
  </conditionalFormatting>
  <conditionalFormatting sqref="C42">
    <cfRule type="expression" priority="592" dxfId="472">
      <formula>(ISNUMBER(SEARCH("CMW",D31)))=TRUE</formula>
    </cfRule>
  </conditionalFormatting>
  <conditionalFormatting sqref="C43">
    <cfRule type="expression" priority="462" dxfId="472">
      <formula>(ISNUMBER(SEARCH("CMW",D31)))=TRUE</formula>
    </cfRule>
  </conditionalFormatting>
  <conditionalFormatting sqref="C44">
    <cfRule type="expression" priority="588" dxfId="472">
      <formula>(ISNUMBER(SEARCH("CMW",$D31)))=TRUE</formula>
    </cfRule>
  </conditionalFormatting>
  <conditionalFormatting sqref="C48">
    <cfRule type="containsText" priority="565" operator="containsText" dxfId="204" text="CONFIG">
      <formula>NOT(ISERROR(SEARCH("CONFIG",C48)))</formula>
    </cfRule>
  </conditionalFormatting>
  <conditionalFormatting sqref="C49">
    <cfRule type="containsText" priority="427" operator="containsText" dxfId="561" text="LIGHT SELECTION">
      <formula>NOT(ISERROR(SEARCH("LIGHT SELECTION",C49)))</formula>
    </cfRule>
  </conditionalFormatting>
  <conditionalFormatting sqref="C50:C51">
    <cfRule type="containsText" priority="260" operator="containsText" dxfId="561" text="ANSUL SELECTION">
      <formula>NOT(ISERROR(SEARCH("ANSUL SELECTION",C50)))</formula>
    </cfRule>
  </conditionalFormatting>
  <conditionalFormatting sqref="C54:C55">
    <cfRule type="cellIs" priority="564" operator="lessThan" dxfId="561">
      <formula>1</formula>
    </cfRule>
  </conditionalFormatting>
  <conditionalFormatting sqref="C56:C57">
    <cfRule type="expression" priority="373" dxfId="383">
      <formula>D56="WW PODS"</formula>
    </cfRule>
  </conditionalFormatting>
  <conditionalFormatting sqref="C58">
    <cfRule type="expression" priority="578" dxfId="559">
      <formula>ISNUMBER(SEARCH("UV",D48))</formula>
    </cfRule>
  </conditionalFormatting>
  <conditionalFormatting sqref="C59">
    <cfRule type="expression" priority="562" dxfId="472">
      <formula>(ISNUMBER(SEARCH("CMW",D48)))=TRUE</formula>
    </cfRule>
  </conditionalFormatting>
  <conditionalFormatting sqref="C60">
    <cfRule type="expression" priority="461" dxfId="472">
      <formula>(ISNUMBER(SEARCH("CMW",D48)))=TRUE</formula>
    </cfRule>
  </conditionalFormatting>
  <conditionalFormatting sqref="C61">
    <cfRule type="expression" priority="558" dxfId="472">
      <formula>(ISNUMBER(SEARCH("CMW",$D48)))=TRUE</formula>
    </cfRule>
  </conditionalFormatting>
  <conditionalFormatting sqref="C65">
    <cfRule type="containsText" priority="536" operator="containsText" dxfId="204" text="CONFIG">
      <formula>NOT(ISERROR(SEARCH("CONFIG",C65)))</formula>
    </cfRule>
  </conditionalFormatting>
  <conditionalFormatting sqref="C66">
    <cfRule type="containsText" priority="426" operator="containsText" dxfId="561" text="LIGHT SELECTION">
      <formula>NOT(ISERROR(SEARCH("LIGHT SELECTION",C66)))</formula>
    </cfRule>
  </conditionalFormatting>
  <conditionalFormatting sqref="C67:C68">
    <cfRule type="containsText" priority="249" operator="containsText" dxfId="561" text="ANSUL SELECTION">
      <formula>NOT(ISERROR(SEARCH("ANSUL SELECTION",C67)))</formula>
    </cfRule>
  </conditionalFormatting>
  <conditionalFormatting sqref="C71:C72">
    <cfRule type="cellIs" priority="535" operator="lessThan" dxfId="561">
      <formula>1</formula>
    </cfRule>
  </conditionalFormatting>
  <conditionalFormatting sqref="C73:C74">
    <cfRule type="expression" priority="358" dxfId="383">
      <formula>D73="WW PODS"</formula>
    </cfRule>
  </conditionalFormatting>
  <conditionalFormatting sqref="C75">
    <cfRule type="expression" priority="549" dxfId="559">
      <formula>ISNUMBER(SEARCH("UV",D65))</formula>
    </cfRule>
  </conditionalFormatting>
  <conditionalFormatting sqref="C76">
    <cfRule type="expression" priority="532" dxfId="472">
      <formula>(ISNUMBER(SEARCH("CMW",D65)))=TRUE</formula>
    </cfRule>
  </conditionalFormatting>
  <conditionalFormatting sqref="C77">
    <cfRule type="expression" priority="460" dxfId="472">
      <formula>(ISNUMBER(SEARCH("CMW",D65)))=TRUE</formula>
    </cfRule>
  </conditionalFormatting>
  <conditionalFormatting sqref="C78">
    <cfRule type="expression" priority="528" dxfId="472">
      <formula>(ISNUMBER(SEARCH("CMW",$D65)))=TRUE</formula>
    </cfRule>
  </conditionalFormatting>
  <conditionalFormatting sqref="C82">
    <cfRule type="containsText" priority="505" operator="containsText" dxfId="204" text="CONFIG">
      <formula>NOT(ISERROR(SEARCH("CONFIG",C82)))</formula>
    </cfRule>
  </conditionalFormatting>
  <conditionalFormatting sqref="C83">
    <cfRule type="containsText" priority="425" operator="containsText" dxfId="561" text="LIGHT SELECTION">
      <formula>NOT(ISERROR(SEARCH("LIGHT SELECTION",C83)))</formula>
    </cfRule>
  </conditionalFormatting>
  <conditionalFormatting sqref="C84:C85">
    <cfRule type="containsText" priority="238" operator="containsText" dxfId="561" text="ANSUL SELECTION">
      <formula>NOT(ISERROR(SEARCH("ANSUL SELECTION",C84)))</formula>
    </cfRule>
  </conditionalFormatting>
  <conditionalFormatting sqref="C88:C89">
    <cfRule type="cellIs" priority="504" operator="lessThan" dxfId="561">
      <formula>1</formula>
    </cfRule>
  </conditionalFormatting>
  <conditionalFormatting sqref="C90:C91">
    <cfRule type="expression" priority="343" dxfId="383">
      <formula>D90="WW PODS"</formula>
    </cfRule>
  </conditionalFormatting>
  <conditionalFormatting sqref="C92">
    <cfRule type="expression" priority="519" dxfId="559">
      <formula>ISNUMBER(SEARCH("UV",D82))</formula>
    </cfRule>
  </conditionalFormatting>
  <conditionalFormatting sqref="C93">
    <cfRule type="expression" priority="501" dxfId="472">
      <formula>(ISNUMBER(SEARCH("CMW",D82)))=TRUE</formula>
    </cfRule>
  </conditionalFormatting>
  <conditionalFormatting sqref="C94">
    <cfRule type="expression" priority="459" dxfId="472">
      <formula>(ISNUMBER(SEARCH("CMW",D82)))=TRUE</formula>
    </cfRule>
  </conditionalFormatting>
  <conditionalFormatting sqref="C95">
    <cfRule type="expression" priority="497" dxfId="472">
      <formula>(ISNUMBER(SEARCH("CMW",$D82)))=TRUE</formula>
    </cfRule>
  </conditionalFormatting>
  <conditionalFormatting sqref="C99">
    <cfRule type="containsText" priority="474" operator="containsText" dxfId="204" text="CONFIG">
      <formula>NOT(ISERROR(SEARCH("CONFIG",C99)))</formula>
    </cfRule>
  </conditionalFormatting>
  <conditionalFormatting sqref="C100">
    <cfRule type="containsText" priority="424" operator="containsText" dxfId="561" text="LIGHT SELECTION">
      <formula>NOT(ISERROR(SEARCH("LIGHT SELECTION",C100)))</formula>
    </cfRule>
  </conditionalFormatting>
  <conditionalFormatting sqref="C101:C102">
    <cfRule type="containsText" priority="227" operator="containsText" dxfId="561" text="ANSUL SELECTION">
      <formula>NOT(ISERROR(SEARCH("ANSUL SELECTION",C101)))</formula>
    </cfRule>
  </conditionalFormatting>
  <conditionalFormatting sqref="C105:C106">
    <cfRule type="cellIs" priority="473" operator="lessThan" dxfId="561">
      <formula>1</formula>
    </cfRule>
  </conditionalFormatting>
  <conditionalFormatting sqref="C107:C108">
    <cfRule type="expression" priority="328" dxfId="383">
      <formula>D107="WW PODS"</formula>
    </cfRule>
  </conditionalFormatting>
  <conditionalFormatting sqref="C109">
    <cfRule type="expression" priority="488" dxfId="559">
      <formula>ISNUMBER(SEARCH("UV",D99))</formula>
    </cfRule>
  </conditionalFormatting>
  <conditionalFormatting sqref="C110">
    <cfRule type="expression" priority="471" dxfId="472">
      <formula>(ISNUMBER(SEARCH("CMW",D99)))=TRUE</formula>
    </cfRule>
  </conditionalFormatting>
  <conditionalFormatting sqref="C111">
    <cfRule type="expression" priority="458" dxfId="472">
      <formula>(ISNUMBER(SEARCH("CMW",D99)))=TRUE</formula>
    </cfRule>
  </conditionalFormatting>
  <conditionalFormatting sqref="C112 C129 C163 C180">
    <cfRule type="expression" priority="467" dxfId="472">
      <formula>(ISNUMBER(SEARCH("CMW",$D99)))=TRUE</formula>
    </cfRule>
  </conditionalFormatting>
  <conditionalFormatting sqref="C116">
    <cfRule type="containsText" priority="306" operator="containsText" dxfId="204" text="CONFIG">
      <formula>NOT(ISERROR(SEARCH("CONFIG",C116)))</formula>
    </cfRule>
  </conditionalFormatting>
  <conditionalFormatting sqref="C117">
    <cfRule type="containsText" priority="291" operator="containsText" dxfId="561" text="LIGHT SELECTION">
      <formula>NOT(ISERROR(SEARCH("LIGHT SELECTION",C117)))</formula>
    </cfRule>
  </conditionalFormatting>
  <conditionalFormatting sqref="C118:C119">
    <cfRule type="containsText" priority="216" operator="containsText" dxfId="561" text="ANSUL SELECTION">
      <formula>NOT(ISERROR(SEARCH("ANSUL SELECTION",C118)))</formula>
    </cfRule>
  </conditionalFormatting>
  <conditionalFormatting sqref="C122:C123">
    <cfRule type="cellIs" priority="305" operator="lessThan" dxfId="561">
      <formula>1</formula>
    </cfRule>
  </conditionalFormatting>
  <conditionalFormatting sqref="C124:C125">
    <cfRule type="expression" priority="275" dxfId="383">
      <formula>D124="WW PODS"</formula>
    </cfRule>
  </conditionalFormatting>
  <conditionalFormatting sqref="C126">
    <cfRule type="expression" priority="320" dxfId="559">
      <formula>ISNUMBER(SEARCH("UV",D116))</formula>
    </cfRule>
  </conditionalFormatting>
  <conditionalFormatting sqref="C127">
    <cfRule type="expression" priority="303" dxfId="472">
      <formula>(ISNUMBER(SEARCH("CMW",D116)))=TRUE</formula>
    </cfRule>
  </conditionalFormatting>
  <conditionalFormatting sqref="C128">
    <cfRule type="expression" priority="296" dxfId="472">
      <formula>(ISNUMBER(SEARCH("CMW",D116)))=TRUE</formula>
    </cfRule>
  </conditionalFormatting>
  <conditionalFormatting sqref="C133">
    <cfRule type="containsText" priority="169" operator="containsText" dxfId="204" text="CONFIG">
      <formula>NOT(ISERROR(SEARCH("CONFIG",C133)))</formula>
    </cfRule>
  </conditionalFormatting>
  <conditionalFormatting sqref="C134">
    <cfRule type="containsText" priority="117" operator="containsText" dxfId="561" text="LIGHT SELECTION">
      <formula>NOT(ISERROR(SEARCH("LIGHT SELECTION",C134)))</formula>
    </cfRule>
  </conditionalFormatting>
  <conditionalFormatting sqref="C135:C136">
    <cfRule type="containsText" priority="29" operator="containsText" dxfId="561" text="ANSUL SELECTION">
      <formula>NOT(ISERROR(SEARCH("ANSUL SELECTION",C135)))</formula>
    </cfRule>
  </conditionalFormatting>
  <conditionalFormatting sqref="C139:C140">
    <cfRule type="cellIs" priority="168" operator="lessThan" dxfId="561">
      <formula>1</formula>
    </cfRule>
  </conditionalFormatting>
  <conditionalFormatting sqref="C141:C142">
    <cfRule type="expression" priority="99" dxfId="383">
      <formula>D141="WW PODS"</formula>
    </cfRule>
  </conditionalFormatting>
  <conditionalFormatting sqref="C143">
    <cfRule type="expression" priority="183" dxfId="559">
      <formula>ISNUMBER(SEARCH("UV",D133))</formula>
    </cfRule>
  </conditionalFormatting>
  <conditionalFormatting sqref="C144">
    <cfRule type="expression" priority="165" dxfId="472">
      <formula>(ISNUMBER(SEARCH("CMW",D133)))=TRUE</formula>
    </cfRule>
  </conditionalFormatting>
  <conditionalFormatting sqref="C145">
    <cfRule type="expression" priority="128" dxfId="472">
      <formula>(ISNUMBER(SEARCH("CMW",D133)))=TRUE</formula>
    </cfRule>
  </conditionalFormatting>
  <conditionalFormatting sqref="C146">
    <cfRule type="expression" priority="161" dxfId="472">
      <formula>(ISNUMBER(SEARCH("CMW",$D133)))=TRUE</formula>
    </cfRule>
  </conditionalFormatting>
  <conditionalFormatting sqref="C150">
    <cfRule type="containsText" priority="138" operator="containsText" dxfId="204" text="CONFIG">
      <formula>NOT(ISERROR(SEARCH("CONFIG",C150)))</formula>
    </cfRule>
  </conditionalFormatting>
  <conditionalFormatting sqref="C151">
    <cfRule type="containsText" priority="116" operator="containsText" dxfId="561" text="LIGHT SELECTION">
      <formula>NOT(ISERROR(SEARCH("LIGHT SELECTION",C151)))</formula>
    </cfRule>
  </conditionalFormatting>
  <conditionalFormatting sqref="C152:C153">
    <cfRule type="containsText" priority="18" operator="containsText" dxfId="561" text="ANSUL SELECTION">
      <formula>NOT(ISERROR(SEARCH("ANSUL SELECTION",C152)))</formula>
    </cfRule>
  </conditionalFormatting>
  <conditionalFormatting sqref="C156:C157">
    <cfRule type="cellIs" priority="137" operator="lessThan" dxfId="561">
      <formula>1</formula>
    </cfRule>
  </conditionalFormatting>
  <conditionalFormatting sqref="C158:C159">
    <cfRule type="expression" priority="84" dxfId="383">
      <formula>D158="WW PODS"</formula>
    </cfRule>
  </conditionalFormatting>
  <conditionalFormatting sqref="C160">
    <cfRule type="expression" priority="152" dxfId="559">
      <formula>ISNUMBER(SEARCH("UV",D150))</formula>
    </cfRule>
  </conditionalFormatting>
  <conditionalFormatting sqref="C161">
    <cfRule type="expression" priority="135" dxfId="472">
      <formula>(ISNUMBER(SEARCH("CMW",D150)))=TRUE</formula>
    </cfRule>
  </conditionalFormatting>
  <conditionalFormatting sqref="C162">
    <cfRule type="expression" priority="127" dxfId="472">
      <formula>(ISNUMBER(SEARCH("CMW",D150)))=TRUE</formula>
    </cfRule>
  </conditionalFormatting>
  <conditionalFormatting sqref="C167">
    <cfRule type="containsText" priority="62" operator="containsText" dxfId="204" text="CONFIG">
      <formula>NOT(ISERROR(SEARCH("CONFIG",C167)))</formula>
    </cfRule>
  </conditionalFormatting>
  <conditionalFormatting sqref="C168">
    <cfRule type="containsText" priority="47" operator="containsText" dxfId="561" text="LIGHT SELECTION">
      <formula>NOT(ISERROR(SEARCH("LIGHT SELECTION",C168)))</formula>
    </cfRule>
  </conditionalFormatting>
  <conditionalFormatting sqref="C169:C170">
    <cfRule type="containsText" priority="7" operator="containsText" dxfId="561" text="ANSUL SELECTION">
      <formula>NOT(ISERROR(SEARCH("ANSUL SELECTION",C169)))</formula>
    </cfRule>
  </conditionalFormatting>
  <conditionalFormatting sqref="C173:C174">
    <cfRule type="cellIs" priority="61" operator="lessThan" dxfId="561">
      <formula>1</formula>
    </cfRule>
  </conditionalFormatting>
  <conditionalFormatting sqref="C175:C176">
    <cfRule type="expression" priority="31" dxfId="383">
      <formula>D175="WW PODS"</formula>
    </cfRule>
  </conditionalFormatting>
  <conditionalFormatting sqref="C177">
    <cfRule type="expression" priority="76" dxfId="559">
      <formula>ISNUMBER(SEARCH("UV",D167))</formula>
    </cfRule>
  </conditionalFormatting>
  <conditionalFormatting sqref="C178">
    <cfRule type="expression" priority="59" dxfId="472">
      <formula>(ISNUMBER(SEARCH("CMW",D167)))=TRUE</formula>
    </cfRule>
  </conditionalFormatting>
  <conditionalFormatting sqref="C179">
    <cfRule type="expression" priority="52" dxfId="472">
      <formula>(ISNUMBER(SEARCH("CMW",D167)))=TRUE</formula>
    </cfRule>
  </conditionalFormatting>
  <conditionalFormatting sqref="C183:C184">
    <cfRule type="cellIs" priority="673" operator="lessThan" dxfId="554">
      <formula>1</formula>
    </cfRule>
  </conditionalFormatting>
  <conditionalFormatting sqref="C185:C186">
    <cfRule type="cellIs" priority="662" operator="lessThan" dxfId="164">
      <formula>1</formula>
    </cfRule>
  </conditionalFormatting>
  <conditionalFormatting sqref="C187:C197">
    <cfRule type="cellIs" priority="273" operator="lessThan" dxfId="554">
      <formula>1</formula>
    </cfRule>
  </conditionalFormatting>
  <conditionalFormatting sqref="C9:D9">
    <cfRule type="cellIs" priority="663" operator="lessThan" dxfId="207">
      <formula>0</formula>
    </cfRule>
    <cfRule type="cellIs" priority="664" operator="greaterThan" dxfId="552">
      <formula>0</formula>
    </cfRule>
  </conditionalFormatting>
  <conditionalFormatting sqref="D14">
    <cfRule type="containsText" priority="675" operator="containsText" dxfId="164" text="CANOPY TYPE">
      <formula>NOT(ISERROR(SEARCH("CANOPY TYPE",D14)))</formula>
    </cfRule>
  </conditionalFormatting>
  <conditionalFormatting sqref="D15">
    <cfRule type="expression" priority="419" dxfId="206">
      <formula>(C15="LIGHT SELECTION")</formula>
    </cfRule>
  </conditionalFormatting>
  <conditionalFormatting sqref="D18">
    <cfRule type="expression" priority="629" dxfId="206">
      <formula>($C18="SELECT WORKS")</formula>
    </cfRule>
  </conditionalFormatting>
  <conditionalFormatting sqref="D19">
    <cfRule type="expression" priority="272" dxfId="206">
      <formula>$C19="SELECT CLADDING"</formula>
    </cfRule>
  </conditionalFormatting>
  <conditionalFormatting sqref="D22:D23">
    <cfRule type="expression" priority="402" dxfId="358">
      <formula>($D$14="CANOPY TYPE")</formula>
    </cfRule>
  </conditionalFormatting>
  <conditionalFormatting sqref="D24">
    <cfRule type="expression" priority="688" dxfId="474">
      <formula>ISNUMBER(SEARCH("UV",D14))</formula>
    </cfRule>
  </conditionalFormatting>
  <conditionalFormatting sqref="D25">
    <cfRule type="expression" priority="614" dxfId="358">
      <formula>($D$14="CANOPY TYPE")</formula>
    </cfRule>
  </conditionalFormatting>
  <conditionalFormatting sqref="D26">
    <cfRule type="expression" priority="637" dxfId="472">
      <formula>(ISNUMBER(SEARCH("CMW",D14)))=TRUE</formula>
    </cfRule>
  </conditionalFormatting>
  <conditionalFormatting sqref="D31">
    <cfRule type="containsText" priority="596" operator="containsText" dxfId="164" text="CANOPY TYPE">
      <formula>NOT(ISERROR(SEARCH("CANOPY TYPE",D31)))</formula>
    </cfRule>
  </conditionalFormatting>
  <conditionalFormatting sqref="D32">
    <cfRule type="expression" priority="432" dxfId="206">
      <formula>(C32="LIGHT SELECTION")</formula>
    </cfRule>
  </conditionalFormatting>
  <conditionalFormatting sqref="D35">
    <cfRule type="expression" priority="589" dxfId="206">
      <formula>($C35="SELECT WORKS")</formula>
    </cfRule>
  </conditionalFormatting>
  <conditionalFormatting sqref="D36">
    <cfRule type="expression" priority="411" dxfId="206">
      <formula>$C36="SELECT CLADDING"</formula>
    </cfRule>
  </conditionalFormatting>
  <conditionalFormatting sqref="D39:D40">
    <cfRule type="expression" priority="387" dxfId="358">
      <formula>($D$14="CANOPY TYPE")</formula>
    </cfRule>
  </conditionalFormatting>
  <conditionalFormatting sqref="D41">
    <cfRule type="expression" priority="608" dxfId="474">
      <formula>ISNUMBER(SEARCH("UV",D31))</formula>
    </cfRule>
  </conditionalFormatting>
  <conditionalFormatting sqref="D42">
    <cfRule type="expression" priority="583" dxfId="358">
      <formula>($D$14="CANOPY TYPE")</formula>
    </cfRule>
  </conditionalFormatting>
  <conditionalFormatting sqref="D43">
    <cfRule type="expression" priority="591" dxfId="472">
      <formula>(ISNUMBER(SEARCH("CMW",D31)))=TRUE</formula>
    </cfRule>
  </conditionalFormatting>
  <conditionalFormatting sqref="D48">
    <cfRule type="containsText" priority="414" operator="containsText" dxfId="164" text="CANOPY TYPE">
      <formula>NOT(ISERROR(SEARCH("CANOPY TYPE",D48)))</formula>
    </cfRule>
  </conditionalFormatting>
  <conditionalFormatting sqref="D49">
    <cfRule type="expression" priority="429" dxfId="206">
      <formula>(C15="LIGHT SELECTION")</formula>
    </cfRule>
  </conditionalFormatting>
  <conditionalFormatting sqref="D52">
    <cfRule type="expression" priority="559" dxfId="206">
      <formula>($C52="SELECT WORKS")</formula>
    </cfRule>
  </conditionalFormatting>
  <conditionalFormatting sqref="D53">
    <cfRule type="expression" priority="412" dxfId="206">
      <formula>$C53="SELECT CLADDING"</formula>
    </cfRule>
  </conditionalFormatting>
  <conditionalFormatting sqref="D56:D57">
    <cfRule type="expression" priority="372" dxfId="358">
      <formula>($D$14="CANOPY TYPE")</formula>
    </cfRule>
  </conditionalFormatting>
  <conditionalFormatting sqref="D58">
    <cfRule type="expression" priority="577" dxfId="474">
      <formula>ISNUMBER(SEARCH("UV",D48))</formula>
    </cfRule>
  </conditionalFormatting>
  <conditionalFormatting sqref="D59">
    <cfRule type="expression" priority="554" dxfId="358">
      <formula>($D$14="CANOPY TYPE")</formula>
    </cfRule>
  </conditionalFormatting>
  <conditionalFormatting sqref="D60">
    <cfRule type="expression" priority="561" dxfId="472">
      <formula>(ISNUMBER(SEARCH("CMW",D48)))=TRUE</formula>
    </cfRule>
  </conditionalFormatting>
  <conditionalFormatting sqref="D65">
    <cfRule type="containsText" priority="413" operator="containsText" dxfId="164" text="CANOPY TYPE">
      <formula>NOT(ISERROR(SEARCH("CANOPY TYPE",D65)))</formula>
    </cfRule>
  </conditionalFormatting>
  <conditionalFormatting sqref="D66">
    <cfRule type="expression" priority="422" dxfId="206">
      <formula>(C66="LIGHT SELECTION")</formula>
    </cfRule>
  </conditionalFormatting>
  <conditionalFormatting sqref="D69">
    <cfRule type="expression" priority="529" dxfId="206">
      <formula>($C69="SELECT WORKS")</formula>
    </cfRule>
  </conditionalFormatting>
  <conditionalFormatting sqref="D70">
    <cfRule type="expression" priority="533" dxfId="206">
      <formula>$C70="SELECT CLADDING"</formula>
    </cfRule>
  </conditionalFormatting>
  <conditionalFormatting sqref="D73:D74">
    <cfRule type="expression" priority="357" dxfId="358">
      <formula>($D$14="CANOPY TYPE")</formula>
    </cfRule>
  </conditionalFormatting>
  <conditionalFormatting sqref="D75">
    <cfRule type="expression" priority="548" dxfId="474">
      <formula>ISNUMBER(SEARCH("UV",D65))</formula>
    </cfRule>
  </conditionalFormatting>
  <conditionalFormatting sqref="D76">
    <cfRule type="expression" priority="524" dxfId="358">
      <formula>($D$14="CANOPY TYPE")</formula>
    </cfRule>
  </conditionalFormatting>
  <conditionalFormatting sqref="D77">
    <cfRule type="expression" priority="531" dxfId="472">
      <formula>(ISNUMBER(SEARCH("CMW",D65)))=TRUE</formula>
    </cfRule>
  </conditionalFormatting>
  <conditionalFormatting sqref="D82">
    <cfRule type="containsText" priority="506" operator="containsText" dxfId="164" text="CANOPY TYPE">
      <formula>NOT(ISERROR(SEARCH("CANOPY TYPE",D82)))</formula>
    </cfRule>
  </conditionalFormatting>
  <conditionalFormatting sqref="D83">
    <cfRule type="expression" priority="421" dxfId="206">
      <formula>(C83="LIGHT SELECTION")</formula>
    </cfRule>
  </conditionalFormatting>
  <conditionalFormatting sqref="D86">
    <cfRule type="expression" priority="498" dxfId="206">
      <formula>($C86="SELECT WORKS")</formula>
    </cfRule>
  </conditionalFormatting>
  <conditionalFormatting sqref="D87">
    <cfRule type="expression" priority="502" dxfId="206">
      <formula>$C87="SELECT CLADDING"</formula>
    </cfRule>
  </conditionalFormatting>
  <conditionalFormatting sqref="D90:D91">
    <cfRule type="expression" priority="342" dxfId="358">
      <formula>($D$14="CANOPY TYPE")</formula>
    </cfRule>
  </conditionalFormatting>
  <conditionalFormatting sqref="D92">
    <cfRule type="expression" priority="518" dxfId="474">
      <formula>ISNUMBER(SEARCH("UV",D82))</formula>
    </cfRule>
  </conditionalFormatting>
  <conditionalFormatting sqref="D93">
    <cfRule type="expression" priority="493" dxfId="358">
      <formula>($D$14="CANOPY TYPE")</formula>
    </cfRule>
  </conditionalFormatting>
  <conditionalFormatting sqref="D94">
    <cfRule type="expression" priority="500" dxfId="472">
      <formula>(ISNUMBER(SEARCH("CMW",D82)))=TRUE</formula>
    </cfRule>
  </conditionalFormatting>
  <conditionalFormatting sqref="D99">
    <cfRule type="containsText" priority="475" operator="containsText" dxfId="164" text="CANOPY TYPE">
      <formula>NOT(ISERROR(SEARCH("CANOPY TYPE",D99)))</formula>
    </cfRule>
  </conditionalFormatting>
  <conditionalFormatting sqref="D100">
    <cfRule type="expression" priority="420" dxfId="206">
      <formula>(C100="LIGHT SELECTION")</formula>
    </cfRule>
  </conditionalFormatting>
  <conditionalFormatting sqref="D103">
    <cfRule type="expression" priority="468" dxfId="206">
      <formula>($C103="SELECT WORKS")</formula>
    </cfRule>
  </conditionalFormatting>
  <conditionalFormatting sqref="D104">
    <cfRule type="expression" priority="410" dxfId="206">
      <formula>$C104="SELECT CLADDING"</formula>
    </cfRule>
  </conditionalFormatting>
  <conditionalFormatting sqref="D107:D108">
    <cfRule type="expression" priority="327" dxfId="358">
      <formula>($D$14="CANOPY TYPE")</formula>
    </cfRule>
  </conditionalFormatting>
  <conditionalFormatting sqref="D109">
    <cfRule type="expression" priority="487" dxfId="474">
      <formula>ISNUMBER(SEARCH("UV",D99))</formula>
    </cfRule>
  </conditionalFormatting>
  <conditionalFormatting sqref="D110">
    <cfRule type="expression" priority="463" dxfId="358">
      <formula>($D$14="CANOPY TYPE")</formula>
    </cfRule>
  </conditionalFormatting>
  <conditionalFormatting sqref="D111">
    <cfRule type="expression" priority="470" dxfId="472">
      <formula>(ISNUMBER(SEARCH("CMW",D99)))=TRUE</formula>
    </cfRule>
  </conditionalFormatting>
  <conditionalFormatting sqref="D116">
    <cfRule type="containsText" priority="307" operator="containsText" dxfId="164" text="CANOPY TYPE">
      <formula>NOT(ISERROR(SEARCH("CANOPY TYPE",D116)))</formula>
    </cfRule>
  </conditionalFormatting>
  <conditionalFormatting sqref="D117">
    <cfRule type="expression" priority="290" dxfId="206">
      <formula>(C117="LIGHT SELECTION")</formula>
    </cfRule>
  </conditionalFormatting>
  <conditionalFormatting sqref="D120">
    <cfRule type="expression" priority="300" dxfId="206">
      <formula>($C120="SELECT WORKS")</formula>
    </cfRule>
  </conditionalFormatting>
  <conditionalFormatting sqref="D121">
    <cfRule type="expression" priority="289" dxfId="206">
      <formula>$C121="SELECT CLADDING"</formula>
    </cfRule>
  </conditionalFormatting>
  <conditionalFormatting sqref="D124:D125">
    <cfRule type="expression" priority="274" dxfId="358">
      <formula>($D$14="CANOPY TYPE")</formula>
    </cfRule>
  </conditionalFormatting>
  <conditionalFormatting sqref="D126">
    <cfRule type="expression" priority="319" dxfId="474">
      <formula>ISNUMBER(SEARCH("UV",D116))</formula>
    </cfRule>
  </conditionalFormatting>
  <conditionalFormatting sqref="D127">
    <cfRule type="expression" priority="297" dxfId="358">
      <formula>($D$14="CANOPY TYPE")</formula>
    </cfRule>
  </conditionalFormatting>
  <conditionalFormatting sqref="D128">
    <cfRule type="expression" priority="302" dxfId="472">
      <formula>(ISNUMBER(SEARCH("CMW",D116)))=TRUE</formula>
    </cfRule>
  </conditionalFormatting>
  <conditionalFormatting sqref="D133">
    <cfRule type="containsText" priority="170" operator="containsText" dxfId="164" text="CANOPY TYPE">
      <formula>NOT(ISERROR(SEARCH("CANOPY TYPE",D133)))</formula>
    </cfRule>
  </conditionalFormatting>
  <conditionalFormatting sqref="D134">
    <cfRule type="expression" priority="115" dxfId="206">
      <formula>(C134="LIGHT SELECTION")</formula>
    </cfRule>
  </conditionalFormatting>
  <conditionalFormatting sqref="D137">
    <cfRule type="expression" priority="162" dxfId="206">
      <formula>($C137="SELECT WORKS")</formula>
    </cfRule>
  </conditionalFormatting>
  <conditionalFormatting sqref="D138">
    <cfRule type="expression" priority="166" dxfId="206">
      <formula>$C138="SELECT CLADDING"</formula>
    </cfRule>
  </conditionalFormatting>
  <conditionalFormatting sqref="D141:D142">
    <cfRule type="expression" priority="98" dxfId="358">
      <formula>($D$14="CANOPY TYPE")</formula>
    </cfRule>
  </conditionalFormatting>
  <conditionalFormatting sqref="D143">
    <cfRule type="expression" priority="182" dxfId="474">
      <formula>ISNUMBER(SEARCH("UV",D133))</formula>
    </cfRule>
  </conditionalFormatting>
  <conditionalFormatting sqref="D144">
    <cfRule type="expression" priority="157" dxfId="358">
      <formula>($D$14="CANOPY TYPE")</formula>
    </cfRule>
  </conditionalFormatting>
  <conditionalFormatting sqref="D145">
    <cfRule type="expression" priority="164" dxfId="472">
      <formula>(ISNUMBER(SEARCH("CMW",D133)))=TRUE</formula>
    </cfRule>
  </conditionalFormatting>
  <conditionalFormatting sqref="D150">
    <cfRule type="containsText" priority="139" operator="containsText" dxfId="164" text="CANOPY TYPE">
      <formula>NOT(ISERROR(SEARCH("CANOPY TYPE",D150)))</formula>
    </cfRule>
  </conditionalFormatting>
  <conditionalFormatting sqref="D151">
    <cfRule type="expression" priority="114" dxfId="206">
      <formula>(C151="LIGHT SELECTION")</formula>
    </cfRule>
  </conditionalFormatting>
  <conditionalFormatting sqref="D154">
    <cfRule type="expression" priority="132" dxfId="206">
      <formula>($C154="SELECT WORKS")</formula>
    </cfRule>
  </conditionalFormatting>
  <conditionalFormatting sqref="D155">
    <cfRule type="expression" priority="113" dxfId="206">
      <formula>$C155="SELECT CLADDING"</formula>
    </cfRule>
  </conditionalFormatting>
  <conditionalFormatting sqref="D158:D159">
    <cfRule type="expression" priority="83" dxfId="358">
      <formula>($D$14="CANOPY TYPE")</formula>
    </cfRule>
  </conditionalFormatting>
  <conditionalFormatting sqref="D160">
    <cfRule type="expression" priority="151" dxfId="474">
      <formula>ISNUMBER(SEARCH("UV",D150))</formula>
    </cfRule>
  </conditionalFormatting>
  <conditionalFormatting sqref="D161">
    <cfRule type="expression" priority="129" dxfId="358">
      <formula>($D$14="CANOPY TYPE")</formula>
    </cfRule>
  </conditionalFormatting>
  <conditionalFormatting sqref="D162">
    <cfRule type="expression" priority="134" dxfId="472">
      <formula>(ISNUMBER(SEARCH("CMW",D150)))=TRUE</formula>
    </cfRule>
  </conditionalFormatting>
  <conditionalFormatting sqref="D167">
    <cfRule type="containsText" priority="63" operator="containsText" dxfId="164" text="CANOPY TYPE">
      <formula>NOT(ISERROR(SEARCH("CANOPY TYPE",D167)))</formula>
    </cfRule>
  </conditionalFormatting>
  <conditionalFormatting sqref="D168">
    <cfRule type="expression" priority="46" dxfId="206">
      <formula>(C168="LIGHT SELECTION")</formula>
    </cfRule>
  </conditionalFormatting>
  <conditionalFormatting sqref="D171">
    <cfRule type="expression" priority="56" dxfId="206">
      <formula>($C171="SELECT WORKS")</formula>
    </cfRule>
  </conditionalFormatting>
  <conditionalFormatting sqref="D172">
    <cfRule type="expression" priority="45" dxfId="206">
      <formula>$C172="SELECT CLADDING"</formula>
    </cfRule>
  </conditionalFormatting>
  <conditionalFormatting sqref="D175:D176">
    <cfRule type="expression" priority="30" dxfId="358">
      <formula>($D$14="CANOPY TYPE")</formula>
    </cfRule>
  </conditionalFormatting>
  <conditionalFormatting sqref="D177">
    <cfRule type="expression" priority="75" dxfId="474">
      <formula>ISNUMBER(SEARCH("UV",D167))</formula>
    </cfRule>
  </conditionalFormatting>
  <conditionalFormatting sqref="D178">
    <cfRule type="expression" priority="53" dxfId="358">
      <formula>($D$14="CANOPY TYPE")</formula>
    </cfRule>
  </conditionalFormatting>
  <conditionalFormatting sqref="D179">
    <cfRule type="expression" priority="58" dxfId="472">
      <formula>(ISNUMBER(SEARCH("CMW",D167)))=TRUE</formula>
    </cfRule>
  </conditionalFormatting>
  <conditionalFormatting sqref="E12">
    <cfRule type="expression" priority="685" dxfId="386">
      <formula>AND((ISNUMBER(SEARCH("I-MUAP",$D$14))),E12&lt;2500)</formula>
    </cfRule>
    <cfRule type="expression" priority="686" dxfId="387">
      <formula>ISNUMBER(SEARCH("I-MUAP",$D$14))</formula>
    </cfRule>
    <cfRule type="cellIs" priority="687" operator="greaterThan" dxfId="204">
      <formula>2000</formula>
    </cfRule>
  </conditionalFormatting>
  <conditionalFormatting sqref="E15">
    <cfRule type="expression" priority="417" dxfId="315">
      <formula>(C15="LIGHT SELECTION")</formula>
    </cfRule>
  </conditionalFormatting>
  <conditionalFormatting sqref="E17:E18">
    <cfRule type="expression" priority="628" dxfId="381">
      <formula>$C17="SELECT WORKS"</formula>
    </cfRule>
  </conditionalFormatting>
  <conditionalFormatting sqref="E22:E23">
    <cfRule type="expression" priority="667" dxfId="384">
      <formula>D22="WW PODS"</formula>
    </cfRule>
    <cfRule type="expression" priority="668" dxfId="383">
      <formula>D22="FILTER TYPE"</formula>
    </cfRule>
    <cfRule type="expression" priority="669" dxfId="382">
      <formula>D22="KSA"</formula>
    </cfRule>
    <cfRule type="expression" priority="690" dxfId="381">
      <formula>(D14="CANOPY TYPE")</formula>
    </cfRule>
  </conditionalFormatting>
  <conditionalFormatting sqref="E24">
    <cfRule type="containsText" priority="677" operator="containsText" dxfId="380" text="LONG ">
      <formula>NOT(ISERROR(SEARCH("LONG ",E24)))</formula>
    </cfRule>
  </conditionalFormatting>
  <conditionalFormatting sqref="E29">
    <cfRule type="expression" priority="605" dxfId="386">
      <formula>AND((ISNUMBER(SEARCH("I-MUAP",$D$14))),E29&lt;2500)</formula>
    </cfRule>
    <cfRule type="expression" priority="606" dxfId="387">
      <formula>ISNUMBER(SEARCH("I-MUAP",$D$14))</formula>
    </cfRule>
    <cfRule type="cellIs" priority="607" operator="greaterThan" dxfId="204">
      <formula>2000</formula>
    </cfRule>
  </conditionalFormatting>
  <conditionalFormatting sqref="E34">
    <cfRule type="expression" priority="264" dxfId="381">
      <formula>$C34="SELECT WORKS"</formula>
    </cfRule>
  </conditionalFormatting>
  <conditionalFormatting sqref="E39:E40">
    <cfRule type="expression" priority="389" dxfId="384">
      <formula>D39="WW PODS"</formula>
    </cfRule>
    <cfRule type="expression" priority="390" dxfId="383">
      <formula>D39="FILTER TYPE"</formula>
    </cfRule>
    <cfRule type="expression" priority="391" dxfId="382">
      <formula>D39="KSA"</formula>
    </cfRule>
    <cfRule type="expression" priority="392" dxfId="381">
      <formula>(D31="CANOPY TYPE")</formula>
    </cfRule>
  </conditionalFormatting>
  <conditionalFormatting sqref="E41">
    <cfRule type="containsText" priority="598" operator="containsText" dxfId="380" text="LONG ">
      <formula>NOT(ISERROR(SEARCH("LONG ",E41)))</formula>
    </cfRule>
  </conditionalFormatting>
  <conditionalFormatting sqref="E46">
    <cfRule type="expression" priority="574" dxfId="386">
      <formula>AND((ISNUMBER(SEARCH("I-MUAP",$D$14))),E46&lt;2500)</formula>
    </cfRule>
    <cfRule type="expression" priority="575" dxfId="387">
      <formula>ISNUMBER(SEARCH("I-MUAP",$D$14))</formula>
    </cfRule>
    <cfRule type="cellIs" priority="576" operator="greaterThan" dxfId="204">
      <formula>2000</formula>
    </cfRule>
  </conditionalFormatting>
  <conditionalFormatting sqref="E49">
    <cfRule type="expression" priority="431" dxfId="315">
      <formula>(C49="LIGHT SELECTION")</formula>
    </cfRule>
  </conditionalFormatting>
  <conditionalFormatting sqref="E51:E52">
    <cfRule type="expression" priority="253" dxfId="381">
      <formula>$C51="SELECT WORKS"</formula>
    </cfRule>
  </conditionalFormatting>
  <conditionalFormatting sqref="E56:E57">
    <cfRule type="expression" priority="374" dxfId="384">
      <formula>D56="WW PODS"</formula>
    </cfRule>
    <cfRule type="expression" priority="375" dxfId="383">
      <formula>D56="FILTER TYPE"</formula>
    </cfRule>
    <cfRule type="expression" priority="376" dxfId="382">
      <formula>D56="KSA"</formula>
    </cfRule>
    <cfRule type="expression" priority="377" dxfId="381">
      <formula>(D48="CANOPY TYPE")</formula>
    </cfRule>
  </conditionalFormatting>
  <conditionalFormatting sqref="E58">
    <cfRule type="containsText" priority="567" operator="containsText" dxfId="380" text="LONG ">
      <formula>NOT(ISERROR(SEARCH("LONG ",E58)))</formula>
    </cfRule>
  </conditionalFormatting>
  <conditionalFormatting sqref="E63">
    <cfRule type="expression" priority="545" dxfId="386">
      <formula>AND((ISNUMBER(SEARCH("I-MUAP",$D$14))),E63&lt;2500)</formula>
    </cfRule>
    <cfRule type="expression" priority="546" dxfId="387">
      <formula>ISNUMBER(SEARCH("I-MUAP",$D$14))</formula>
    </cfRule>
    <cfRule type="cellIs" priority="547" operator="greaterThan" dxfId="204">
      <formula>2000</formula>
    </cfRule>
  </conditionalFormatting>
  <conditionalFormatting sqref="E68:E69">
    <cfRule type="expression" priority="242" dxfId="381">
      <formula>$C68="SELECT WORKS"</formula>
    </cfRule>
  </conditionalFormatting>
  <conditionalFormatting sqref="E73:E74">
    <cfRule type="expression" priority="359" dxfId="384">
      <formula>D73="WW PODS"</formula>
    </cfRule>
    <cfRule type="expression" priority="360" dxfId="383">
      <formula>D73="FILTER TYPE"</formula>
    </cfRule>
    <cfRule type="expression" priority="361" dxfId="382">
      <formula>D73="KSA"</formula>
    </cfRule>
    <cfRule type="expression" priority="362" dxfId="381">
      <formula>(D65="CANOPY TYPE")</formula>
    </cfRule>
  </conditionalFormatting>
  <conditionalFormatting sqref="E75">
    <cfRule type="containsText" priority="538" operator="containsText" dxfId="380" text="LONG ">
      <formula>NOT(ISERROR(SEARCH("LONG ",E75)))</formula>
    </cfRule>
  </conditionalFormatting>
  <conditionalFormatting sqref="E80">
    <cfRule type="expression" priority="515" dxfId="386">
      <formula>AND((ISNUMBER(SEARCH("I-MUAP",$D$14))),E80&lt;2500)</formula>
    </cfRule>
    <cfRule type="expression" priority="516" dxfId="387">
      <formula>ISNUMBER(SEARCH("I-MUAP",$D$14))</formula>
    </cfRule>
    <cfRule type="cellIs" priority="517" operator="greaterThan" dxfId="204">
      <formula>2000</formula>
    </cfRule>
  </conditionalFormatting>
  <conditionalFormatting sqref="E85:E86">
    <cfRule type="expression" priority="231" dxfId="381">
      <formula>$C85="SELECT WORKS"</formula>
    </cfRule>
  </conditionalFormatting>
  <conditionalFormatting sqref="E90:E91">
    <cfRule type="expression" priority="344" dxfId="384">
      <formula>D90="WW PODS"</formula>
    </cfRule>
    <cfRule type="expression" priority="345" dxfId="383">
      <formula>D90="FILTER TYPE"</formula>
    </cfRule>
    <cfRule type="expression" priority="346" dxfId="382">
      <formula>D90="KSA"</formula>
    </cfRule>
    <cfRule type="expression" priority="347" dxfId="381">
      <formula>(D82="CANOPY TYPE")</formula>
    </cfRule>
  </conditionalFormatting>
  <conditionalFormatting sqref="E92">
    <cfRule type="containsText" priority="508" operator="containsText" dxfId="380" text="LONG ">
      <formula>NOT(ISERROR(SEARCH("LONG ",E92)))</formula>
    </cfRule>
  </conditionalFormatting>
  <conditionalFormatting sqref="E97">
    <cfRule type="expression" priority="484" dxfId="386">
      <formula>AND((ISNUMBER(SEARCH("I-MUAP",$D$14))),E97&lt;2500)</formula>
    </cfRule>
    <cfRule type="expression" priority="485" dxfId="387">
      <formula>ISNUMBER(SEARCH("I-MUAP",$D$14))</formula>
    </cfRule>
    <cfRule type="cellIs" priority="486" operator="greaterThan" dxfId="204">
      <formula>2000</formula>
    </cfRule>
  </conditionalFormatting>
  <conditionalFormatting sqref="E102:E103">
    <cfRule type="expression" priority="220" dxfId="381">
      <formula>$C102="SELECT WORKS"</formula>
    </cfRule>
  </conditionalFormatting>
  <conditionalFormatting sqref="E107:E108">
    <cfRule type="expression" priority="329" dxfId="384">
      <formula>D107="WW PODS"</formula>
    </cfRule>
    <cfRule type="expression" priority="330" dxfId="383">
      <formula>D107="FILTER TYPE"</formula>
    </cfRule>
    <cfRule type="expression" priority="331" dxfId="382">
      <formula>D107="KSA"</formula>
    </cfRule>
    <cfRule type="expression" priority="332" dxfId="381">
      <formula>(D99="CANOPY TYPE")</formula>
    </cfRule>
  </conditionalFormatting>
  <conditionalFormatting sqref="E109">
    <cfRule type="containsText" priority="477" operator="containsText" dxfId="380" text="LONG ">
      <formula>NOT(ISERROR(SEARCH("LONG ",E109)))</formula>
    </cfRule>
  </conditionalFormatting>
  <conditionalFormatting sqref="E114">
    <cfRule type="expression" priority="316" dxfId="386">
      <formula>AND((ISNUMBER(SEARCH("I-MUAP",$D$14))),E114&lt;2500)</formula>
    </cfRule>
    <cfRule type="expression" priority="317" dxfId="387">
      <formula>ISNUMBER(SEARCH("I-MUAP",$D$14))</formula>
    </cfRule>
    <cfRule type="cellIs" priority="318" operator="greaterThan" dxfId="204">
      <formula>2000</formula>
    </cfRule>
  </conditionalFormatting>
  <conditionalFormatting sqref="E119:E120">
    <cfRule type="expression" priority="209" dxfId="381">
      <formula>$C119="SELECT WORKS"</formula>
    </cfRule>
  </conditionalFormatting>
  <conditionalFormatting sqref="E124:E125">
    <cfRule type="expression" priority="276" dxfId="384">
      <formula>D124="WW PODS"</formula>
    </cfRule>
    <cfRule type="expression" priority="277" dxfId="383">
      <formula>D124="FILTER TYPE"</formula>
    </cfRule>
    <cfRule type="expression" priority="278" dxfId="382">
      <formula>D124="KSA"</formula>
    </cfRule>
    <cfRule type="expression" priority="279" dxfId="381">
      <formula>(D116="CANOPY TYPE")</formula>
    </cfRule>
  </conditionalFormatting>
  <conditionalFormatting sqref="E126">
    <cfRule type="containsText" priority="309" operator="containsText" dxfId="380" text="LONG ">
      <formula>NOT(ISERROR(SEARCH("LONG ",E126)))</formula>
    </cfRule>
  </conditionalFormatting>
  <conditionalFormatting sqref="E131">
    <cfRule type="expression" priority="179" dxfId="386">
      <formula>AND((ISNUMBER(SEARCH("I-MUAP",$D$14))),E131&lt;2500)</formula>
    </cfRule>
    <cfRule type="expression" priority="180" dxfId="387">
      <formula>ISNUMBER(SEARCH("I-MUAP",$D$14))</formula>
    </cfRule>
    <cfRule type="cellIs" priority="181" operator="greaterThan" dxfId="204">
      <formula>2000</formula>
    </cfRule>
  </conditionalFormatting>
  <conditionalFormatting sqref="E136:E137">
    <cfRule type="expression" priority="22" dxfId="381">
      <formula>$C136="SELECT WORKS"</formula>
    </cfRule>
  </conditionalFormatting>
  <conditionalFormatting sqref="E141:E142">
    <cfRule type="expression" priority="100" dxfId="384">
      <formula>D141="WW PODS"</formula>
    </cfRule>
    <cfRule type="expression" priority="101" dxfId="383">
      <formula>D141="FILTER TYPE"</formula>
    </cfRule>
    <cfRule type="expression" priority="102" dxfId="382">
      <formula>D141="KSA"</formula>
    </cfRule>
    <cfRule type="expression" priority="103" dxfId="381">
      <formula>(D133="CANOPY TYPE")</formula>
    </cfRule>
  </conditionalFormatting>
  <conditionalFormatting sqref="E143">
    <cfRule type="containsText" priority="172" operator="containsText" dxfId="380" text="LONG ">
      <formula>NOT(ISERROR(SEARCH("LONG ",E143)))</formula>
    </cfRule>
  </conditionalFormatting>
  <conditionalFormatting sqref="E148">
    <cfRule type="expression" priority="148" dxfId="386">
      <formula>AND((ISNUMBER(SEARCH("I-MUAP",$D$14))),E148&lt;2500)</formula>
    </cfRule>
    <cfRule type="expression" priority="149" dxfId="387">
      <formula>ISNUMBER(SEARCH("I-MUAP",$D$14))</formula>
    </cfRule>
    <cfRule type="cellIs" priority="150" operator="greaterThan" dxfId="204">
      <formula>2000</formula>
    </cfRule>
  </conditionalFormatting>
  <conditionalFormatting sqref="E153:E154">
    <cfRule type="expression" priority="11" dxfId="381">
      <formula>$C153="SELECT WORKS"</formula>
    </cfRule>
  </conditionalFormatting>
  <conditionalFormatting sqref="E158:E159">
    <cfRule type="expression" priority="85" dxfId="384">
      <formula>D158="WW PODS"</formula>
    </cfRule>
    <cfRule type="expression" priority="86" dxfId="383">
      <formula>D158="FILTER TYPE"</formula>
    </cfRule>
    <cfRule type="expression" priority="87" dxfId="382">
      <formula>D158="KSA"</formula>
    </cfRule>
    <cfRule type="expression" priority="88" dxfId="381">
      <formula>(D150="CANOPY TYPE")</formula>
    </cfRule>
  </conditionalFormatting>
  <conditionalFormatting sqref="E160">
    <cfRule type="containsText" priority="141" operator="containsText" dxfId="380" text="LONG ">
      <formula>NOT(ISERROR(SEARCH("LONG ",E160)))</formula>
    </cfRule>
  </conditionalFormatting>
  <conditionalFormatting sqref="E165">
    <cfRule type="expression" priority="72" dxfId="386">
      <formula>AND((ISNUMBER(SEARCH("I-MUAP",$D$14))),E165&lt;2500)</formula>
    </cfRule>
    <cfRule type="expression" priority="73" dxfId="387">
      <formula>ISNUMBER(SEARCH("I-MUAP",$D$14))</formula>
    </cfRule>
    <cfRule type="cellIs" priority="74" operator="greaterThan" dxfId="204">
      <formula>2000</formula>
    </cfRule>
  </conditionalFormatting>
  <conditionalFormatting sqref="E170:E171">
    <cfRule type="expression" priority="6" dxfId="381">
      <formula>$C170="SELECT WORKS"</formula>
    </cfRule>
  </conditionalFormatting>
  <conditionalFormatting sqref="E175:E176">
    <cfRule type="expression" priority="32" dxfId="384">
      <formula>D175="WW PODS"</formula>
    </cfRule>
    <cfRule type="expression" priority="33" dxfId="383">
      <formula>D175="FILTER TYPE"</formula>
    </cfRule>
    <cfRule type="expression" priority="34" dxfId="382">
      <formula>D175="KSA"</formula>
    </cfRule>
    <cfRule type="expression" priority="35" dxfId="381">
      <formula>(D167="CANOPY TYPE")</formula>
    </cfRule>
  </conditionalFormatting>
  <conditionalFormatting sqref="E177">
    <cfRule type="containsText" priority="65" operator="containsText" dxfId="380" text="LONG ">
      <formula>NOT(ISERROR(SEARCH("LONG ",E177)))</formula>
    </cfRule>
  </conditionalFormatting>
  <conditionalFormatting sqref="E12:F12">
    <cfRule type="cellIs" priority="681" operator="lessThan" dxfId="204">
      <formula>1000</formula>
    </cfRule>
  </conditionalFormatting>
  <conditionalFormatting sqref="E14:F14">
    <cfRule type="cellIs" priority="678" operator="lessThan" dxfId="164">
      <formula>1000</formula>
    </cfRule>
  </conditionalFormatting>
  <conditionalFormatting sqref="E25:F27">
    <cfRule type="expression" priority="615" dxfId="358">
      <formula>($D$14="CANOPY TYPE")</formula>
    </cfRule>
  </conditionalFormatting>
  <conditionalFormatting sqref="E29:F29">
    <cfRule type="cellIs" priority="602" operator="lessThan" dxfId="204">
      <formula>1000</formula>
    </cfRule>
  </conditionalFormatting>
  <conditionalFormatting sqref="E31:F31">
    <cfRule type="cellIs" priority="599" operator="lessThan" dxfId="164">
      <formula>1000</formula>
    </cfRule>
  </conditionalFormatting>
  <conditionalFormatting sqref="E32:F32">
    <cfRule type="expression" priority="455" dxfId="315">
      <formula>(C32="LIGHT SELECTION")</formula>
    </cfRule>
  </conditionalFormatting>
  <conditionalFormatting sqref="E42:F44">
    <cfRule type="expression" priority="584" dxfId="358">
      <formula>($D$14="CANOPY TYPE")</formula>
    </cfRule>
  </conditionalFormatting>
  <conditionalFormatting sqref="E46:F46">
    <cfRule type="cellIs" priority="571" operator="lessThan" dxfId="204">
      <formula>1000</formula>
    </cfRule>
  </conditionalFormatting>
  <conditionalFormatting sqref="E48:F48">
    <cfRule type="cellIs" priority="568" operator="lessThan" dxfId="164">
      <formula>1000</formula>
    </cfRule>
  </conditionalFormatting>
  <conditionalFormatting sqref="E59:F61">
    <cfRule type="expression" priority="555" dxfId="358">
      <formula>($D$14="CANOPY TYPE")</formula>
    </cfRule>
  </conditionalFormatting>
  <conditionalFormatting sqref="E63:F63">
    <cfRule type="cellIs" priority="542" operator="lessThan" dxfId="204">
      <formula>1000</formula>
    </cfRule>
  </conditionalFormatting>
  <conditionalFormatting sqref="E65:F65">
    <cfRule type="cellIs" priority="539" operator="lessThan" dxfId="164">
      <formula>1000</formula>
    </cfRule>
  </conditionalFormatting>
  <conditionalFormatting sqref="E66:F66">
    <cfRule type="expression" priority="448" dxfId="315">
      <formula>(C66="LIGHT SELECTION")</formula>
    </cfRule>
  </conditionalFormatting>
  <conditionalFormatting sqref="E76:F78">
    <cfRule type="expression" priority="525" dxfId="358">
      <formula>($D$14="CANOPY TYPE")</formula>
    </cfRule>
  </conditionalFormatting>
  <conditionalFormatting sqref="E80:F80">
    <cfRule type="cellIs" priority="512" operator="lessThan" dxfId="204">
      <formula>1000</formula>
    </cfRule>
  </conditionalFormatting>
  <conditionalFormatting sqref="E82:F82">
    <cfRule type="cellIs" priority="509" operator="lessThan" dxfId="164">
      <formula>1000</formula>
    </cfRule>
  </conditionalFormatting>
  <conditionalFormatting sqref="E83:F83">
    <cfRule type="expression" priority="444" dxfId="315">
      <formula>(C83="LIGHT SELECTION")</formula>
    </cfRule>
  </conditionalFormatting>
  <conditionalFormatting sqref="E93:F95">
    <cfRule type="expression" priority="494" dxfId="358">
      <formula>($D$14="CANOPY TYPE")</formula>
    </cfRule>
  </conditionalFormatting>
  <conditionalFormatting sqref="E97:F97">
    <cfRule type="cellIs" priority="481" operator="lessThan" dxfId="204">
      <formula>1000</formula>
    </cfRule>
  </conditionalFormatting>
  <conditionalFormatting sqref="E99:F99">
    <cfRule type="cellIs" priority="478" operator="lessThan" dxfId="164">
      <formula>1000</formula>
    </cfRule>
  </conditionalFormatting>
  <conditionalFormatting sqref="E100:F100">
    <cfRule type="expression" priority="440" dxfId="315">
      <formula>(C100="LIGHT SELECTION")</formula>
    </cfRule>
  </conditionalFormatting>
  <conditionalFormatting sqref="E110:F112 E127:F129 E161:F163 E178:F180">
    <cfRule type="expression" priority="464" dxfId="358">
      <formula>($D$14="CANOPY TYPE")</formula>
    </cfRule>
  </conditionalFormatting>
  <conditionalFormatting sqref="E114:F114">
    <cfRule type="cellIs" priority="313" operator="lessThan" dxfId="204">
      <formula>1000</formula>
    </cfRule>
  </conditionalFormatting>
  <conditionalFormatting sqref="E116:F116">
    <cfRule type="cellIs" priority="310" operator="lessThan" dxfId="164">
      <formula>1000</formula>
    </cfRule>
  </conditionalFormatting>
  <conditionalFormatting sqref="E117:F117">
    <cfRule type="expression" priority="294" dxfId="315">
      <formula>(C117="LIGHT SELECTION")</formula>
    </cfRule>
  </conditionalFormatting>
  <conditionalFormatting sqref="E131:F131">
    <cfRule type="cellIs" priority="176" operator="lessThan" dxfId="204">
      <formula>1000</formula>
    </cfRule>
  </conditionalFormatting>
  <conditionalFormatting sqref="E133:F133">
    <cfRule type="cellIs" priority="173" operator="lessThan" dxfId="164">
      <formula>1000</formula>
    </cfRule>
  </conditionalFormatting>
  <conditionalFormatting sqref="E134:F134">
    <cfRule type="expression" priority="125" dxfId="315">
      <formula>(C134="LIGHT SELECTION")</formula>
    </cfRule>
  </conditionalFormatting>
  <conditionalFormatting sqref="E144:F146">
    <cfRule type="expression" priority="158" dxfId="358">
      <formula>($D$14="CANOPY TYPE")</formula>
    </cfRule>
  </conditionalFormatting>
  <conditionalFormatting sqref="E148:F148">
    <cfRule type="cellIs" priority="145" operator="lessThan" dxfId="204">
      <formula>1000</formula>
    </cfRule>
  </conditionalFormatting>
  <conditionalFormatting sqref="E150:F150">
    <cfRule type="cellIs" priority="142" operator="lessThan" dxfId="164">
      <formula>1000</formula>
    </cfRule>
  </conditionalFormatting>
  <conditionalFormatting sqref="E151:F151">
    <cfRule type="expression" priority="121" dxfId="315">
      <formula>(C151="LIGHT SELECTION")</formula>
    </cfRule>
  </conditionalFormatting>
  <conditionalFormatting sqref="E165:F165">
    <cfRule type="cellIs" priority="69" operator="lessThan" dxfId="204">
      <formula>1000</formula>
    </cfRule>
  </conditionalFormatting>
  <conditionalFormatting sqref="E167:F167">
    <cfRule type="cellIs" priority="66" operator="lessThan" dxfId="164">
      <formula>1000</formula>
    </cfRule>
  </conditionalFormatting>
  <conditionalFormatting sqref="E168:F168">
    <cfRule type="expression" priority="50" dxfId="315">
      <formula>(C168="LIGHT SELECTION")</formula>
    </cfRule>
  </conditionalFormatting>
  <conditionalFormatting sqref="F12">
    <cfRule type="cellIs" priority="682" operator="greaterThan" dxfId="204">
      <formula>3001</formula>
    </cfRule>
  </conditionalFormatting>
  <conditionalFormatting sqref="F15">
    <cfRule type="expression" priority="457" dxfId="214">
      <formula>(C15="LED STRIP")</formula>
    </cfRule>
    <cfRule type="expression" priority="670" dxfId="215">
      <formula>(C15="LIGHT SELECTION")</formula>
    </cfRule>
    <cfRule type="expression" priority="672" dxfId="216">
      <formula>(C15="FLO")</formula>
    </cfRule>
    <cfRule type="expression" priority="704" dxfId="315">
      <formula>(D49="LIGHT SELECTION")</formula>
    </cfRule>
  </conditionalFormatting>
  <conditionalFormatting sqref="F22:F23">
    <cfRule type="expression" priority="695" dxfId="206">
      <formula>D22="NF"</formula>
    </cfRule>
    <cfRule type="expression" priority="696" dxfId="208">
      <formula>D22="WW PODS"</formula>
    </cfRule>
    <cfRule type="expression" priority="697" dxfId="206">
      <formula>D22="GRILLE"</formula>
    </cfRule>
    <cfRule type="expression" priority="698" dxfId="206">
      <formula>D22="CENTREX"</formula>
    </cfRule>
    <cfRule type="expression" priority="699" dxfId="206" stopIfTrue="1">
      <formula>D14="canopy type"</formula>
    </cfRule>
    <cfRule type="expression" priority="700" dxfId="207">
      <formula>(((I14*3600)/(C22*I11))^2+20)&gt;300</formula>
    </cfRule>
    <cfRule type="expression" priority="701" dxfId="205" stopIfTrue="1">
      <formula>(ISNUMBER(SEARCH("UV",D14)))</formula>
    </cfRule>
    <cfRule type="expression" priority="702" dxfId="207">
      <formula>(((I14*3600)/(C22*I11))^2+20)&gt;180</formula>
    </cfRule>
    <cfRule type="expression" priority="703" dxfId="205">
      <formula>D22="KSA"</formula>
    </cfRule>
  </conditionalFormatting>
  <conditionalFormatting sqref="F24">
    <cfRule type="cellIs" priority="676" operator="lessThan" dxfId="204">
      <formula>2100</formula>
    </cfRule>
  </conditionalFormatting>
  <conditionalFormatting sqref="F29">
    <cfRule type="cellIs" priority="603" operator="greaterThan" dxfId="204">
      <formula>3001</formula>
    </cfRule>
  </conditionalFormatting>
  <conditionalFormatting sqref="F32">
    <cfRule type="expression" priority="453" dxfId="214">
      <formula>(C32="LED STRIP")</formula>
    </cfRule>
    <cfRule type="expression" priority="454" dxfId="215">
      <formula>(C32="LIGHT SELECTION")</formula>
    </cfRule>
    <cfRule type="expression" priority="456" dxfId="216">
      <formula>(C32="FLO")</formula>
    </cfRule>
  </conditionalFormatting>
  <conditionalFormatting sqref="F39:F40">
    <cfRule type="expression" priority="393" dxfId="206">
      <formula>D39="NF"</formula>
    </cfRule>
    <cfRule type="expression" priority="394" dxfId="208">
      <formula>D39="WW PODS"</formula>
    </cfRule>
    <cfRule type="expression" priority="395" dxfId="206">
      <formula>D39="GRILLE"</formula>
    </cfRule>
    <cfRule type="expression" priority="396" dxfId="206">
      <formula>D39="CENTREX"</formula>
    </cfRule>
    <cfRule type="expression" priority="397" dxfId="206" stopIfTrue="1">
      <formula>D31="canopy type"</formula>
    </cfRule>
    <cfRule type="expression" priority="398" dxfId="207">
      <formula>(((I31*3600)/(C39*I28))^2+20)&gt;300</formula>
    </cfRule>
    <cfRule type="expression" priority="399" dxfId="205" stopIfTrue="1">
      <formula>(ISNUMBER(SEARCH("UV",D31)))</formula>
    </cfRule>
    <cfRule type="expression" priority="400" dxfId="207">
      <formula>(((I31*3600)/(C39*I28))^2+20)&gt;180</formula>
    </cfRule>
    <cfRule type="expression" priority="401" dxfId="205">
      <formula>D39="KSA"</formula>
    </cfRule>
  </conditionalFormatting>
  <conditionalFormatting sqref="F41">
    <cfRule type="cellIs" priority="597" operator="lessThan" dxfId="204">
      <formula>2100</formula>
    </cfRule>
  </conditionalFormatting>
  <conditionalFormatting sqref="F46">
    <cfRule type="cellIs" priority="572" operator="greaterThan" dxfId="204">
      <formula>3001</formula>
    </cfRule>
  </conditionalFormatting>
  <conditionalFormatting sqref="F49">
    <cfRule type="expression" priority="450" dxfId="214">
      <formula>(C49="LED STRIP")</formula>
    </cfRule>
    <cfRule type="expression" priority="451" dxfId="215">
      <formula>(C49="LIGHT SELECTION")</formula>
    </cfRule>
    <cfRule type="expression" priority="452" dxfId="216">
      <formula>(C49="FLO")</formula>
    </cfRule>
    <cfRule type="expression" priority="705" dxfId="315">
      <formula>(#REF!="LIGHT SELECTION")</formula>
    </cfRule>
  </conditionalFormatting>
  <conditionalFormatting sqref="F56:F57">
    <cfRule type="expression" priority="378" dxfId="206">
      <formula>D56="NF"</formula>
    </cfRule>
    <cfRule type="expression" priority="379" dxfId="208">
      <formula>D56="WW PODS"</formula>
    </cfRule>
    <cfRule type="expression" priority="380" dxfId="206">
      <formula>D56="GRILLE"</formula>
    </cfRule>
    <cfRule type="expression" priority="381" dxfId="206">
      <formula>D56="CENTREX"</formula>
    </cfRule>
    <cfRule type="expression" priority="382" dxfId="206" stopIfTrue="1">
      <formula>D48="canopy type"</formula>
    </cfRule>
    <cfRule type="expression" priority="383" dxfId="207">
      <formula>(((I48*3600)/(C56*I45))^2+20)&gt;300</formula>
    </cfRule>
    <cfRule type="expression" priority="384" dxfId="205" stopIfTrue="1">
      <formula>(ISNUMBER(SEARCH("UV",D48)))</formula>
    </cfRule>
    <cfRule type="expression" priority="385" dxfId="207">
      <formula>(((I48*3600)/(C56*I45))^2+20)&gt;180</formula>
    </cfRule>
    <cfRule type="expression" priority="386" dxfId="205">
      <formula>D56="KSA"</formula>
    </cfRule>
  </conditionalFormatting>
  <conditionalFormatting sqref="F58">
    <cfRule type="cellIs" priority="566" operator="lessThan" dxfId="204">
      <formula>2100</formula>
    </cfRule>
  </conditionalFormatting>
  <conditionalFormatting sqref="F63">
    <cfRule type="cellIs" priority="543" operator="greaterThan" dxfId="204">
      <formula>3001</formula>
    </cfRule>
  </conditionalFormatting>
  <conditionalFormatting sqref="F66">
    <cfRule type="expression" priority="446" dxfId="214">
      <formula>(C66="LED STRIP")</formula>
    </cfRule>
    <cfRule type="expression" priority="447" dxfId="215">
      <formula>(C66="LIGHT SELECTION")</formula>
    </cfRule>
    <cfRule type="expression" priority="449" dxfId="216">
      <formula>(C66="FLO")</formula>
    </cfRule>
  </conditionalFormatting>
  <conditionalFormatting sqref="F73:F74">
    <cfRule type="expression" priority="363" dxfId="206">
      <formula>D73="NF"</formula>
    </cfRule>
    <cfRule type="expression" priority="364" dxfId="208">
      <formula>D73="WW PODS"</formula>
    </cfRule>
    <cfRule type="expression" priority="365" dxfId="206">
      <formula>D73="GRILLE"</formula>
    </cfRule>
    <cfRule type="expression" priority="366" dxfId="206">
      <formula>D73="CENTREX"</formula>
    </cfRule>
    <cfRule type="expression" priority="367" dxfId="206" stopIfTrue="1">
      <formula>D65="canopy type"</formula>
    </cfRule>
    <cfRule type="expression" priority="368" dxfId="207">
      <formula>(((I65*3600)/(C73*I62))^2+20)&gt;300</formula>
    </cfRule>
    <cfRule type="expression" priority="369" dxfId="205" stopIfTrue="1">
      <formula>(ISNUMBER(SEARCH("UV",D65)))</formula>
    </cfRule>
    <cfRule type="expression" priority="370" dxfId="207">
      <formula>(((I65*3600)/(C73*I62))^2+20)&gt;180</formula>
    </cfRule>
    <cfRule type="expression" priority="371" dxfId="205">
      <formula>D73="KSA"</formula>
    </cfRule>
  </conditionalFormatting>
  <conditionalFormatting sqref="F75">
    <cfRule type="cellIs" priority="537" operator="lessThan" dxfId="204">
      <formula>2100</formula>
    </cfRule>
  </conditionalFormatting>
  <conditionalFormatting sqref="F80">
    <cfRule type="cellIs" priority="513" operator="greaterThan" dxfId="204">
      <formula>3001</formula>
    </cfRule>
  </conditionalFormatting>
  <conditionalFormatting sqref="F83">
    <cfRule type="expression" priority="442" dxfId="214">
      <formula>(C83="LED STRIP")</formula>
    </cfRule>
    <cfRule type="expression" priority="443" dxfId="215">
      <formula>(C83="LIGHT SELECTION")</formula>
    </cfRule>
    <cfRule type="expression" priority="445" dxfId="216">
      <formula>(C83="FLO")</formula>
    </cfRule>
  </conditionalFormatting>
  <conditionalFormatting sqref="F90:F91">
    <cfRule type="expression" priority="348" dxfId="206">
      <formula>D90="NF"</formula>
    </cfRule>
    <cfRule type="expression" priority="349" dxfId="208">
      <formula>D90="WW PODS"</formula>
    </cfRule>
    <cfRule type="expression" priority="350" dxfId="206">
      <formula>D90="GRILLE"</formula>
    </cfRule>
    <cfRule type="expression" priority="351" dxfId="206">
      <formula>D90="CENTREX"</formula>
    </cfRule>
    <cfRule type="expression" priority="352" dxfId="206" stopIfTrue="1">
      <formula>D82="canopy type"</formula>
    </cfRule>
    <cfRule type="expression" priority="353" dxfId="207">
      <formula>(((I82*3600)/(C90*I79))^2+20)&gt;300</formula>
    </cfRule>
    <cfRule type="expression" priority="354" dxfId="205" stopIfTrue="1">
      <formula>(ISNUMBER(SEARCH("UV",D82)))</formula>
    </cfRule>
    <cfRule type="expression" priority="355" dxfId="207">
      <formula>(((I82*3600)/(C90*I79))^2+20)&gt;180</formula>
    </cfRule>
    <cfRule type="expression" priority="356" dxfId="205">
      <formula>D90="KSA"</formula>
    </cfRule>
  </conditionalFormatting>
  <conditionalFormatting sqref="F92">
    <cfRule type="cellIs" priority="507" operator="lessThan" dxfId="204">
      <formula>2100</formula>
    </cfRule>
  </conditionalFormatting>
  <conditionalFormatting sqref="F97">
    <cfRule type="cellIs" priority="482" operator="greaterThan" dxfId="204">
      <formula>3001</formula>
    </cfRule>
  </conditionalFormatting>
  <conditionalFormatting sqref="F100">
    <cfRule type="expression" priority="438" dxfId="214">
      <formula>(C100="LED STRIP")</formula>
    </cfRule>
    <cfRule type="expression" priority="439" dxfId="215">
      <formula>(C100="LIGHT SELECTION")</formula>
    </cfRule>
    <cfRule type="expression" priority="441" dxfId="216">
      <formula>(C100="FLO")</formula>
    </cfRule>
  </conditionalFormatting>
  <conditionalFormatting sqref="F107:F108">
    <cfRule type="expression" priority="333" dxfId="206">
      <formula>D107="NF"</formula>
    </cfRule>
    <cfRule type="expression" priority="334" dxfId="208">
      <formula>D107="WW PODS"</formula>
    </cfRule>
    <cfRule type="expression" priority="335" dxfId="206">
      <formula>D107="GRILLE"</formula>
    </cfRule>
    <cfRule type="expression" priority="336" dxfId="206">
      <formula>D107="CENTREX"</formula>
    </cfRule>
    <cfRule type="expression" priority="337" dxfId="206" stopIfTrue="1">
      <formula>D99="canopy type"</formula>
    </cfRule>
    <cfRule type="expression" priority="338" dxfId="207">
      <formula>(((I99*3600)/(C107*I96))^2+20)&gt;300</formula>
    </cfRule>
    <cfRule type="expression" priority="339" dxfId="205" stopIfTrue="1">
      <formula>(ISNUMBER(SEARCH("UV",D99)))</formula>
    </cfRule>
    <cfRule type="expression" priority="340" dxfId="207">
      <formula>(((I99*3600)/(C107*I96))^2+20)&gt;180</formula>
    </cfRule>
    <cfRule type="expression" priority="341" dxfId="205">
      <formula>D107="KSA"</formula>
    </cfRule>
  </conditionalFormatting>
  <conditionalFormatting sqref="F109">
    <cfRule type="cellIs" priority="476" operator="lessThan" dxfId="204">
      <formula>2100</formula>
    </cfRule>
  </conditionalFormatting>
  <conditionalFormatting sqref="F114">
    <cfRule type="cellIs" priority="314" operator="greaterThan" dxfId="204">
      <formula>3001</formula>
    </cfRule>
  </conditionalFormatting>
  <conditionalFormatting sqref="F117">
    <cfRule type="expression" priority="292" dxfId="214">
      <formula>(C117="LED STRIP")</formula>
    </cfRule>
    <cfRule type="expression" priority="293" dxfId="215">
      <formula>(C117="LIGHT SELECTION")</formula>
    </cfRule>
    <cfRule type="expression" priority="295" dxfId="216">
      <formula>(C117="FLO")</formula>
    </cfRule>
  </conditionalFormatting>
  <conditionalFormatting sqref="F124:F125">
    <cfRule type="expression" priority="280" dxfId="206">
      <formula>D124="NF"</formula>
    </cfRule>
    <cfRule type="expression" priority="281" dxfId="208">
      <formula>D124="WW PODS"</formula>
    </cfRule>
    <cfRule type="expression" priority="282" dxfId="206">
      <formula>D124="GRILLE"</formula>
    </cfRule>
    <cfRule type="expression" priority="283" dxfId="206">
      <formula>D124="CENTREX"</formula>
    </cfRule>
    <cfRule type="expression" priority="284" dxfId="206" stopIfTrue="1">
      <formula>D116="canopy type"</formula>
    </cfRule>
    <cfRule type="expression" priority="285" dxfId="207">
      <formula>(((I116*3600)/(C124*I113))^2+20)&gt;300</formula>
    </cfRule>
    <cfRule type="expression" priority="286" dxfId="205" stopIfTrue="1">
      <formula>(ISNUMBER(SEARCH("UV",D116)))</formula>
    </cfRule>
    <cfRule type="expression" priority="287" dxfId="207">
      <formula>(((I116*3600)/(C124*I113))^2+20)&gt;180</formula>
    </cfRule>
    <cfRule type="expression" priority="288" dxfId="205">
      <formula>D124="KSA"</formula>
    </cfRule>
  </conditionalFormatting>
  <conditionalFormatting sqref="F126">
    <cfRule type="cellIs" priority="308" operator="lessThan" dxfId="204">
      <formula>2100</formula>
    </cfRule>
  </conditionalFormatting>
  <conditionalFormatting sqref="F131">
    <cfRule type="cellIs" priority="177" operator="greaterThan" dxfId="204">
      <formula>3001</formula>
    </cfRule>
  </conditionalFormatting>
  <conditionalFormatting sqref="F134">
    <cfRule type="expression" priority="123" dxfId="214">
      <formula>(C134="LED STRIP")</formula>
    </cfRule>
    <cfRule type="expression" priority="124" dxfId="215">
      <formula>(C134="LIGHT SELECTION")</formula>
    </cfRule>
    <cfRule type="expression" priority="126" dxfId="216">
      <formula>(C134="FLO")</formula>
    </cfRule>
  </conditionalFormatting>
  <conditionalFormatting sqref="F141:F142">
    <cfRule type="expression" priority="104" dxfId="206">
      <formula>D141="NF"</formula>
    </cfRule>
    <cfRule type="expression" priority="105" dxfId="208">
      <formula>D141="WW PODS"</formula>
    </cfRule>
    <cfRule type="expression" priority="106" dxfId="206">
      <formula>D141="GRILLE"</formula>
    </cfRule>
    <cfRule type="expression" priority="107" dxfId="206">
      <formula>D141="CENTREX"</formula>
    </cfRule>
    <cfRule type="expression" priority="108" dxfId="206" stopIfTrue="1">
      <formula>D133="canopy type"</formula>
    </cfRule>
    <cfRule type="expression" priority="109" dxfId="207">
      <formula>(((I133*3600)/(C141*I130))^2+20)&gt;300</formula>
    </cfRule>
    <cfRule type="expression" priority="110" dxfId="205" stopIfTrue="1">
      <formula>(ISNUMBER(SEARCH("UV",D133)))</formula>
    </cfRule>
    <cfRule type="expression" priority="111" dxfId="207">
      <formula>(((I133*3600)/(C141*I130))^2+20)&gt;180</formula>
    </cfRule>
    <cfRule type="expression" priority="112" dxfId="205">
      <formula>D141="KSA"</formula>
    </cfRule>
  </conditionalFormatting>
  <conditionalFormatting sqref="F143">
    <cfRule type="cellIs" priority="171" operator="lessThan" dxfId="204">
      <formula>2100</formula>
    </cfRule>
  </conditionalFormatting>
  <conditionalFormatting sqref="F148">
    <cfRule type="cellIs" priority="146" operator="greaterThan" dxfId="204">
      <formula>3001</formula>
    </cfRule>
  </conditionalFormatting>
  <conditionalFormatting sqref="F151">
    <cfRule type="expression" priority="119" dxfId="214">
      <formula>(C151="LED STRIP")</formula>
    </cfRule>
    <cfRule type="expression" priority="120" dxfId="215">
      <formula>(C151="LIGHT SELECTION")</formula>
    </cfRule>
    <cfRule type="expression" priority="122" dxfId="216">
      <formula>(C151="FLO")</formula>
    </cfRule>
  </conditionalFormatting>
  <conditionalFormatting sqref="F158:F159">
    <cfRule type="expression" priority="89" dxfId="206">
      <formula>D158="NF"</formula>
    </cfRule>
    <cfRule type="expression" priority="90" dxfId="208">
      <formula>D158="WW PODS"</formula>
    </cfRule>
    <cfRule type="expression" priority="91" dxfId="206">
      <formula>D158="GRILLE"</formula>
    </cfRule>
    <cfRule type="expression" priority="92" dxfId="206">
      <formula>D158="CENTREX"</formula>
    </cfRule>
    <cfRule type="expression" priority="93" dxfId="206" stopIfTrue="1">
      <formula>D150="canopy type"</formula>
    </cfRule>
    <cfRule type="expression" priority="94" dxfId="207">
      <formula>(((I150*3600)/(C158*I147))^2+20)&gt;300</formula>
    </cfRule>
    <cfRule type="expression" priority="95" dxfId="205" stopIfTrue="1">
      <formula>(ISNUMBER(SEARCH("UV",D150)))</formula>
    </cfRule>
    <cfRule type="expression" priority="96" dxfId="207">
      <formula>(((I150*3600)/(C158*I147))^2+20)&gt;180</formula>
    </cfRule>
    <cfRule type="expression" priority="97" dxfId="205">
      <formula>D158="KSA"</formula>
    </cfRule>
  </conditionalFormatting>
  <conditionalFormatting sqref="F160">
    <cfRule type="cellIs" priority="140" operator="lessThan" dxfId="204">
      <formula>2100</formula>
    </cfRule>
  </conditionalFormatting>
  <conditionalFormatting sqref="F165">
    <cfRule type="cellIs" priority="70" operator="greaterThan" dxfId="204">
      <formula>3001</formula>
    </cfRule>
  </conditionalFormatting>
  <conditionalFormatting sqref="F168">
    <cfRule type="expression" priority="48" dxfId="214">
      <formula>(C168="LED STRIP")</formula>
    </cfRule>
    <cfRule type="expression" priority="49" dxfId="215">
      <formula>(C168="LIGHT SELECTION")</formula>
    </cfRule>
    <cfRule type="expression" priority="51" dxfId="216">
      <formula>(C168="FLO")</formula>
    </cfRule>
  </conditionalFormatting>
  <conditionalFormatting sqref="F175:F176">
    <cfRule type="expression" priority="36" dxfId="206">
      <formula>D175="NF"</formula>
    </cfRule>
    <cfRule type="expression" priority="37" dxfId="208">
      <formula>D175="WW PODS"</formula>
    </cfRule>
    <cfRule type="expression" priority="38" dxfId="206">
      <formula>D175="GRILLE"</formula>
    </cfRule>
    <cfRule type="expression" priority="39" dxfId="206">
      <formula>D175="CENTREX"</formula>
    </cfRule>
    <cfRule type="expression" priority="40" dxfId="206" stopIfTrue="1">
      <formula>D167="canopy type"</formula>
    </cfRule>
    <cfRule type="expression" priority="41" dxfId="207">
      <formula>(((I167*3600)/(C175*I164))^2+20)&gt;300</formula>
    </cfRule>
    <cfRule type="expression" priority="42" dxfId="205" stopIfTrue="1">
      <formula>(ISNUMBER(SEARCH("UV",D167)))</formula>
    </cfRule>
    <cfRule type="expression" priority="43" dxfId="207">
      <formula>(((I167*3600)/(C175*I164))^2+20)&gt;180</formula>
    </cfRule>
    <cfRule type="expression" priority="44" dxfId="205">
      <formula>D175="KSA"</formula>
    </cfRule>
  </conditionalFormatting>
  <conditionalFormatting sqref="F177">
    <cfRule type="cellIs" priority="64" operator="lessThan" dxfId="204">
      <formula>2100</formula>
    </cfRule>
  </conditionalFormatting>
  <conditionalFormatting sqref="G11">
    <cfRule type="expression" priority="684" dxfId="176">
      <formula>((F14-50)/H14)&lt;950</formula>
    </cfRule>
  </conditionalFormatting>
  <conditionalFormatting sqref="G12">
    <cfRule type="expression" priority="683" dxfId="175">
      <formula>((F14-50)/H14)&lt;950</formula>
    </cfRule>
  </conditionalFormatting>
  <conditionalFormatting sqref="G14">
    <cfRule type="cellIs" priority="679" operator="lessThan" dxfId="164">
      <formula>400</formula>
    </cfRule>
  </conditionalFormatting>
  <conditionalFormatting sqref="G28">
    <cfRule type="expression" priority="626" dxfId="176">
      <formula>((F31-50)/H31)&lt;950</formula>
    </cfRule>
  </conditionalFormatting>
  <conditionalFormatting sqref="G29">
    <cfRule type="expression" priority="604" dxfId="175">
      <formula>((F31-50)/H31)&lt;950</formula>
    </cfRule>
  </conditionalFormatting>
  <conditionalFormatting sqref="G31">
    <cfRule type="cellIs" priority="600" operator="lessThan" dxfId="164">
      <formula>400</formula>
    </cfRule>
  </conditionalFormatting>
  <conditionalFormatting sqref="G45">
    <cfRule type="expression" priority="643" dxfId="176">
      <formula>((F48-50)/H48)&lt;950</formula>
    </cfRule>
  </conditionalFormatting>
  <conditionalFormatting sqref="G46">
    <cfRule type="expression" priority="573" dxfId="175">
      <formula>((F48-50)/H48)&lt;950</formula>
    </cfRule>
  </conditionalFormatting>
  <conditionalFormatting sqref="G48">
    <cfRule type="cellIs" priority="569" operator="lessThan" dxfId="164">
      <formula>400</formula>
    </cfRule>
  </conditionalFormatting>
  <conditionalFormatting sqref="G62">
    <cfRule type="expression" priority="644" dxfId="176">
      <formula>((F65-50)/H65)&lt;950</formula>
    </cfRule>
  </conditionalFormatting>
  <conditionalFormatting sqref="G63">
    <cfRule type="expression" priority="544" dxfId="175">
      <formula>((F65-50)/H65)&lt;950</formula>
    </cfRule>
  </conditionalFormatting>
  <conditionalFormatting sqref="G65">
    <cfRule type="cellIs" priority="540" operator="lessThan" dxfId="164">
      <formula>400</formula>
    </cfRule>
  </conditionalFormatting>
  <conditionalFormatting sqref="G79">
    <cfRule type="expression" priority="645" dxfId="176">
      <formula>((F82-50)/H82)&lt;950</formula>
    </cfRule>
  </conditionalFormatting>
  <conditionalFormatting sqref="G80">
    <cfRule type="expression" priority="514" dxfId="175">
      <formula>((F82-50)/H82)&lt;950</formula>
    </cfRule>
  </conditionalFormatting>
  <conditionalFormatting sqref="G82">
    <cfRule type="cellIs" priority="510" operator="lessThan" dxfId="164">
      <formula>400</formula>
    </cfRule>
  </conditionalFormatting>
  <conditionalFormatting sqref="G96">
    <cfRule type="expression" priority="653" dxfId="176">
      <formula>((F99-50)/H99)&lt;950</formula>
    </cfRule>
  </conditionalFormatting>
  <conditionalFormatting sqref="G97">
    <cfRule type="expression" priority="483" dxfId="175">
      <formula>((F99-50)/H99)&lt;950</formula>
    </cfRule>
  </conditionalFormatting>
  <conditionalFormatting sqref="G99">
    <cfRule type="cellIs" priority="479" operator="lessThan" dxfId="164">
      <formula>400</formula>
    </cfRule>
  </conditionalFormatting>
  <conditionalFormatting sqref="G113">
    <cfRule type="expression" priority="326" dxfId="176">
      <formula>((F116-50)/H116)&lt;950</formula>
    </cfRule>
  </conditionalFormatting>
  <conditionalFormatting sqref="G114">
    <cfRule type="expression" priority="315" dxfId="175">
      <formula>((F116-50)/H116)&lt;950</formula>
    </cfRule>
  </conditionalFormatting>
  <conditionalFormatting sqref="G116">
    <cfRule type="cellIs" priority="311" operator="lessThan" dxfId="164">
      <formula>400</formula>
    </cfRule>
  </conditionalFormatting>
  <conditionalFormatting sqref="G130">
    <cfRule type="expression" priority="190" dxfId="176">
      <formula>((F133-50)/H133)&lt;950</formula>
    </cfRule>
  </conditionalFormatting>
  <conditionalFormatting sqref="G131">
    <cfRule type="expression" priority="178" dxfId="175">
      <formula>((F133-50)/H133)&lt;950</formula>
    </cfRule>
  </conditionalFormatting>
  <conditionalFormatting sqref="G133">
    <cfRule type="cellIs" priority="174" operator="lessThan" dxfId="164">
      <formula>400</formula>
    </cfRule>
  </conditionalFormatting>
  <conditionalFormatting sqref="G147">
    <cfRule type="expression" priority="191" dxfId="176">
      <formula>((F150-50)/H150)&lt;950</formula>
    </cfRule>
  </conditionalFormatting>
  <conditionalFormatting sqref="G148">
    <cfRule type="expression" priority="147" dxfId="175">
      <formula>((F150-50)/H150)&lt;950</formula>
    </cfRule>
  </conditionalFormatting>
  <conditionalFormatting sqref="G150">
    <cfRule type="cellIs" priority="143" operator="lessThan" dxfId="164">
      <formula>400</formula>
    </cfRule>
  </conditionalFormatting>
  <conditionalFormatting sqref="G164">
    <cfRule type="expression" priority="82" dxfId="176">
      <formula>((F167-50)/H167)&lt;950</formula>
    </cfRule>
  </conditionalFormatting>
  <conditionalFormatting sqref="G165">
    <cfRule type="expression" priority="71" dxfId="175">
      <formula>((F167-50)/H167)&lt;950</formula>
    </cfRule>
  </conditionalFormatting>
  <conditionalFormatting sqref="G167">
    <cfRule type="cellIs" priority="67" operator="lessThan" dxfId="164">
      <formula>400</formula>
    </cfRule>
  </conditionalFormatting>
  <conditionalFormatting sqref="I14">
    <cfRule type="cellIs" priority="680" operator="lessThan" dxfId="164">
      <formula>0.1</formula>
    </cfRule>
  </conditionalFormatting>
  <conditionalFormatting sqref="I31">
    <cfRule type="cellIs" priority="601" operator="lessThan" dxfId="164">
      <formula>0.1</formula>
    </cfRule>
  </conditionalFormatting>
  <conditionalFormatting sqref="I48">
    <cfRule type="cellIs" priority="570" operator="lessThan" dxfId="164">
      <formula>0.1</formula>
    </cfRule>
  </conditionalFormatting>
  <conditionalFormatting sqref="I65">
    <cfRule type="cellIs" priority="541" operator="lessThan" dxfId="164">
      <formula>0.1</formula>
    </cfRule>
  </conditionalFormatting>
  <conditionalFormatting sqref="I82">
    <cfRule type="cellIs" priority="511" operator="lessThan" dxfId="164">
      <formula>0.1</formula>
    </cfRule>
  </conditionalFormatting>
  <conditionalFormatting sqref="I99">
    <cfRule type="cellIs" priority="480" operator="lessThan" dxfId="164">
      <formula>0.1</formula>
    </cfRule>
  </conditionalFormatting>
  <conditionalFormatting sqref="I116">
    <cfRule type="cellIs" priority="312" operator="lessThan" dxfId="164">
      <formula>0.1</formula>
    </cfRule>
  </conditionalFormatting>
  <conditionalFormatting sqref="I133">
    <cfRule type="cellIs" priority="175" operator="lessThan" dxfId="164">
      <formula>0.1</formula>
    </cfRule>
  </conditionalFormatting>
  <conditionalFormatting sqref="I150">
    <cfRule type="cellIs" priority="144" operator="lessThan" dxfId="164">
      <formula>0.1</formula>
    </cfRule>
  </conditionalFormatting>
  <conditionalFormatting sqref="I167">
    <cfRule type="cellIs" priority="68" operator="lessThan" dxfId="164">
      <formula>0.1</formula>
    </cfRule>
  </conditionalFormatting>
  <conditionalFormatting sqref="J14:J27">
    <cfRule type="cellIs" priority="404" operator="greaterThan" dxfId="153">
      <formula>0</formula>
    </cfRule>
  </conditionalFormatting>
  <conditionalFormatting sqref="J31:J44">
    <cfRule type="cellIs" priority="261" operator="greaterThan" dxfId="153">
      <formula>0</formula>
    </cfRule>
  </conditionalFormatting>
  <conditionalFormatting sqref="J48:J61">
    <cfRule type="cellIs" priority="250" operator="greaterThan" dxfId="153">
      <formula>0</formula>
    </cfRule>
  </conditionalFormatting>
  <conditionalFormatting sqref="J65:J78">
    <cfRule type="cellIs" priority="239" operator="greaterThan" dxfId="153">
      <formula>0</formula>
    </cfRule>
  </conditionalFormatting>
  <conditionalFormatting sqref="J82:J95">
    <cfRule type="cellIs" priority="228" operator="greaterThan" dxfId="153">
      <formula>0</formula>
    </cfRule>
  </conditionalFormatting>
  <conditionalFormatting sqref="J99:J112">
    <cfRule type="cellIs" priority="217" operator="greaterThan" dxfId="153">
      <formula>0</formula>
    </cfRule>
  </conditionalFormatting>
  <conditionalFormatting sqref="J116:J129 J167:J180">
    <cfRule type="cellIs" priority="206" operator="greaterThan" dxfId="153">
      <formula>0</formula>
    </cfRule>
  </conditionalFormatting>
  <conditionalFormatting sqref="J133:J146">
    <cfRule type="cellIs" priority="19" operator="greaterThan" dxfId="153">
      <formula>0</formula>
    </cfRule>
  </conditionalFormatting>
  <conditionalFormatting sqref="J150:J163">
    <cfRule type="cellIs" priority="8" operator="greaterThan" dxfId="153">
      <formula>0</formula>
    </cfRule>
  </conditionalFormatting>
  <conditionalFormatting sqref="J183:J197">
    <cfRule type="expression" priority="654" dxfId="153">
      <formula>C183&gt;0</formula>
    </cfRule>
  </conditionalFormatting>
  <conditionalFormatting sqref="J199">
    <cfRule type="expression" priority="659" dxfId="2">
      <formula>#REF!="EURO"</formula>
    </cfRule>
  </conditionalFormatting>
  <conditionalFormatting sqref="K14:K27">
    <cfRule type="cellIs" priority="418" operator="greaterThan" dxfId="141">
      <formula>0</formula>
    </cfRule>
  </conditionalFormatting>
  <conditionalFormatting sqref="K31:K44">
    <cfRule type="cellIs" priority="262" operator="greaterThan" dxfId="141">
      <formula>0</formula>
    </cfRule>
  </conditionalFormatting>
  <conditionalFormatting sqref="K48:K61">
    <cfRule type="cellIs" priority="251" operator="greaterThan" dxfId="141">
      <formula>0</formula>
    </cfRule>
  </conditionalFormatting>
  <conditionalFormatting sqref="K65:K78">
    <cfRule type="cellIs" priority="240" operator="greaterThan" dxfId="141">
      <formula>0</formula>
    </cfRule>
  </conditionalFormatting>
  <conditionalFormatting sqref="K82:K95">
    <cfRule type="cellIs" priority="229" operator="greaterThan" dxfId="141">
      <formula>0</formula>
    </cfRule>
  </conditionalFormatting>
  <conditionalFormatting sqref="K99:K112">
    <cfRule type="cellIs" priority="218" operator="greaterThan" dxfId="141">
      <formula>0</formula>
    </cfRule>
  </conditionalFormatting>
  <conditionalFormatting sqref="K116:K129 K167:K180">
    <cfRule type="cellIs" priority="207" operator="greaterThan" dxfId="141">
      <formula>0</formula>
    </cfRule>
  </conditionalFormatting>
  <conditionalFormatting sqref="K133:K146">
    <cfRule type="cellIs" priority="20" operator="greaterThan" dxfId="141">
      <formula>0</formula>
    </cfRule>
  </conditionalFormatting>
  <conditionalFormatting sqref="K150:K163">
    <cfRule type="cellIs" priority="9" operator="greaterThan" dxfId="141">
      <formula>0</formula>
    </cfRule>
  </conditionalFormatting>
  <conditionalFormatting sqref="K183:K197">
    <cfRule type="cellIs" priority="661" operator="greaterThan" dxfId="141">
      <formula>0</formula>
    </cfRule>
  </conditionalFormatting>
  <conditionalFormatting sqref="K199">
    <cfRule type="expression" priority="655" dxfId="4">
      <formula>$B$9="PLN"</formula>
    </cfRule>
    <cfRule type="expression" priority="656" dxfId="0">
      <formula>$B$9="CZK"</formula>
    </cfRule>
    <cfRule type="expression" priority="657" dxfId="3">
      <formula>$B$9="USD"</formula>
    </cfRule>
    <cfRule type="expression" priority="658" dxfId="2">
      <formula>$B$9="EURO"</formula>
    </cfRule>
  </conditionalFormatting>
  <conditionalFormatting sqref="L14:L27">
    <cfRule type="expression" priority="415" dxfId="116">
      <formula>$C$9&lt;0</formula>
    </cfRule>
    <cfRule type="expression" priority="416" dxfId="115">
      <formula>$C$9&gt;0</formula>
    </cfRule>
  </conditionalFormatting>
  <conditionalFormatting sqref="L31:L44">
    <cfRule type="expression" priority="204" dxfId="116">
      <formula>$C$9&lt;0</formula>
    </cfRule>
    <cfRule type="expression" priority="205" dxfId="115">
      <formula>$C$9&gt;0</formula>
    </cfRule>
  </conditionalFormatting>
  <conditionalFormatting sqref="L48:L61">
    <cfRule type="expression" priority="202" dxfId="116">
      <formula>$C$9&lt;0</formula>
    </cfRule>
    <cfRule type="expression" priority="203" dxfId="115">
      <formula>$C$9&gt;0</formula>
    </cfRule>
  </conditionalFormatting>
  <conditionalFormatting sqref="L65:L78">
    <cfRule type="expression" priority="200" dxfId="116">
      <formula>$C$9&lt;0</formula>
    </cfRule>
    <cfRule type="expression" priority="201" dxfId="115">
      <formula>$C$9&gt;0</formula>
    </cfRule>
  </conditionalFormatting>
  <conditionalFormatting sqref="L82:L95">
    <cfRule type="expression" priority="198" dxfId="116">
      <formula>$C$9&lt;0</formula>
    </cfRule>
    <cfRule type="expression" priority="199" dxfId="115">
      <formula>$C$9&gt;0</formula>
    </cfRule>
  </conditionalFormatting>
  <conditionalFormatting sqref="L99:L112">
    <cfRule type="expression" priority="196" dxfId="116">
      <formula>$C$9&lt;0</formula>
    </cfRule>
    <cfRule type="expression" priority="197" dxfId="115">
      <formula>$C$9&gt;0</formula>
    </cfRule>
  </conditionalFormatting>
  <conditionalFormatting sqref="L116:L129 L167:L180">
    <cfRule type="expression" priority="194" dxfId="116">
      <formula>$C$9&lt;0</formula>
    </cfRule>
    <cfRule type="expression" priority="195" dxfId="115">
      <formula>$C$9&gt;0</formula>
    </cfRule>
  </conditionalFormatting>
  <conditionalFormatting sqref="L133:L146">
    <cfRule type="expression" priority="3" dxfId="116">
      <formula>$C$9&lt;0</formula>
    </cfRule>
    <cfRule type="expression" priority="4" dxfId="115">
      <formula>$C$9&gt;0</formula>
    </cfRule>
  </conditionalFormatting>
  <conditionalFormatting sqref="L150:L163">
    <cfRule type="expression" priority="1" dxfId="116">
      <formula>$C$9&lt;0</formula>
    </cfRule>
    <cfRule type="expression" priority="2" dxfId="115">
      <formula>$C$9&gt;0</formula>
    </cfRule>
  </conditionalFormatting>
  <conditionalFormatting sqref="L183:L197">
    <cfRule type="expression" priority="192" dxfId="116">
      <formula>$C$9&lt;0</formula>
    </cfRule>
    <cfRule type="expression" priority="193" dxfId="115">
      <formula>$C$9&gt;0</formula>
    </cfRule>
  </conditionalFormatting>
  <conditionalFormatting sqref="N9 N12">
    <cfRule type="expression" priority="691" dxfId="4">
      <formula>$B$9="PLN"</formula>
    </cfRule>
    <cfRule type="expression" priority="692" dxfId="0">
      <formula>$B$9="CZK"</formula>
    </cfRule>
    <cfRule type="expression" priority="693" dxfId="3">
      <formula>$B$9="USD"</formula>
    </cfRule>
    <cfRule type="expression" priority="694" dxfId="2">
      <formula>$B$9="EURO"</formula>
    </cfRule>
  </conditionalFormatting>
  <conditionalFormatting sqref="N14:N27">
    <cfRule type="cellIs" priority="630" operator="greaterThan" dxfId="1">
      <formula>0</formula>
    </cfRule>
    <cfRule type="expression" priority="631" dxfId="2">
      <formula>$B$9="EURO"</formula>
    </cfRule>
    <cfRule type="expression" priority="632" dxfId="3">
      <formula>$B$9="USD"</formula>
    </cfRule>
    <cfRule type="expression" priority="633" dxfId="4">
      <formula>$B$9="PLN"</formula>
    </cfRule>
    <cfRule type="expression" priority="634" dxfId="0">
      <formula>$B$9="CZK"</formula>
    </cfRule>
  </conditionalFormatting>
  <conditionalFormatting sqref="N29">
    <cfRule type="expression" priority="610" dxfId="4">
      <formula>$B$9="PLN"</formula>
    </cfRule>
    <cfRule type="expression" priority="611" dxfId="0">
      <formula>$B$9="CZK"</formula>
    </cfRule>
    <cfRule type="expression" priority="612" dxfId="3">
      <formula>$B$9="USD"</formula>
    </cfRule>
    <cfRule type="expression" priority="613" dxfId="2">
      <formula>$B$9="EURO"</formula>
    </cfRule>
  </conditionalFormatting>
  <conditionalFormatting sqref="N31:N44">
    <cfRule type="cellIs" priority="265" operator="greaterThan" dxfId="1">
      <formula>0</formula>
    </cfRule>
    <cfRule type="expression" priority="266" dxfId="2">
      <formula>$B$9="EURO"</formula>
    </cfRule>
    <cfRule type="expression" priority="267" dxfId="3">
      <formula>$B$9="USD"</formula>
    </cfRule>
    <cfRule type="expression" priority="268" dxfId="4">
      <formula>$B$9="PLN"</formula>
    </cfRule>
    <cfRule type="expression" priority="269" dxfId="0">
      <formula>$B$9="CZK"</formula>
    </cfRule>
  </conditionalFormatting>
  <conditionalFormatting sqref="N46">
    <cfRule type="expression" priority="579" dxfId="4">
      <formula>$B$9="PLN"</formula>
    </cfRule>
    <cfRule type="expression" priority="580" dxfId="0">
      <formula>$B$9="CZK"</formula>
    </cfRule>
    <cfRule type="expression" priority="581" dxfId="3">
      <formula>$B$9="USD"</formula>
    </cfRule>
    <cfRule type="expression" priority="582" dxfId="2">
      <formula>$B$9="EURO"</formula>
    </cfRule>
  </conditionalFormatting>
  <conditionalFormatting sqref="N48:N61">
    <cfRule type="cellIs" priority="254" operator="greaterThan" dxfId="1">
      <formula>0</formula>
    </cfRule>
    <cfRule type="expression" priority="255" dxfId="2">
      <formula>$B$9="EURO"</formula>
    </cfRule>
    <cfRule type="expression" priority="256" dxfId="3">
      <formula>$B$9="USD"</formula>
    </cfRule>
    <cfRule type="expression" priority="257" dxfId="4">
      <formula>$B$9="PLN"</formula>
    </cfRule>
    <cfRule type="expression" priority="258" dxfId="0">
      <formula>$B$9="CZK"</formula>
    </cfRule>
  </conditionalFormatting>
  <conditionalFormatting sqref="N63">
    <cfRule type="expression" priority="550" dxfId="4">
      <formula>$B$9="PLN"</formula>
    </cfRule>
    <cfRule type="expression" priority="551" dxfId="0">
      <formula>$B$9="CZK"</formula>
    </cfRule>
    <cfRule type="expression" priority="552" dxfId="3">
      <formula>$B$9="USD"</formula>
    </cfRule>
    <cfRule type="expression" priority="553" dxfId="2">
      <formula>$B$9="EURO"</formula>
    </cfRule>
  </conditionalFormatting>
  <conditionalFormatting sqref="N65:N78">
    <cfRule type="cellIs" priority="243" operator="greaterThan" dxfId="1">
      <formula>0</formula>
    </cfRule>
    <cfRule type="expression" priority="244" dxfId="2">
      <formula>$B$9="EURO"</formula>
    </cfRule>
    <cfRule type="expression" priority="245" dxfId="3">
      <formula>$B$9="USD"</formula>
    </cfRule>
    <cfRule type="expression" priority="246" dxfId="4">
      <formula>$B$9="PLN"</formula>
    </cfRule>
    <cfRule type="expression" priority="247" dxfId="0">
      <formula>$B$9="CZK"</formula>
    </cfRule>
  </conditionalFormatting>
  <conditionalFormatting sqref="N80">
    <cfRule type="expression" priority="520" dxfId="4">
      <formula>$B$9="PLN"</formula>
    </cfRule>
    <cfRule type="expression" priority="521" dxfId="0">
      <formula>$B$9="CZK"</formula>
    </cfRule>
    <cfRule type="expression" priority="522" dxfId="3">
      <formula>$B$9="USD"</formula>
    </cfRule>
    <cfRule type="expression" priority="523" dxfId="2">
      <formula>$B$9="EURO"</formula>
    </cfRule>
  </conditionalFormatting>
  <conditionalFormatting sqref="N82:N95">
    <cfRule type="cellIs" priority="232" operator="greaterThan" dxfId="1">
      <formula>0</formula>
    </cfRule>
    <cfRule type="expression" priority="233" dxfId="2">
      <formula>$B$9="EURO"</formula>
    </cfRule>
    <cfRule type="expression" priority="234" dxfId="3">
      <formula>$B$9="USD"</formula>
    </cfRule>
    <cfRule type="expression" priority="235" dxfId="4">
      <formula>$B$9="PLN"</formula>
    </cfRule>
    <cfRule type="expression" priority="236" dxfId="0">
      <formula>$B$9="CZK"</formula>
    </cfRule>
  </conditionalFormatting>
  <conditionalFormatting sqref="N97">
    <cfRule type="expression" priority="489" dxfId="4">
      <formula>$B$9="PLN"</formula>
    </cfRule>
    <cfRule type="expression" priority="490" dxfId="0">
      <formula>$B$9="CZK"</formula>
    </cfRule>
    <cfRule type="expression" priority="491" dxfId="3">
      <formula>$B$9="USD"</formula>
    </cfRule>
    <cfRule type="expression" priority="492" dxfId="2">
      <formula>$B$9="EURO"</formula>
    </cfRule>
  </conditionalFormatting>
  <conditionalFormatting sqref="N99:N112">
    <cfRule type="cellIs" priority="221" operator="greaterThan" dxfId="1">
      <formula>0</formula>
    </cfRule>
    <cfRule type="expression" priority="222" dxfId="2">
      <formula>$B$9="EURO"</formula>
    </cfRule>
    <cfRule type="expression" priority="223" dxfId="3">
      <formula>$B$9="USD"</formula>
    </cfRule>
    <cfRule type="expression" priority="224" dxfId="4">
      <formula>$B$9="PLN"</formula>
    </cfRule>
    <cfRule type="expression" priority="225" dxfId="0">
      <formula>$B$9="CZK"</formula>
    </cfRule>
  </conditionalFormatting>
  <conditionalFormatting sqref="N114">
    <cfRule type="expression" priority="321" dxfId="4">
      <formula>$B$9="PLN"</formula>
    </cfRule>
    <cfRule type="expression" priority="322" dxfId="0">
      <formula>$B$9="CZK"</formula>
    </cfRule>
    <cfRule type="expression" priority="323" dxfId="3">
      <formula>$B$9="USD"</formula>
    </cfRule>
    <cfRule type="expression" priority="324" dxfId="2">
      <formula>$B$9="EURO"</formula>
    </cfRule>
  </conditionalFormatting>
  <conditionalFormatting sqref="N116:N129 N167:N180">
    <cfRule type="cellIs" priority="210" operator="greaterThan" dxfId="1">
      <formula>0</formula>
    </cfRule>
    <cfRule type="expression" priority="211" dxfId="2">
      <formula>$B$9="EURO"</formula>
    </cfRule>
    <cfRule type="expression" priority="212" dxfId="3">
      <formula>$B$9="USD"</formula>
    </cfRule>
    <cfRule type="expression" priority="213" dxfId="4">
      <formula>$B$9="PLN"</formula>
    </cfRule>
    <cfRule type="expression" priority="214" dxfId="0">
      <formula>$B$9="CZK"</formula>
    </cfRule>
  </conditionalFormatting>
  <conditionalFormatting sqref="N131">
    <cfRule type="expression" priority="184" dxfId="4">
      <formula>$B$9="PLN"</formula>
    </cfRule>
    <cfRule type="expression" priority="185" dxfId="0">
      <formula>$B$9="CZK"</formula>
    </cfRule>
    <cfRule type="expression" priority="186" dxfId="3">
      <formula>$B$9="USD"</formula>
    </cfRule>
    <cfRule type="expression" priority="187" dxfId="2">
      <formula>$B$9="EURO"</formula>
    </cfRule>
  </conditionalFormatting>
  <conditionalFormatting sqref="N133:N146">
    <cfRule type="cellIs" priority="23" operator="greaterThan" dxfId="1">
      <formula>0</formula>
    </cfRule>
    <cfRule type="expression" priority="24" dxfId="2">
      <formula>$B$9="EURO"</formula>
    </cfRule>
    <cfRule type="expression" priority="25" dxfId="3">
      <formula>$B$9="USD"</formula>
    </cfRule>
    <cfRule type="expression" priority="26" dxfId="4">
      <formula>$B$9="PLN"</formula>
    </cfRule>
    <cfRule type="expression" priority="27" dxfId="0">
      <formula>$B$9="CZK"</formula>
    </cfRule>
  </conditionalFormatting>
  <conditionalFormatting sqref="N148">
    <cfRule type="expression" priority="153" dxfId="4">
      <formula>$B$9="PLN"</formula>
    </cfRule>
    <cfRule type="expression" priority="154" dxfId="0">
      <formula>$B$9="CZK"</formula>
    </cfRule>
    <cfRule type="expression" priority="155" dxfId="3">
      <formula>$B$9="USD"</formula>
    </cfRule>
    <cfRule type="expression" priority="156" dxfId="2">
      <formula>$B$9="EURO"</formula>
    </cfRule>
  </conditionalFormatting>
  <conditionalFormatting sqref="N150:N163">
    <cfRule type="cellIs" priority="12" operator="greaterThan" dxfId="1">
      <formula>0</formula>
    </cfRule>
    <cfRule type="expression" priority="13" dxfId="2">
      <formula>$B$9="EURO"</formula>
    </cfRule>
    <cfRule type="expression" priority="14" dxfId="3">
      <formula>$B$9="USD"</formula>
    </cfRule>
    <cfRule type="expression" priority="15" dxfId="4">
      <formula>$B$9="PLN"</formula>
    </cfRule>
    <cfRule type="expression" priority="16" dxfId="0">
      <formula>$B$9="CZK"</formula>
    </cfRule>
  </conditionalFormatting>
  <conditionalFormatting sqref="N165">
    <cfRule type="expression" priority="77" dxfId="4">
      <formula>$B$9="PLN"</formula>
    </cfRule>
    <cfRule type="expression" priority="78" dxfId="0">
      <formula>$B$9="CZK"</formula>
    </cfRule>
    <cfRule type="expression" priority="79" dxfId="3">
      <formula>$B$9="USD"</formula>
    </cfRule>
    <cfRule type="expression" priority="80" dxfId="2">
      <formula>$B$9="EURO"</formula>
    </cfRule>
  </conditionalFormatting>
  <conditionalFormatting sqref="N183:N197">
    <cfRule type="cellIs" priority="638" operator="greaterThan" dxfId="1">
      <formula>0</formula>
    </cfRule>
    <cfRule type="expression" priority="639" dxfId="2">
      <formula>$B$9="EURO"</formula>
    </cfRule>
    <cfRule type="expression" priority="640" dxfId="3">
      <formula>$B$9="USD"</formula>
    </cfRule>
    <cfRule type="expression" priority="641" dxfId="4">
      <formula>$B$9="PLN"</formula>
    </cfRule>
    <cfRule type="expression" priority="642" dxfId="0">
      <formula>$B$9="CZK"</formula>
    </cfRule>
  </conditionalFormatting>
  <conditionalFormatting sqref="N182:O182">
    <cfRule type="expression" priority="646" dxfId="4">
      <formula>$B$9="PLN"</formula>
    </cfRule>
    <cfRule type="expression" priority="647" dxfId="0">
      <formula>$B$9="CZK"</formula>
    </cfRule>
    <cfRule type="expression" priority="648" dxfId="3">
      <formula>$B$9="USD"</formula>
    </cfRule>
    <cfRule type="expression" priority="649" dxfId="2">
      <formula>$B$9="EURO"</formula>
    </cfRule>
  </conditionalFormatting>
  <conditionalFormatting sqref="O14:O27">
    <cfRule type="cellIs" priority="635" operator="greaterThan" dxfId="5">
      <formula>0</formula>
    </cfRule>
  </conditionalFormatting>
  <conditionalFormatting sqref="O31:O44">
    <cfRule type="cellIs" priority="270" operator="greaterThan" dxfId="5">
      <formula>0</formula>
    </cfRule>
  </conditionalFormatting>
  <conditionalFormatting sqref="O48:O61">
    <cfRule type="cellIs" priority="259" operator="greaterThan" dxfId="5">
      <formula>0</formula>
    </cfRule>
  </conditionalFormatting>
  <conditionalFormatting sqref="O65:O78">
    <cfRule type="cellIs" priority="248" operator="greaterThan" dxfId="5">
      <formula>0</formula>
    </cfRule>
  </conditionalFormatting>
  <conditionalFormatting sqref="O82:O95">
    <cfRule type="cellIs" priority="237" operator="greaterThan" dxfId="5">
      <formula>0</formula>
    </cfRule>
  </conditionalFormatting>
  <conditionalFormatting sqref="O99:O112">
    <cfRule type="cellIs" priority="226" operator="greaterThan" dxfId="5">
      <formula>0</formula>
    </cfRule>
  </conditionalFormatting>
  <conditionalFormatting sqref="O116:O129 O167:O180">
    <cfRule type="cellIs" priority="215" operator="greaterThan" dxfId="5">
      <formula>0</formula>
    </cfRule>
  </conditionalFormatting>
  <conditionalFormatting sqref="O133:O146">
    <cfRule type="cellIs" priority="28" operator="greaterThan" dxfId="5">
      <formula>0</formula>
    </cfRule>
  </conditionalFormatting>
  <conditionalFormatting sqref="O150:O163">
    <cfRule type="cellIs" priority="17" operator="greaterThan" dxfId="5">
      <formula>0</formula>
    </cfRule>
  </conditionalFormatting>
  <conditionalFormatting sqref="O183:O197">
    <cfRule type="cellIs" priority="660" operator="greaterThan" dxfId="5">
      <formula>0</formula>
    </cfRule>
  </conditionalFormatting>
  <conditionalFormatting sqref="Q16">
    <cfRule type="cellIs" priority="405" operator="greaterThan" dxfId="1">
      <formula>0</formula>
    </cfRule>
    <cfRule type="expression" priority="406" dxfId="2">
      <formula>$B$9="EURO"</formula>
    </cfRule>
    <cfRule type="expression" priority="407" dxfId="3">
      <formula>$B$9="USD"</formula>
    </cfRule>
    <cfRule type="expression" priority="408" dxfId="4">
      <formula>$B$9="PLN"</formula>
    </cfRule>
    <cfRule type="expression" priority="409" dxfId="0">
      <formula>$B$9="CZK"</formula>
    </cfRule>
  </conditionalFormatting>
  <dataValidations count="7">
    <dataValidation sqref="C27 C44 C61 C78 C95 C112 C129 C146 C163 C180" showDropDown="0" showInputMessage="1" showErrorMessage="1" allowBlank="1" type="list">
      <formula1>"0,0.5,1,1.5,2,2.5,3,3.5,4,4.5,5"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0:C21 C37:C38 C54:C55 C71:C72 C88:C89 C105:C106 C122:C123 C139:C140 C156:C157 C173:C174 I16 I33 I50 I67 I84 I101 I118 I135 I152 I169" showDropDown="0" showInputMessage="1" showErrorMessage="1" allowBlank="1" type="list">
      <formula1>"0,1,2,3,4,5,6,7,8,9,10,11,12,13,14,15,16,17,18,19,20"</formula1>
    </dataValidation>
    <dataValidation sqref="E14 E31 E48 E65 E82 E99 E116 E133 E150 E167" showDropDown="0" showInputMessage="1" showErrorMessage="1" allowBlank="1" operator="greaterThan"/>
    <dataValidation sqref="C14 C31 C48 C65 C82 C99 C116 C133 C150 C167" showDropDown="0" showInputMessage="1" showErrorMessage="1" allowBlank="1" type="list">
      <formula1>"WALL, ISLAND"</formula1>
    </dataValidation>
    <dataValidation sqref="G181" showDropDown="0" showInputMessage="1" showErrorMessage="1" allowBlank="1" type="list">
      <formula1>#REF!</formula1>
    </dataValidation>
    <dataValidation sqref="D26 D43 D60 D77 D94 D111 D128 D145 D162 D179" showDropDown="0" showInputMessage="1" showErrorMessage="1" allowBlank="1" type="list">
      <formula1>"0,1,2,3,4,5,6,7,8,9,10"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2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 codeName="Sheet21">
    <tabColor theme="8" tint="0.7999816888943144"/>
    <outlinePr summaryBelow="1" summaryRight="1"/>
    <pageSetUpPr fitToPage="1"/>
  </sheetPr>
  <dimension ref="A1:Z310"/>
  <sheetViews>
    <sheetView showGridLines="0" zoomScale="80" zoomScaleNormal="80" zoomScaleSheetLayoutView="50" workbookViewId="0">
      <selection activeCell="K16" sqref="K16"/>
    </sheetView>
  </sheetViews>
  <sheetFormatPr baseColWidth="10" defaultColWidth="8.83203125" defaultRowHeight="15" customHeight="1" outlineLevelRow="1"/>
  <cols>
    <col width="2" customWidth="1" style="666" min="1" max="1"/>
    <col width="32.33203125" customWidth="1" style="1095" min="2" max="2"/>
    <col width="25.83203125" bestFit="1" customWidth="1" style="1095" min="3" max="3"/>
    <col width="27.1640625" customWidth="1" style="1095" min="4" max="4"/>
    <col width="24.83203125" customWidth="1" style="1095" min="5" max="5"/>
    <col width="18.83203125" customWidth="1" style="1095" min="6" max="6"/>
    <col width="20.33203125" customWidth="1" style="1095" min="7" max="7"/>
    <col width="9.33203125" bestFit="1" customWidth="1" style="1096" min="8" max="8"/>
    <col width="11.83203125" customWidth="1" style="1096" min="9" max="9"/>
    <col width="14.83203125" bestFit="1" customWidth="1" style="1097" min="10" max="10"/>
    <col width="17.5" customWidth="1" style="1098" min="11" max="11"/>
    <col width="7.6640625" bestFit="1" customWidth="1" style="1098" min="12" max="12"/>
    <col hidden="1" width="15.5" customWidth="1" style="1099" min="13" max="13"/>
    <col width="13.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8"/>
    <col width="8.83203125" customWidth="1" style="1095" min="99" max="16384"/>
  </cols>
  <sheetData>
    <row r="1" ht="15" customHeight="1" s="1085">
      <c r="B1" s="1116" t="inlineStr">
        <is>
          <t>F24 - 19  CANOPY COST SHEET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>
        <f>IF(CANOPY!C3="","",CANOPY!C3)</f>
        <v/>
      </c>
      <c r="F3" s="690" t="inlineStr">
        <is>
          <t>Project Name</t>
        </is>
      </c>
      <c r="G3" s="1071">
        <f>IF(CANOPY!G3="","",CANOPY!G3)</f>
        <v/>
      </c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>
        <f>IF(CANOPY!C5="","",CANOPY!C5)</f>
        <v/>
      </c>
      <c r="F5" s="690" t="inlineStr">
        <is>
          <t>Location</t>
        </is>
      </c>
      <c r="G5" s="1071">
        <f>IF(CANOPY!G5="","",CANOPY!G5)</f>
        <v/>
      </c>
      <c r="M5" s="684" t="n"/>
      <c r="N5" s="685" t="n"/>
      <c r="P5" s="694" t="n"/>
      <c r="R5" s="687" t="n"/>
      <c r="S5" s="688" t="n"/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>
        <f>IF(CANOPY!C7="","",CANOPY!C7)</f>
        <v/>
      </c>
      <c r="F7" s="690" t="inlineStr">
        <is>
          <t>Date</t>
        </is>
      </c>
      <c r="G7" s="1075">
        <f>IF(CANOPY!G7="","",CANOPY!G7)</f>
        <v/>
      </c>
      <c r="N7" s="699" t="inlineStr">
        <is>
          <t>Revision No</t>
        </is>
      </c>
      <c r="O7" s="1141">
        <f>IF(CANOPY!O7="","",CANOPY!O7)</f>
        <v/>
      </c>
      <c r="P7" s="694" t="n"/>
      <c r="R7" s="687" t="n"/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P8" s="694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52" t="n">
        <v>0</v>
      </c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9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 xml:space="preserve">ITEM  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95" t="n"/>
      <c r="Q12" s="1095" t="n"/>
      <c r="R12" s="1095" t="n"/>
      <c r="S12" s="713" t="n"/>
      <c r="T12" s="1095" t="n"/>
      <c r="X12" s="1095" t="n"/>
      <c r="Y12" s="1095" t="n"/>
      <c r="Z12" s="1095" t="n"/>
    </row>
    <row r="13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CANOPY TYPE</t>
        </is>
      </c>
      <c r="E14" s="734" t="n"/>
      <c r="F14" s="734" t="n"/>
      <c r="G14" s="734" t="n"/>
      <c r="H14" s="735" t="n"/>
      <c r="I14" s="734" t="n"/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LIGHT SELECTION</t>
        </is>
      </c>
      <c r="D15" s="741" t="n"/>
      <c r="E15" s="848" t="n"/>
      <c r="F15" s="743" t="n"/>
      <c r="G15" s="744" t="n"/>
      <c r="H15" s="668" t="n"/>
      <c r="I15" s="668" t="n"/>
      <c r="J15" s="736">
        <f>IF(ISNA(C12),0,IF(D15=0,0,IF(C15="FLO",VLOOKUP(E15,'Base Costs'!$M$4:$N$12,2,FALSE),IF(C15="LED STRIP",VLOOKUP(E15,'Base Costs'!$M$4:$N$12,2,FALSE),(VLOOKUP(C15,'Base Costs'!$M$4:$N$12,2,FALSE))))))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outlineLevel="1" ht="15" customHeight="1" s="1085">
      <c r="A16" s="666" t="n">
        <v>234</v>
      </c>
      <c r="B16" s="269" t="inlineStr">
        <is>
          <t xml:space="preserve">FIRE SUPPRESSION </t>
        </is>
      </c>
      <c r="C16" s="953" t="inlineStr">
        <is>
          <t>FIRE SUPPRESSION</t>
        </is>
      </c>
      <c r="D16" s="746" t="n"/>
      <c r="E16" s="1103" t="n"/>
      <c r="F16" s="748" t="n"/>
      <c r="G16" s="749" t="n"/>
      <c r="H16" s="750" t="n"/>
      <c r="I16" s="751" t="n">
        <v>1</v>
      </c>
      <c r="J16" s="736">
        <f>VLOOKUP(C16,'Base Costs'!$U$4:$V$41,2,FALSE)</f>
        <v/>
      </c>
      <c r="K16" s="737">
        <f>J16*1</f>
        <v/>
      </c>
      <c r="L16" s="738" t="n">
        <v>0.25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outlineLevel="1" ht="15" customHeight="1" s="1085">
      <c r="B17" s="269" t="inlineStr">
        <is>
          <t>TANK INSTALL</t>
        </is>
      </c>
      <c r="C17" s="953" t="inlineStr">
        <is>
          <t>TANK INSTALL</t>
        </is>
      </c>
      <c r="D17" s="966" t="n">
        <v>1</v>
      </c>
      <c r="E17" s="753" t="n"/>
      <c r="F17" s="754" t="n"/>
      <c r="G17" s="749" t="n"/>
      <c r="H17" s="750" t="n"/>
      <c r="I17" s="755" t="n"/>
      <c r="J17" s="736">
        <f>VLOOKUP(C17,'Base Costs'!$U$44:$V$56,2,FALSE)</f>
        <v/>
      </c>
      <c r="K17" s="737">
        <f>J17*D17</f>
        <v/>
      </c>
      <c r="L17" s="738" t="n">
        <v>0.35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outlineLevel="1" ht="15" customHeight="1" s="1085">
      <c r="B18" s="269" t="inlineStr">
        <is>
          <t>SPECIAL WORKS</t>
        </is>
      </c>
      <c r="C18" s="752" t="inlineStr">
        <is>
          <t>SELECT WORKS</t>
        </is>
      </c>
      <c r="D18" s="735" t="n"/>
      <c r="E18" s="753">
        <f>IF(C18="","",VLOOKUP(C18,CCBASE!$A$53:$D$73,4,FALSE))</f>
        <v/>
      </c>
      <c r="F18" s="754" t="n"/>
      <c r="G18" s="749" t="n"/>
      <c r="H18" s="750" t="n"/>
      <c r="I18" s="755" t="n"/>
      <c r="J18" s="736">
        <f>IF(C18="",0,VLOOKUP(C18,CCBASE!$A$53:$C$73,2,FALSE))</f>
        <v/>
      </c>
      <c r="K18" s="737">
        <f>J18*D18</f>
        <v/>
      </c>
      <c r="L18" s="738" t="n">
        <v>0.44</v>
      </c>
      <c r="M18" s="739">
        <f>K18/(1-L18)*(1+$C$9)</f>
        <v/>
      </c>
      <c r="N18" s="737">
        <f>M18*VLOOKUP($B$9,'Base Costs'!$A$32:$B$37,2,FALSE)</f>
        <v/>
      </c>
      <c r="O18" s="740">
        <f>M18-K18</f>
        <v/>
      </c>
      <c r="S18" s="694" t="n"/>
      <c r="Y18" s="1095" t="n"/>
    </row>
    <row r="19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SELECT CLADDING</t>
        </is>
      </c>
      <c r="D19" s="756">
        <f>ROUNDUP($F14/1000,0)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S19" s="694" t="n"/>
      <c r="Y19" s="1095" t="n"/>
    </row>
    <row r="20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S22" s="694" t="n"/>
      <c r="Y22" s="1095" t="n"/>
    </row>
    <row r="23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 t="n"/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>ITEM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95" t="n"/>
      <c r="Q29" s="1095" t="n"/>
      <c r="R29" s="1095" t="n"/>
      <c r="S29" s="713" t="n"/>
      <c r="T29" s="1095" t="n"/>
      <c r="X29" s="1095" t="n"/>
      <c r="Y29" s="1095" t="n"/>
      <c r="Z29" s="1095" t="n"/>
    </row>
    <row r="30" hidden="1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hidden="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hidden="1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hidden="1" outlineLevel="1" ht="15" customHeight="1" s="1085">
      <c r="A33" s="666" t="n">
        <v>234</v>
      </c>
      <c r="B33" s="269" t="inlineStr">
        <is>
          <t>FIRE SUPPRESSION</t>
        </is>
      </c>
      <c r="C33" s="953" t="inlineStr">
        <is>
          <t>FIRE SUPPRESSION</t>
        </is>
      </c>
      <c r="D33" s="746" t="n"/>
      <c r="E33" s="747" t="n"/>
      <c r="F33" s="748" t="n"/>
      <c r="G33" s="749" t="n"/>
      <c r="H33" s="750" t="n"/>
      <c r="I33" s="751" t="n">
        <v>1</v>
      </c>
      <c r="J33" s="736">
        <f>VLOOKUP(C33,'Base Costs'!$U$4:$V$41,2,FALSE)</f>
        <v/>
      </c>
      <c r="K33" s="737">
        <f>J33*1</f>
        <v/>
      </c>
      <c r="L33" s="738" t="n">
        <v>0.25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hidden="1" outlineLevel="1" ht="15" customHeight="1" s="1085">
      <c r="B34" s="269" t="inlineStr">
        <is>
          <t>TANK INSTALL</t>
        </is>
      </c>
      <c r="C34" s="953" t="inlineStr">
        <is>
          <t>TANK INSTALL</t>
        </is>
      </c>
      <c r="D34" s="966" t="n">
        <v>1</v>
      </c>
      <c r="E34" s="753" t="n"/>
      <c r="F34" s="754" t="n"/>
      <c r="G34" s="749" t="n"/>
      <c r="H34" s="750" t="n"/>
      <c r="I34" s="755" t="n"/>
      <c r="J34" s="736">
        <f>VLOOKUP(C34,'Base Costs'!$U$44:$V$56,2,FALSE)</f>
        <v/>
      </c>
      <c r="K34" s="737">
        <f>J34*D34</f>
        <v/>
      </c>
      <c r="L34" s="738" t="n">
        <v>0.35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hidden="1" outlineLevel="1" ht="15" customHeight="1" s="1085">
      <c r="B35" s="269" t="inlineStr">
        <is>
          <t>SPECIAL WORKS</t>
        </is>
      </c>
      <c r="C35" s="752" t="inlineStr">
        <is>
          <t>SELECT WORKS</t>
        </is>
      </c>
      <c r="D35" s="735" t="n"/>
      <c r="E35" s="1109" t="n"/>
      <c r="G35" s="749" t="n"/>
      <c r="H35" s="750" t="n"/>
      <c r="I35" s="755" t="n"/>
      <c r="J35" s="736">
        <f>IF(C35="",0,VLOOKUP(C35,CCBASE!$A$53:$C$73,2,FALSE))</f>
        <v/>
      </c>
      <c r="K35" s="737">
        <f>J35*D35</f>
        <v/>
      </c>
      <c r="L35" s="738" t="n">
        <v>0.44</v>
      </c>
      <c r="M35" s="739">
        <f>K35/(1-L35)*(1+$C$9)</f>
        <v/>
      </c>
      <c r="N35" s="737">
        <f>M35*VLOOKUP($B$9,'Base Costs'!$A$32:$B$37,2,FALSE)</f>
        <v/>
      </c>
      <c r="O35" s="740">
        <f>M35-K35</f>
        <v/>
      </c>
      <c r="S35" s="694" t="n"/>
      <c r="Y35" s="1095" t="n"/>
    </row>
    <row r="36" hidden="1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SELECT CLADDING</t>
        </is>
      </c>
      <c r="D36" s="756">
        <f>ROUNDUP($F31/1000,0)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Y36" s="1095" t="n"/>
    </row>
    <row r="37" hidden="1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hidden="1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hidden="1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S39" s="694" t="n"/>
      <c r="Y39" s="1095" t="n"/>
    </row>
    <row r="40" hidden="1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 t="n"/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hidden="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hidden="1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hidden="1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hidden="1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collapsed="1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95" t="n"/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269" t="inlineStr">
        <is>
          <t xml:space="preserve">FIRE SUPPRESSION </t>
        </is>
      </c>
      <c r="C50" s="953" t="inlineStr">
        <is>
          <t>FIRE SUPPRESSION</t>
        </is>
      </c>
      <c r="D50" s="746" t="n"/>
      <c r="E50" s="747" t="n"/>
      <c r="F50" s="748" t="n"/>
      <c r="G50" s="749" t="n"/>
      <c r="H50" s="750" t="n"/>
      <c r="I50" s="751" t="n">
        <v>1</v>
      </c>
      <c r="J50" s="736">
        <f>VLOOKUP(C50,'Base Costs'!$U$4:$V$41,2,FALSE)</f>
        <v/>
      </c>
      <c r="K50" s="737">
        <f>J50*1</f>
        <v/>
      </c>
      <c r="L50" s="738" t="n">
        <v>0.25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269" t="inlineStr">
        <is>
          <t>TANK INSTALL</t>
        </is>
      </c>
      <c r="C51" s="953" t="inlineStr">
        <is>
          <t>TANK INSTALL</t>
        </is>
      </c>
      <c r="D51" s="966" t="n">
        <v>1</v>
      </c>
      <c r="E51" s="753" t="n"/>
      <c r="F51" s="754" t="n"/>
      <c r="G51" s="749" t="n"/>
      <c r="H51" s="750" t="n"/>
      <c r="I51" s="755" t="n"/>
      <c r="J51" s="736">
        <f>VLOOKUP(C51,'Base Costs'!$U$44:$V$56,2,FALSE)</f>
        <v/>
      </c>
      <c r="K51" s="737">
        <f>J51*D51</f>
        <v/>
      </c>
      <c r="L51" s="738" t="n">
        <v>0.35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269" t="inlineStr">
        <is>
          <t>SPECIAL WORKS</t>
        </is>
      </c>
      <c r="C52" s="752" t="inlineStr">
        <is>
          <t>SELECT WORKS</t>
        </is>
      </c>
      <c r="D52" s="735" t="n"/>
      <c r="E52" s="753">
        <f>IF(C52="","",VLOOKUP(C52,CCBASE!$A$53:$D$73,4,FALSE))</f>
        <v/>
      </c>
      <c r="F52" s="754" t="n"/>
      <c r="G52" s="749" t="n"/>
      <c r="H52" s="750" t="n"/>
      <c r="I52" s="755" t="n"/>
      <c r="J52" s="736">
        <f>IF(C52="",0,VLOOKUP(C52,CCBASE!$A$53:$C$73,2,FALSE))</f>
        <v/>
      </c>
      <c r="K52" s="737">
        <f>J52*D52</f>
        <v/>
      </c>
      <c r="L52" s="738" t="n">
        <v>0.44</v>
      </c>
      <c r="M52" s="739">
        <f>K52/(1-L52)*(1+$C$9)</f>
        <v/>
      </c>
      <c r="N52" s="737">
        <f>M52*VLOOKUP($B$9,'Base Costs'!$A$32:$B$37,2,FALSE)</f>
        <v/>
      </c>
      <c r="O52" s="740">
        <f>M52-K52</f>
        <v/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SELECT CLADDING</t>
        </is>
      </c>
      <c r="D53" s="756">
        <f>ROUNDUP($F48/1000,0)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 t="n"/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95" t="n"/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269" t="inlineStr">
        <is>
          <t xml:space="preserve">FIRE SUPPRESSION </t>
        </is>
      </c>
      <c r="C67" s="953" t="inlineStr">
        <is>
          <t>FIRE SUPPRESSION</t>
        </is>
      </c>
      <c r="D67" s="746" t="n"/>
      <c r="E67" s="747" t="n"/>
      <c r="F67" s="748" t="n"/>
      <c r="G67" s="749" t="n"/>
      <c r="H67" s="750" t="n"/>
      <c r="I67" s="751" t="n">
        <v>1</v>
      </c>
      <c r="J67" s="736">
        <f>VLOOKUP(C67,'Base Costs'!$U$4:$V$41,2,FALSE)</f>
        <v/>
      </c>
      <c r="K67" s="737">
        <f>J67*1</f>
        <v/>
      </c>
      <c r="L67" s="738" t="n">
        <v>0.25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269" t="inlineStr">
        <is>
          <t>TANK INSTALL</t>
        </is>
      </c>
      <c r="C68" s="953" t="inlineStr">
        <is>
          <t>TANK INSTALL</t>
        </is>
      </c>
      <c r="D68" s="966" t="n">
        <v>1</v>
      </c>
      <c r="E68" s="753" t="n"/>
      <c r="F68" s="754" t="n"/>
      <c r="G68" s="749" t="n"/>
      <c r="H68" s="750" t="n"/>
      <c r="I68" s="755" t="n"/>
      <c r="J68" s="736">
        <f>VLOOKUP(C68,'Base Costs'!$U$44:$V$56,2,FALSE)</f>
        <v/>
      </c>
      <c r="K68" s="737">
        <f>J68*D68</f>
        <v/>
      </c>
      <c r="L68" s="738" t="n">
        <v>0.35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269" t="inlineStr">
        <is>
          <t>SPECIAL WORKS</t>
        </is>
      </c>
      <c r="C69" s="752" t="inlineStr">
        <is>
          <t>SELECT WORKS</t>
        </is>
      </c>
      <c r="D69" s="735" t="n"/>
      <c r="E69" s="753">
        <f>IF(C69="","",VLOOKUP(C69,CCBASE!$A$53:$D$73,4,FALSE))</f>
        <v/>
      </c>
      <c r="F69" s="754" t="n"/>
      <c r="G69" s="749" t="n"/>
      <c r="H69" s="750" t="n"/>
      <c r="I69" s="755" t="n"/>
      <c r="J69" s="736">
        <f>IF(C69="",0,VLOOKUP(C69,CCBASE!$A$53:$C$73,2,FALSE))</f>
        <v/>
      </c>
      <c r="K69" s="737">
        <f>J69*D69</f>
        <v/>
      </c>
      <c r="L69" s="738" t="n">
        <v>0.44</v>
      </c>
      <c r="M69" s="739">
        <f>K69/(1-L69)*(1+$C$9)</f>
        <v/>
      </c>
      <c r="N69" s="737">
        <f>M69*VLOOKUP($B$9,'Base Costs'!$A$32:$B$37,2,FALSE)</f>
        <v/>
      </c>
      <c r="O69" s="740">
        <f>M69-K69</f>
        <v/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ROUNDUP($F65/1000,0)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 t="n"/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95" t="n"/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269" t="inlineStr">
        <is>
          <t xml:space="preserve">FIRE SUPPRESSION </t>
        </is>
      </c>
      <c r="C84" s="953" t="inlineStr">
        <is>
          <t>FIRE SUPPRESSION</t>
        </is>
      </c>
      <c r="D84" s="746" t="n"/>
      <c r="E84" s="747" t="n"/>
      <c r="F84" s="748" t="n"/>
      <c r="G84" s="749" t="n"/>
      <c r="H84" s="750" t="n"/>
      <c r="I84" s="751" t="n">
        <v>1</v>
      </c>
      <c r="J84" s="736">
        <f>VLOOKUP(C84,'Base Costs'!$U$4:$V$41,2,FALSE)</f>
        <v/>
      </c>
      <c r="K84" s="737">
        <f>J84*1</f>
        <v/>
      </c>
      <c r="L84" s="738" t="n">
        <v>0.25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TANK INSTALL</t>
        </is>
      </c>
      <c r="C85" s="953" t="inlineStr">
        <is>
          <t>TANK INSTALL</t>
        </is>
      </c>
      <c r="D85" s="966" t="n">
        <v>1</v>
      </c>
      <c r="E85" s="753" t="n"/>
      <c r="F85" s="754" t="n"/>
      <c r="G85" s="749" t="n"/>
      <c r="H85" s="750" t="n"/>
      <c r="I85" s="755" t="n"/>
      <c r="J85" s="736">
        <f>VLOOKUP(C85,'Base Costs'!$U$44:$V$56,2,FALSE)</f>
        <v/>
      </c>
      <c r="K85" s="737">
        <f>J85*D85</f>
        <v/>
      </c>
      <c r="L85" s="738" t="n">
        <v>0.35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269" t="inlineStr">
        <is>
          <t>SPECIAL WORKS</t>
        </is>
      </c>
      <c r="C86" s="752" t="inlineStr">
        <is>
          <t>SELECT WORKS</t>
        </is>
      </c>
      <c r="D86" s="735" t="n"/>
      <c r="E86" s="753">
        <f>IF(C86="","",VLOOKUP(C86,CCBASE!$A$53:$D$73,4,FALSE))</f>
        <v/>
      </c>
      <c r="F86" s="754" t="n"/>
      <c r="G86" s="749" t="n"/>
      <c r="H86" s="750" t="n"/>
      <c r="I86" s="755" t="n"/>
      <c r="J86" s="736">
        <f>IF(C86="",0,VLOOKUP(C86,CCBASE!$A$53:$C$73,2,FALSE))</f>
        <v/>
      </c>
      <c r="K86" s="737">
        <f>J86*D86</f>
        <v/>
      </c>
      <c r="L86" s="738" t="n">
        <v>0.44</v>
      </c>
      <c r="M86" s="739">
        <f>K86/(1-L86)*(1+$C$9)</f>
        <v/>
      </c>
      <c r="N86" s="737">
        <f>M86*VLOOKUP($B$9,'Base Costs'!$A$32:$B$37,2,FALSE)</f>
        <v/>
      </c>
      <c r="O86" s="740">
        <f>M86-K86</f>
        <v/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ROUNDUP($F82/1000,0)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 t="n"/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IF(ISNUMBER(SEARCH("UV",HD4)),49.7,71.75)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95" t="n"/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269" t="inlineStr">
        <is>
          <t>FIRE SUPPRESSION</t>
        </is>
      </c>
      <c r="C101" s="953" t="inlineStr">
        <is>
          <t>FIRE SUPPRESSION</t>
        </is>
      </c>
      <c r="D101" s="746" t="n"/>
      <c r="E101" s="747" t="n"/>
      <c r="F101" s="748" t="n"/>
      <c r="G101" s="749" t="n"/>
      <c r="H101" s="750" t="n"/>
      <c r="I101" s="751" t="n">
        <v>1</v>
      </c>
      <c r="J101" s="736">
        <f>VLOOKUP(C101,'Base Costs'!$U$4:$V$41,2,FALSE)</f>
        <v/>
      </c>
      <c r="K101" s="737">
        <f>J101*1</f>
        <v/>
      </c>
      <c r="L101" s="738" t="n">
        <v>0.25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269" t="inlineStr">
        <is>
          <t>TANK INSTALL</t>
        </is>
      </c>
      <c r="C102" s="953" t="inlineStr">
        <is>
          <t>TANK INSTALL</t>
        </is>
      </c>
      <c r="D102" s="966" t="n">
        <v>1</v>
      </c>
      <c r="E102" s="753" t="n"/>
      <c r="F102" s="754" t="n"/>
      <c r="G102" s="749" t="n"/>
      <c r="H102" s="750" t="n"/>
      <c r="I102" s="755" t="n"/>
      <c r="J102" s="736">
        <f>VLOOKUP(C102,'Base Costs'!$U$44:$V$56,2,FALSE)</f>
        <v/>
      </c>
      <c r="K102" s="737">
        <f>J102*D102</f>
        <v/>
      </c>
      <c r="L102" s="738" t="n">
        <v>0.35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584" t="inlineStr">
        <is>
          <t>SPECIAL WORKS</t>
        </is>
      </c>
      <c r="C103" s="33" t="inlineStr">
        <is>
          <t>SELECT WORKS</t>
        </is>
      </c>
      <c r="D103" s="735" t="n"/>
      <c r="E103" s="753">
        <f>IF(C103="","",VLOOKUP(C103,CCBASE!$A$53:$D$73,4,FALSE))</f>
        <v/>
      </c>
      <c r="F103" s="754" t="n"/>
      <c r="G103" s="749" t="n"/>
      <c r="H103" s="750" t="n"/>
      <c r="I103" s="755" t="n"/>
      <c r="J103" s="736">
        <f>IF(C103="",0,VLOOKUP(C103,CCBASE!$A$53:$C$73,2,FALSE))</f>
        <v/>
      </c>
      <c r="K103" s="737">
        <f>J103*D103</f>
        <v/>
      </c>
      <c r="L103" s="738" t="n">
        <v>0.44</v>
      </c>
      <c r="M103" s="739">
        <f>K103/(1-L103)*(1+$C$9)</f>
        <v/>
      </c>
      <c r="N103" s="737">
        <f>M103*VLOOKUP($B$9,'Base Costs'!$A$32:$B$37,2,FALSE)</f>
        <v/>
      </c>
      <c r="O103" s="740">
        <f>M103-K103</f>
        <v/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ROUNDUP($F99/1000,0)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 t="n"/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IF(ISNUMBER(SEARCH("UV",HD21)),49.7,71.75)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95" t="n"/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269" t="inlineStr">
        <is>
          <t>FIRE SUPPRESSION</t>
        </is>
      </c>
      <c r="C118" s="953" t="inlineStr">
        <is>
          <t>FIRE SUPPRESSION</t>
        </is>
      </c>
      <c r="D118" s="746" t="n"/>
      <c r="E118" s="747" t="n"/>
      <c r="F118" s="748" t="n"/>
      <c r="G118" s="749" t="n"/>
      <c r="H118" s="750" t="n"/>
      <c r="I118" s="751" t="n">
        <v>1</v>
      </c>
      <c r="J118" s="736">
        <f>VLOOKUP(C118,'Base Costs'!$U$4:$V$41,2,FALSE)</f>
        <v/>
      </c>
      <c r="K118" s="737">
        <f>J118*1</f>
        <v/>
      </c>
      <c r="L118" s="738" t="n">
        <v>0.25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269" t="inlineStr">
        <is>
          <t>TANK INSTALL</t>
        </is>
      </c>
      <c r="C119" s="953" t="inlineStr">
        <is>
          <t>TANK INSTALL</t>
        </is>
      </c>
      <c r="D119" s="966" t="n">
        <v>1</v>
      </c>
      <c r="E119" s="753" t="n"/>
      <c r="F119" s="754" t="n"/>
      <c r="G119" s="749" t="n"/>
      <c r="H119" s="750" t="n"/>
      <c r="I119" s="755" t="n"/>
      <c r="J119" s="736">
        <f>VLOOKUP(C119,'Base Costs'!$U$44:$V$56,2,FALSE)</f>
        <v/>
      </c>
      <c r="K119" s="737">
        <f>J119*D119</f>
        <v/>
      </c>
      <c r="L119" s="738" t="n">
        <v>0.35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584" t="inlineStr">
        <is>
          <t>SPECIAL WORKS</t>
        </is>
      </c>
      <c r="C120" s="33" t="inlineStr">
        <is>
          <t>SELECT WORKS</t>
        </is>
      </c>
      <c r="D120" s="735" t="n"/>
      <c r="E120" s="753">
        <f>IF(C120="","",VLOOKUP(C120,CCBASE!$A$53:$D$73,4,FALSE))</f>
        <v/>
      </c>
      <c r="F120" s="754" t="n"/>
      <c r="G120" s="749" t="n"/>
      <c r="H120" s="750" t="n"/>
      <c r="I120" s="755" t="n"/>
      <c r="J120" s="736">
        <f>IF(C120="",0,VLOOKUP(C120,CCBASE!$A$53:$C$73,2,FALSE))</f>
        <v/>
      </c>
      <c r="K120" s="737">
        <f>J120*D120</f>
        <v/>
      </c>
      <c r="L120" s="738" t="n">
        <v>0.44</v>
      </c>
      <c r="M120" s="739">
        <f>K120/(1-L120)*(1+$C$9)</f>
        <v/>
      </c>
      <c r="N120" s="737">
        <f>M120*VLOOKUP($B$9,'Base Costs'!$A$32:$B$37,2,FALSE)</f>
        <v/>
      </c>
      <c r="O120" s="740">
        <f>M120-K120</f>
        <v/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ROUNDUP($F116/1000,0)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 t="n"/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95" t="n"/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850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269" t="inlineStr">
        <is>
          <t xml:space="preserve">FIRE SUPPRESSION </t>
        </is>
      </c>
      <c r="C135" s="953" t="inlineStr">
        <is>
          <t>FIRE SUPPRESSION</t>
        </is>
      </c>
      <c r="D135" s="746" t="n"/>
      <c r="E135" s="747" t="n"/>
      <c r="F135" s="748" t="n"/>
      <c r="G135" s="749" t="n"/>
      <c r="H135" s="750" t="n"/>
      <c r="I135" s="751" t="n">
        <v>1</v>
      </c>
      <c r="J135" s="736">
        <f>VLOOKUP(C135,'Base Costs'!$U$4:$V$41,2,FALSE)</f>
        <v/>
      </c>
      <c r="K135" s="737">
        <f>J135*1</f>
        <v/>
      </c>
      <c r="L135" s="738" t="n">
        <v>0.25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269" t="inlineStr">
        <is>
          <t>TANK INSTALL</t>
        </is>
      </c>
      <c r="C136" s="953" t="inlineStr">
        <is>
          <t>TANK INSTALL</t>
        </is>
      </c>
      <c r="D136" s="966" t="n">
        <v>1</v>
      </c>
      <c r="E136" s="753" t="n"/>
      <c r="F136" s="754" t="n"/>
      <c r="G136" s="749" t="n"/>
      <c r="H136" s="750" t="n"/>
      <c r="I136" s="755" t="n"/>
      <c r="J136" s="736">
        <f>VLOOKUP(C136,'Base Costs'!$U$44:$V$56,2,FALSE)</f>
        <v/>
      </c>
      <c r="K136" s="737">
        <f>J136*D136</f>
        <v/>
      </c>
      <c r="L136" s="738" t="n">
        <v>0.35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269" t="inlineStr">
        <is>
          <t>SPECIAL WORKS</t>
        </is>
      </c>
      <c r="C137" s="752" t="inlineStr">
        <is>
          <t>SELECT WORKS</t>
        </is>
      </c>
      <c r="D137" s="735" t="n"/>
      <c r="E137" s="753">
        <f>IF(C137="","",VLOOKUP(C137,CCBASE!$A$53:$D$73,4,FALSE))</f>
        <v/>
      </c>
      <c r="F137" s="754" t="n"/>
      <c r="G137" s="749" t="n"/>
      <c r="H137" s="750" t="n"/>
      <c r="I137" s="755" t="n"/>
      <c r="J137" s="736">
        <f>IF(C137="",0,VLOOKUP(C137,CCBASE!$A$53:$C$73,2,FALSE))</f>
        <v/>
      </c>
      <c r="K137" s="737">
        <f>J137*D137</f>
        <v/>
      </c>
      <c r="L137" s="738" t="n">
        <v>0.44</v>
      </c>
      <c r="M137" s="739">
        <f>K137/(1-L137)*(1+$C$9)</f>
        <v/>
      </c>
      <c r="N137" s="737">
        <f>M137*VLOOKUP($B$9,'Base Costs'!$A$32:$B$37,2,FALSE)</f>
        <v/>
      </c>
      <c r="O137" s="740">
        <f>M137-K137</f>
        <v/>
      </c>
      <c r="S137" s="694" t="n"/>
      <c r="Y137" s="1095" t="n"/>
    </row>
    <row r="138" hidden="1" outlineLevel="1" ht="15" customHeight="1" s="1085">
      <c r="A138" s="666" t="n">
        <v>289</v>
      </c>
      <c r="B138" s="731" t="inlineStr">
        <is>
          <t>WALL CLADDING</t>
        </is>
      </c>
      <c r="C138" s="752" t="inlineStr">
        <is>
          <t>SELECT CLADDING</t>
        </is>
      </c>
      <c r="D138" s="756">
        <f>ROUNDUP($F133/1000,0)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731" t="inlineStr">
        <is>
          <t>INFILL PANEL</t>
        </is>
      </c>
      <c r="C139" s="752" t="n"/>
      <c r="D139" s="742" t="inlineStr">
        <is>
          <t>m²</t>
        </is>
      </c>
      <c r="E139" s="749" t="inlineStr">
        <is>
          <t xml:space="preserve">Up to 500mm high only. </t>
        </is>
      </c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 t="n"/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IF(ISNUMBER(SEARCH("UV",HD55)),49.7,71.75)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95" t="n"/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269" t="inlineStr">
        <is>
          <t>FIRE SUPPRESSION</t>
        </is>
      </c>
      <c r="C152" s="953" t="inlineStr">
        <is>
          <t>FIRE SUPPRESSION</t>
        </is>
      </c>
      <c r="D152" s="746" t="n"/>
      <c r="E152" s="747" t="n"/>
      <c r="F152" s="748" t="n"/>
      <c r="G152" s="749" t="n"/>
      <c r="H152" s="750" t="n"/>
      <c r="I152" s="751" t="n">
        <v>1</v>
      </c>
      <c r="J152" s="736">
        <f>VLOOKUP(C152,'Base Costs'!$U$4:$V$41,2,FALSE)</f>
        <v/>
      </c>
      <c r="K152" s="737">
        <f>J152*1</f>
        <v/>
      </c>
      <c r="L152" s="738" t="n">
        <v>0.25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269" t="inlineStr">
        <is>
          <t>TANK INSTALL</t>
        </is>
      </c>
      <c r="C153" s="953" t="inlineStr">
        <is>
          <t>TANK INSTALL</t>
        </is>
      </c>
      <c r="D153" s="966" t="n">
        <v>1</v>
      </c>
      <c r="E153" s="753" t="n"/>
      <c r="F153" s="754" t="n"/>
      <c r="G153" s="749" t="n"/>
      <c r="H153" s="750" t="n"/>
      <c r="I153" s="755" t="n"/>
      <c r="J153" s="736">
        <f>VLOOKUP(C153,'Base Costs'!$U$44:$V$56,2,FALSE)</f>
        <v/>
      </c>
      <c r="K153" s="737">
        <f>J153*D153</f>
        <v/>
      </c>
      <c r="L153" s="738" t="n">
        <v>0.35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584" t="inlineStr">
        <is>
          <t>SPECIAL WORKS</t>
        </is>
      </c>
      <c r="C154" s="33" t="inlineStr">
        <is>
          <t>SELECT WORKS</t>
        </is>
      </c>
      <c r="D154" s="735" t="n"/>
      <c r="E154" s="753">
        <f>IF(C154="","",VLOOKUP(C154,CCBASE!$A$53:$D$73,4,FALSE))</f>
        <v/>
      </c>
      <c r="F154" s="754" t="n"/>
      <c r="G154" s="749" t="n"/>
      <c r="H154" s="750" t="n"/>
      <c r="I154" s="755" t="n"/>
      <c r="J154" s="736">
        <f>IF(C154="",0,VLOOKUP(C154,CCBASE!$A$53:$C$73,2,FALSE))</f>
        <v/>
      </c>
      <c r="K154" s="737">
        <f>J154*D154</f>
        <v/>
      </c>
      <c r="L154" s="738" t="n">
        <v>0.44</v>
      </c>
      <c r="M154" s="739">
        <f>K154/(1-L154)*(1+$C$9)</f>
        <v/>
      </c>
      <c r="N154" s="737">
        <f>M154*VLOOKUP($B$9,'Base Costs'!$A$32:$B$37,2,FALSE)</f>
        <v/>
      </c>
      <c r="O154" s="740">
        <f>M154-K154</f>
        <v/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ROUNDUP($F150/1000,0)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 t="n"/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IF(ISNUMBER(SEARCH("UV",HD72)),49.7,71.75)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95" t="n"/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269" t="inlineStr">
        <is>
          <t>FIRE SUPPRESSION</t>
        </is>
      </c>
      <c r="C169" s="953" t="inlineStr">
        <is>
          <t>FIRE SUPPRESSION</t>
        </is>
      </c>
      <c r="D169" s="746" t="n"/>
      <c r="E169" s="747" t="n"/>
      <c r="F169" s="748" t="n"/>
      <c r="G169" s="749" t="n"/>
      <c r="H169" s="750" t="n"/>
      <c r="I169" s="751" t="n">
        <v>1</v>
      </c>
      <c r="J169" s="736">
        <f>VLOOKUP(C169,'Base Costs'!$U$4:$V$41,2,FALSE)</f>
        <v/>
      </c>
      <c r="K169" s="737">
        <f>J169*1</f>
        <v/>
      </c>
      <c r="L169" s="738" t="n">
        <v>0.25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269" t="inlineStr">
        <is>
          <t>TANK INSTALL</t>
        </is>
      </c>
      <c r="C170" s="953" t="inlineStr">
        <is>
          <t>TANK INSTALL</t>
        </is>
      </c>
      <c r="D170" s="966" t="n">
        <v>1</v>
      </c>
      <c r="E170" s="753" t="n"/>
      <c r="F170" s="754" t="n"/>
      <c r="G170" s="749" t="n"/>
      <c r="H170" s="750" t="n"/>
      <c r="I170" s="755" t="n"/>
      <c r="J170" s="736">
        <f>VLOOKUP(C170,'Base Costs'!$U$44:$V$56,2,FALSE)</f>
        <v/>
      </c>
      <c r="K170" s="737">
        <f>J170*D170</f>
        <v/>
      </c>
      <c r="L170" s="738" t="n">
        <v>0.35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584" t="inlineStr">
        <is>
          <t>SPECIAL WORKS</t>
        </is>
      </c>
      <c r="C171" s="33" t="inlineStr">
        <is>
          <t>SELECT WORKS</t>
        </is>
      </c>
      <c r="D171" s="735" t="n"/>
      <c r="E171" s="753">
        <f>IF(C171="","",VLOOKUP(C171,CCBASE!$A$53:$D$73,4,FALSE))</f>
        <v/>
      </c>
      <c r="F171" s="754" t="n"/>
      <c r="G171" s="749" t="n"/>
      <c r="H171" s="750" t="n"/>
      <c r="I171" s="755" t="n"/>
      <c r="J171" s="736">
        <f>IF(C171="",0,VLOOKUP(C171,CCBASE!$A$53:$C$73,2,FALSE))</f>
        <v/>
      </c>
      <c r="K171" s="737">
        <f>J171*D171</f>
        <v/>
      </c>
      <c r="L171" s="738" t="n">
        <v>0.44</v>
      </c>
      <c r="M171" s="739">
        <f>K171/(1-L171)*(1+$C$9)</f>
        <v/>
      </c>
      <c r="N171" s="737">
        <f>M171*VLOOKUP($B$9,'Base Costs'!$A$32:$B$37,2,FALSE)</f>
        <v/>
      </c>
      <c r="O171" s="740">
        <f>M171-K171</f>
        <v/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ROUNDUP($F167/1000,0)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 t="n"/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10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S182" s="694" t="n"/>
    </row>
    <row r="183" ht="15" customHeight="1" s="1085">
      <c r="A183" s="666" t="n">
        <v>222</v>
      </c>
      <c r="B183" s="270" t="inlineStr">
        <is>
          <t>DELIVERY 1 x 7.5T TAIL LIFT 3200KGS</t>
        </is>
      </c>
      <c r="C183" s="774" t="n"/>
      <c r="D183" s="775" t="inlineStr">
        <is>
          <t>SELECT LOCATION…</t>
        </is>
      </c>
      <c r="E183" s="1109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/>
      <c r="D184" s="775" t="inlineStr">
        <is>
          <t>PLANT SELECTION (weekly)</t>
        </is>
      </c>
      <c r="E184" s="1126" t="inlineStr">
        <is>
          <t>OR 2.5% OF TOTAL CONTRACT VALUE</t>
        </is>
      </c>
      <c r="G184" s="748" t="n"/>
      <c r="H184" s="748" t="n"/>
      <c r="I184" s="748" t="n"/>
      <c r="J184" s="776">
        <f>VLOOKUP(D184,'Base Costs'!$A$4:$B$16,2,FALSE)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955" t="inlineStr">
        <is>
          <t xml:space="preserve">PLANT HIRE </t>
        </is>
      </c>
      <c r="C185" s="961" t="n">
        <v>1</v>
      </c>
      <c r="D185" s="954" t="inlineStr">
        <is>
          <t>PECO LIFT</t>
        </is>
      </c>
      <c r="E185" s="1123" t="inlineStr">
        <is>
          <t>OR 2.5% OF TOTAL CONTRACT VALUE</t>
        </is>
      </c>
      <c r="G185" s="748" t="n"/>
      <c r="H185" s="748" t="n"/>
      <c r="I185" s="748" t="n"/>
      <c r="J185" s="776">
        <f>VLOOKUP(D185,'Base Costs'!$A$4:$B$16,2,FALSE)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P185" s="1070" t="inlineStr">
        <is>
          <t>ALWAYS INCLUDE</t>
        </is>
      </c>
      <c r="S185" s="694" t="n"/>
    </row>
    <row r="186" ht="15" customHeight="1" s="1085">
      <c r="A186" s="666" t="n">
        <v>222</v>
      </c>
      <c r="B186" s="945" t="inlineStr">
        <is>
          <t>ANSUL DELIVERY</t>
        </is>
      </c>
      <c r="C186" s="962" t="n">
        <v>0.5</v>
      </c>
      <c r="D186" s="954" t="inlineStr">
        <is>
          <t>SELECT LOCATION…</t>
        </is>
      </c>
      <c r="E186" s="1125" t="inlineStr">
        <is>
          <t>0.5 Per Area/System</t>
        </is>
      </c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P186" s="1070" t="inlineStr">
        <is>
          <t>ALWAYS INCLUDE</t>
        </is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550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 t="n"/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955" t="inlineStr">
        <is>
          <t xml:space="preserve">INDUCTION </t>
        </is>
      </c>
      <c r="C189" s="777" t="n">
        <v>1</v>
      </c>
      <c r="D189" s="1122" t="inlineStr">
        <is>
          <t>PER PROJECT</t>
        </is>
      </c>
      <c r="G189" s="30" t="n"/>
      <c r="H189" s="30" t="n"/>
      <c r="I189" s="30" t="n"/>
      <c r="J189" s="776" t="n">
        <v>350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P189" s="1070" t="inlineStr">
        <is>
          <t>ALWAYS INCLUDE</t>
        </is>
      </c>
      <c r="S189" s="694" t="n"/>
    </row>
    <row r="190" ht="15" customHeight="1" s="1085">
      <c r="A190" s="666" t="n">
        <v>400</v>
      </c>
      <c r="B190" s="955" t="inlineStr">
        <is>
          <t>LIVE SITE TEST</t>
        </is>
      </c>
      <c r="C190" s="963" t="n">
        <v>1</v>
      </c>
      <c r="D190" s="1122" t="inlineStr">
        <is>
          <t>INCLUDE FOR ANSUL BUT SHOWN AS A LINE ITEM FOR AMEREX</t>
        </is>
      </c>
      <c r="G190" s="1121" t="inlineStr">
        <is>
          <t>JEM's ADHOC DAY RATE</t>
        </is>
      </c>
      <c r="J190" s="776" t="n">
        <v>550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P190" s="1070" t="inlineStr">
        <is>
          <t>ALWAYS INCLUDE</t>
        </is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550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24" t="inlineStr">
        <is>
          <t>ONE Engineer,  2 days per Pollustop,1 days per 3no UV &amp; W/W canopies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9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09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20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1">
    <mergeCell ref="B203:O203"/>
    <mergeCell ref="H91:I91"/>
    <mergeCell ref="G190:I190"/>
    <mergeCell ref="E121:F121"/>
    <mergeCell ref="D189:F189"/>
    <mergeCell ref="H38:I38"/>
    <mergeCell ref="H125:I125"/>
    <mergeCell ref="D194:F194"/>
    <mergeCell ref="G186:I186"/>
    <mergeCell ref="B200:O200"/>
    <mergeCell ref="C5:D5"/>
    <mergeCell ref="H141:I141"/>
    <mergeCell ref="H55:I55"/>
    <mergeCell ref="E185:F185"/>
    <mergeCell ref="B182:G182"/>
    <mergeCell ref="B202:O202"/>
    <mergeCell ref="D197:F197"/>
    <mergeCell ref="H40:I40"/>
    <mergeCell ref="H74:I74"/>
    <mergeCell ref="H176:I176"/>
    <mergeCell ref="H56:I56"/>
    <mergeCell ref="E35:F35"/>
    <mergeCell ref="H39:I39"/>
    <mergeCell ref="G9:J9"/>
    <mergeCell ref="H21:I21"/>
    <mergeCell ref="E87:F87"/>
    <mergeCell ref="H73:I73"/>
    <mergeCell ref="H157:I157"/>
    <mergeCell ref="D195:E195"/>
    <mergeCell ref="D193:F193"/>
    <mergeCell ref="E138:F138"/>
    <mergeCell ref="E19:F19"/>
    <mergeCell ref="H142:I142"/>
    <mergeCell ref="E155:F155"/>
    <mergeCell ref="H89:I89"/>
    <mergeCell ref="H123:I123"/>
    <mergeCell ref="B1:C1"/>
    <mergeCell ref="E9:F9"/>
    <mergeCell ref="H108:I108"/>
    <mergeCell ref="E186:F186"/>
    <mergeCell ref="H175:I175"/>
    <mergeCell ref="G183:I183"/>
    <mergeCell ref="E104:F104"/>
    <mergeCell ref="H72:I72"/>
    <mergeCell ref="H90:I90"/>
    <mergeCell ref="H174:I174"/>
    <mergeCell ref="B205:O205"/>
    <mergeCell ref="G7:J7"/>
    <mergeCell ref="E36:F36"/>
    <mergeCell ref="H57:I57"/>
    <mergeCell ref="H159:I159"/>
    <mergeCell ref="H22:I22"/>
    <mergeCell ref="E70:F70"/>
    <mergeCell ref="H140:I140"/>
    <mergeCell ref="H158:I158"/>
    <mergeCell ref="D196:E196"/>
    <mergeCell ref="D190:F190"/>
    <mergeCell ref="E172:F172"/>
    <mergeCell ref="C7:D7"/>
    <mergeCell ref="G3:J3"/>
    <mergeCell ref="H124:I124"/>
    <mergeCell ref="E183:F183"/>
    <mergeCell ref="B201:O201"/>
    <mergeCell ref="H23:I23"/>
    <mergeCell ref="E53:F53"/>
    <mergeCell ref="H107:I107"/>
    <mergeCell ref="B204:O204"/>
    <mergeCell ref="E184:F184"/>
    <mergeCell ref="C3:D3"/>
    <mergeCell ref="G5:J5"/>
    <mergeCell ref="H106:I106"/>
  </mergeCells>
  <conditionalFormatting sqref="B9">
    <cfRule type="containsText" priority="758" operator="containsText" dxfId="680" text="SELECT">
      <formula>NOT(ISERROR(SEARCH("SELECT",B9)))</formula>
    </cfRule>
    <cfRule type="expression" priority="759" dxfId="680">
      <formula>B9="CURRENCY"</formula>
    </cfRule>
  </conditionalFormatting>
  <conditionalFormatting sqref="B11">
    <cfRule type="expression" priority="718" dxfId="637">
      <formula>$B11&lt;&gt;""</formula>
    </cfRule>
  </conditionalFormatting>
  <conditionalFormatting sqref="B14:B23">
    <cfRule type="expression" priority="710" dxfId="633">
      <formula>$J14&gt;0</formula>
    </cfRule>
  </conditionalFormatting>
  <conditionalFormatting sqref="B24">
    <cfRule type="expression" priority="708" dxfId="358">
      <formula>($D14="CANOPY TYPE")</formula>
    </cfRule>
    <cfRule type="expression" priority="707" dxfId="633">
      <formula>ISNUMBER(SEARCH("UV",$D14))</formula>
    </cfRule>
  </conditionalFormatting>
  <conditionalFormatting sqref="B25:B27">
    <cfRule type="expression" priority="518" dxfId="633">
      <formula>$J25&gt;0</formula>
    </cfRule>
  </conditionalFormatting>
  <conditionalFormatting sqref="B28">
    <cfRule type="expression" priority="716" dxfId="637">
      <formula>$B28&lt;&gt;""</formula>
    </cfRule>
  </conditionalFormatting>
  <conditionalFormatting sqref="B31:B40">
    <cfRule type="expression" priority="275" dxfId="633">
      <formula>$J31&gt;0</formula>
    </cfRule>
  </conditionalFormatting>
  <conditionalFormatting sqref="B41">
    <cfRule type="expression" priority="675" dxfId="633">
      <formula>ISNUMBER(SEARCH("UV",$D31))</formula>
    </cfRule>
    <cfRule type="expression" priority="676" dxfId="358">
      <formula>($D31="CANOPY TYPE")</formula>
    </cfRule>
  </conditionalFormatting>
  <conditionalFormatting sqref="B42:B44">
    <cfRule type="expression" priority="677" dxfId="633">
      <formula>$J42&gt;0</formula>
    </cfRule>
  </conditionalFormatting>
  <conditionalFormatting sqref="B45">
    <cfRule type="expression" priority="715" dxfId="637">
      <formula>$B45&lt;&gt;""</formula>
    </cfRule>
  </conditionalFormatting>
  <conditionalFormatting sqref="B48:B57">
    <cfRule type="expression" priority="262" dxfId="633">
      <formula>$J48&gt;0</formula>
    </cfRule>
  </conditionalFormatting>
  <conditionalFormatting sqref="B58">
    <cfRule type="expression" priority="645" dxfId="633">
      <formula>ISNUMBER(SEARCH("UV",$D48))</formula>
    </cfRule>
    <cfRule type="expression" priority="646" dxfId="358">
      <formula>($D48="CANOPY TYPE")</formula>
    </cfRule>
  </conditionalFormatting>
  <conditionalFormatting sqref="B59:B61">
    <cfRule type="expression" priority="517" dxfId="633">
      <formula>$J59&gt;0</formula>
    </cfRule>
  </conditionalFormatting>
  <conditionalFormatting sqref="B62">
    <cfRule type="expression" priority="714" dxfId="637">
      <formula>$B62&lt;&gt;""</formula>
    </cfRule>
  </conditionalFormatting>
  <conditionalFormatting sqref="B65:B74">
    <cfRule type="expression" priority="249" dxfId="633">
      <formula>$J65&gt;0</formula>
    </cfRule>
  </conditionalFormatting>
  <conditionalFormatting sqref="B75">
    <cfRule type="expression" priority="614" dxfId="633">
      <formula>ISNUMBER(SEARCH("UV",$D65))</formula>
    </cfRule>
    <cfRule type="expression" priority="615" dxfId="358">
      <formula>($D65="CANOPY TYPE")</formula>
    </cfRule>
  </conditionalFormatting>
  <conditionalFormatting sqref="B76:B78">
    <cfRule type="expression" priority="516" dxfId="633">
      <formula>$J76&gt;0</formula>
    </cfRule>
  </conditionalFormatting>
  <conditionalFormatting sqref="B79">
    <cfRule type="expression" priority="713" dxfId="637">
      <formula>$B79&lt;&gt;""</formula>
    </cfRule>
  </conditionalFormatting>
  <conditionalFormatting sqref="B82:B91">
    <cfRule type="expression" priority="236" dxfId="633">
      <formula>$J82&gt;0</formula>
    </cfRule>
  </conditionalFormatting>
  <conditionalFormatting sqref="B92">
    <cfRule type="expression" priority="582" dxfId="633">
      <formula>ISNUMBER(SEARCH("UV",$D82))</formula>
    </cfRule>
    <cfRule type="expression" priority="583" dxfId="358">
      <formula>($D82="CANOPY TYPE")</formula>
    </cfRule>
  </conditionalFormatting>
  <conditionalFormatting sqref="B93:B95">
    <cfRule type="expression" priority="515" dxfId="633">
      <formula>$J93&gt;0</formula>
    </cfRule>
  </conditionalFormatting>
  <conditionalFormatting sqref="B96">
    <cfRule type="expression" priority="712" dxfId="637">
      <formula>$B96&lt;&gt;""</formula>
    </cfRule>
  </conditionalFormatting>
  <conditionalFormatting sqref="B99:B108">
    <cfRule type="expression" priority="223" dxfId="633">
      <formula>$J99&gt;0</formula>
    </cfRule>
  </conditionalFormatting>
  <conditionalFormatting sqref="B109">
    <cfRule type="expression" priority="552" dxfId="358">
      <formula>($D99="CANOPY TYPE")</formula>
    </cfRule>
    <cfRule type="expression" priority="551" dxfId="633">
      <formula>ISNUMBER(SEARCH("UV",$D99))</formula>
    </cfRule>
  </conditionalFormatting>
  <conditionalFormatting sqref="B110:B112 B127:B129 B161:B163 B178:B180">
    <cfRule type="expression" priority="514" dxfId="633">
      <formula>$J110&gt;0</formula>
    </cfRule>
  </conditionalFormatting>
  <conditionalFormatting sqref="B113">
    <cfRule type="expression" priority="351" dxfId="637">
      <formula>$B113&lt;&gt;""</formula>
    </cfRule>
  </conditionalFormatting>
  <conditionalFormatting sqref="B116:B125">
    <cfRule type="expression" priority="210" dxfId="633">
      <formula>$J116&gt;0</formula>
    </cfRule>
  </conditionalFormatting>
  <conditionalFormatting sqref="B126">
    <cfRule type="expression" priority="324" dxfId="358">
      <formula>($D116="CANOPY TYPE")</formula>
    </cfRule>
    <cfRule type="expression" priority="323" dxfId="633">
      <formula>ISNUMBER(SEARCH("UV",$D116))</formula>
    </cfRule>
  </conditionalFormatting>
  <conditionalFormatting sqref="B130">
    <cfRule type="expression" priority="189" dxfId="637">
      <formula>$B130&lt;&gt;""</formula>
    </cfRule>
  </conditionalFormatting>
  <conditionalFormatting sqref="B133:B142">
    <cfRule type="expression" priority="21" dxfId="633">
      <formula>$J133&gt;0</formula>
    </cfRule>
  </conditionalFormatting>
  <conditionalFormatting sqref="B143">
    <cfRule type="expression" priority="159" dxfId="633">
      <formula>ISNUMBER(SEARCH("UV",$D133))</formula>
    </cfRule>
    <cfRule type="expression" priority="160" dxfId="358">
      <formula>($D133="CANOPY TYPE")</formula>
    </cfRule>
  </conditionalFormatting>
  <conditionalFormatting sqref="B144:B146">
    <cfRule type="expression" priority="118" dxfId="633">
      <formula>$J144&gt;0</formula>
    </cfRule>
  </conditionalFormatting>
  <conditionalFormatting sqref="B147">
    <cfRule type="expression" priority="188" dxfId="637">
      <formula>$B147&lt;&gt;""</formula>
    </cfRule>
  </conditionalFormatting>
  <conditionalFormatting sqref="B150:B159">
    <cfRule type="expression" priority="10" dxfId="633">
      <formula>$J150&gt;0</formula>
    </cfRule>
  </conditionalFormatting>
  <conditionalFormatting sqref="B160">
    <cfRule type="expression" priority="131" dxfId="358">
      <formula>($D150="CANOPY TYPE")</formula>
    </cfRule>
    <cfRule type="expression" priority="130" dxfId="633">
      <formula>ISNUMBER(SEARCH("UV",$D150))</formula>
    </cfRule>
  </conditionalFormatting>
  <conditionalFormatting sqref="B164">
    <cfRule type="expression" priority="81" dxfId="637">
      <formula>$B164&lt;&gt;""</formula>
    </cfRule>
  </conditionalFormatting>
  <conditionalFormatting sqref="B167:B176">
    <cfRule type="expression" priority="5" dxfId="633">
      <formula>$J167&gt;0</formula>
    </cfRule>
  </conditionalFormatting>
  <conditionalFormatting sqref="B177">
    <cfRule type="expression" priority="54" dxfId="633">
      <formula>ISNUMBER(SEARCH("UV",$D167))</formula>
    </cfRule>
    <cfRule type="expression" priority="55" dxfId="358">
      <formula>($D167="CANOPY TYPE")</formula>
    </cfRule>
  </conditionalFormatting>
  <conditionalFormatting sqref="B183:B197">
    <cfRule type="expression" priority="709" dxfId="633">
      <formula>$C183&gt;0</formula>
    </cfRule>
  </conditionalFormatting>
  <conditionalFormatting sqref="C14">
    <cfRule type="containsText" priority="504" operator="containsText" dxfId="204" text="CONFIG">
      <formula>NOT(ISERROR(SEARCH("CONFIG",C14)))</formula>
    </cfRule>
  </conditionalFormatting>
  <conditionalFormatting sqref="C15">
    <cfRule type="containsText" priority="509" operator="containsText" dxfId="561" text="LIGHT SELECTION">
      <formula>NOT(ISERROR(SEARCH("LIGHT SELECTION",C15)))</formula>
    </cfRule>
  </conditionalFormatting>
  <conditionalFormatting sqref="C16:C17">
    <cfRule type="containsText" priority="767" operator="containsText" dxfId="561" text="ANSUL SELECTION">
      <formula>NOT(ISERROR(SEARCH("ANSUL SELECTION",C16)))</formula>
    </cfRule>
  </conditionalFormatting>
  <conditionalFormatting sqref="C20:C21">
    <cfRule type="cellIs" priority="764" operator="lessThan" dxfId="561">
      <formula>1</formula>
    </cfRule>
  </conditionalFormatting>
  <conditionalFormatting sqref="C22:C23">
    <cfRule type="expression" priority="484" dxfId="383">
      <formula>D22="WW PODS"</formula>
    </cfRule>
  </conditionalFormatting>
  <conditionalFormatting sqref="C24">
    <cfRule type="expression" priority="782" dxfId="559">
      <formula>ISNUMBER(SEARCH("UV",D14))</formula>
    </cfRule>
  </conditionalFormatting>
  <conditionalFormatting sqref="C25">
    <cfRule type="expression" priority="744" dxfId="472">
      <formula>(ISNUMBER(SEARCH("CMW",D14)))=TRUE</formula>
    </cfRule>
  </conditionalFormatting>
  <conditionalFormatting sqref="C26">
    <cfRule type="expression" priority="743" dxfId="472">
      <formula>(ISNUMBER(SEARCH("CMW",D14)))=TRUE</formula>
    </cfRule>
  </conditionalFormatting>
  <conditionalFormatting sqref="C27">
    <cfRule type="expression" priority="711" dxfId="472">
      <formula>(ISNUMBER(SEARCH("CMW",$D14)))=TRUE</formula>
    </cfRule>
  </conditionalFormatting>
  <conditionalFormatting sqref="C31">
    <cfRule type="containsText" priority="686" operator="containsText" dxfId="204" text="CONFIG">
      <formula>NOT(ISERROR(SEARCH("CONFIG",C31)))</formula>
    </cfRule>
  </conditionalFormatting>
  <conditionalFormatting sqref="C32">
    <cfRule type="containsText" priority="511" operator="containsText" dxfId="561" text="LIGHT SELECTION">
      <formula>NOT(ISERROR(SEARCH("LIGHT SELECTION",C32)))</formula>
    </cfRule>
  </conditionalFormatting>
  <conditionalFormatting sqref="C33:C34">
    <cfRule type="containsText" priority="283" operator="containsText" dxfId="561" text="ANSUL SELECTION">
      <formula>NOT(ISERROR(SEARCH("ANSUL SELECTION",C33)))</formula>
    </cfRule>
  </conditionalFormatting>
  <conditionalFormatting sqref="C37:C38">
    <cfRule type="cellIs" priority="685" operator="lessThan" dxfId="561">
      <formula>1</formula>
    </cfRule>
  </conditionalFormatting>
  <conditionalFormatting sqref="C39:C40">
    <cfRule type="expression" priority="462" dxfId="383">
      <formula>D39="WW PODS"</formula>
    </cfRule>
  </conditionalFormatting>
  <conditionalFormatting sqref="C41">
    <cfRule type="expression" priority="700" dxfId="559">
      <formula>ISNUMBER(SEARCH("UV",D31))</formula>
    </cfRule>
  </conditionalFormatting>
  <conditionalFormatting sqref="C42">
    <cfRule type="expression" priority="683" dxfId="472">
      <formula>(ISNUMBER(SEARCH("CMW",D31)))=TRUE</formula>
    </cfRule>
  </conditionalFormatting>
  <conditionalFormatting sqref="C43">
    <cfRule type="expression" priority="543" dxfId="472">
      <formula>(ISNUMBER(SEARCH("CMW",D31)))=TRUE</formula>
    </cfRule>
  </conditionalFormatting>
  <conditionalFormatting sqref="C44">
    <cfRule type="expression" priority="678" dxfId="472">
      <formula>(ISNUMBER(SEARCH("CMW",$D31)))=TRUE</formula>
    </cfRule>
  </conditionalFormatting>
  <conditionalFormatting sqref="C48">
    <cfRule type="containsText" priority="655" operator="containsText" dxfId="204" text="CONFIG">
      <formula>NOT(ISERROR(SEARCH("CONFIG",C48)))</formula>
    </cfRule>
  </conditionalFormatting>
  <conditionalFormatting sqref="C49">
    <cfRule type="containsText" priority="508" operator="containsText" dxfId="561" text="LIGHT SELECTION">
      <formula>NOT(ISERROR(SEARCH("LIGHT SELECTION",C49)))</formula>
    </cfRule>
  </conditionalFormatting>
  <conditionalFormatting sqref="C50:C51">
    <cfRule type="containsText" priority="270" operator="containsText" dxfId="561" text="ANSUL SELECTION">
      <formula>NOT(ISERROR(SEARCH("ANSUL SELECTION",C50)))</formula>
    </cfRule>
  </conditionalFormatting>
  <conditionalFormatting sqref="C54:C55">
    <cfRule type="cellIs" priority="654" operator="lessThan" dxfId="561">
      <formula>1</formula>
    </cfRule>
  </conditionalFormatting>
  <conditionalFormatting sqref="C56:C57">
    <cfRule type="expression" priority="436" dxfId="383">
      <formula>D56="WW PODS"</formula>
    </cfRule>
  </conditionalFormatting>
  <conditionalFormatting sqref="C58">
    <cfRule type="expression" priority="668" dxfId="559">
      <formula>ISNUMBER(SEARCH("UV",D48))</formula>
    </cfRule>
  </conditionalFormatting>
  <conditionalFormatting sqref="C59">
    <cfRule type="expression" priority="652" dxfId="472">
      <formula>(ISNUMBER(SEARCH("CMW",D48)))=TRUE</formula>
    </cfRule>
  </conditionalFormatting>
  <conditionalFormatting sqref="C60">
    <cfRule type="expression" priority="542" dxfId="472">
      <formula>(ISNUMBER(SEARCH("CMW",D48)))=TRUE</formula>
    </cfRule>
  </conditionalFormatting>
  <conditionalFormatting sqref="C61">
    <cfRule type="expression" priority="647" dxfId="472">
      <formula>(ISNUMBER(SEARCH("CMW",$D48)))=TRUE</formula>
    </cfRule>
  </conditionalFormatting>
  <conditionalFormatting sqref="C65">
    <cfRule type="containsText" priority="625" operator="containsText" dxfId="204" text="CONFIG">
      <formula>NOT(ISERROR(SEARCH("CONFIG",C65)))</formula>
    </cfRule>
  </conditionalFormatting>
  <conditionalFormatting sqref="C66">
    <cfRule type="containsText" priority="507" operator="containsText" dxfId="561" text="LIGHT SELECTION">
      <formula>NOT(ISERROR(SEARCH("LIGHT SELECTION",C66)))</formula>
    </cfRule>
  </conditionalFormatting>
  <conditionalFormatting sqref="C67:C68">
    <cfRule type="containsText" priority="257" operator="containsText" dxfId="561" text="ANSUL SELECTION">
      <formula>NOT(ISERROR(SEARCH("ANSUL SELECTION",C67)))</formula>
    </cfRule>
  </conditionalFormatting>
  <conditionalFormatting sqref="C71:C72">
    <cfRule type="cellIs" priority="624" operator="lessThan" dxfId="561">
      <formula>1</formula>
    </cfRule>
  </conditionalFormatting>
  <conditionalFormatting sqref="C73:C74">
    <cfRule type="expression" priority="410" dxfId="383">
      <formula>D73="WW PODS"</formula>
    </cfRule>
  </conditionalFormatting>
  <conditionalFormatting sqref="C75">
    <cfRule type="expression" priority="638" dxfId="559">
      <formula>ISNUMBER(SEARCH("UV",D65))</formula>
    </cfRule>
  </conditionalFormatting>
  <conditionalFormatting sqref="C76">
    <cfRule type="expression" priority="621" dxfId="472">
      <formula>(ISNUMBER(SEARCH("CMW",D65)))=TRUE</formula>
    </cfRule>
  </conditionalFormatting>
  <conditionalFormatting sqref="C77">
    <cfRule type="expression" priority="541" dxfId="472">
      <formula>(ISNUMBER(SEARCH("CMW",D65)))=TRUE</formula>
    </cfRule>
  </conditionalFormatting>
  <conditionalFormatting sqref="C78">
    <cfRule type="expression" priority="616" dxfId="472">
      <formula>(ISNUMBER(SEARCH("CMW",$D65)))=TRUE</formula>
    </cfRule>
  </conditionalFormatting>
  <conditionalFormatting sqref="C82">
    <cfRule type="containsText" priority="593" operator="containsText" dxfId="204" text="CONFIG">
      <formula>NOT(ISERROR(SEARCH("CONFIG",C82)))</formula>
    </cfRule>
  </conditionalFormatting>
  <conditionalFormatting sqref="C83">
    <cfRule type="containsText" priority="506" operator="containsText" dxfId="561" text="LIGHT SELECTION">
      <formula>NOT(ISERROR(SEARCH("LIGHT SELECTION",C83)))</formula>
    </cfRule>
  </conditionalFormatting>
  <conditionalFormatting sqref="C84:C85">
    <cfRule type="containsText" priority="244" operator="containsText" dxfId="561" text="ANSUL SELECTION">
      <formula>NOT(ISERROR(SEARCH("ANSUL SELECTION",C84)))</formula>
    </cfRule>
  </conditionalFormatting>
  <conditionalFormatting sqref="C88:C89">
    <cfRule type="cellIs" priority="592" operator="lessThan" dxfId="561">
      <formula>1</formula>
    </cfRule>
  </conditionalFormatting>
  <conditionalFormatting sqref="C90:C91">
    <cfRule type="expression" priority="384" dxfId="383">
      <formula>D90="WW PODS"</formula>
    </cfRule>
  </conditionalFormatting>
  <conditionalFormatting sqref="C92">
    <cfRule type="expression" priority="607" dxfId="559">
      <formula>ISNUMBER(SEARCH("UV",D82))</formula>
    </cfRule>
  </conditionalFormatting>
  <conditionalFormatting sqref="C93">
    <cfRule type="expression" priority="589" dxfId="472">
      <formula>(ISNUMBER(SEARCH("CMW",D82)))=TRUE</formula>
    </cfRule>
  </conditionalFormatting>
  <conditionalFormatting sqref="C94">
    <cfRule type="expression" priority="540" dxfId="472">
      <formula>(ISNUMBER(SEARCH("CMW",D82)))=TRUE</formula>
    </cfRule>
  </conditionalFormatting>
  <conditionalFormatting sqref="C95">
    <cfRule type="expression" priority="584" dxfId="472">
      <formula>(ISNUMBER(SEARCH("CMW",$D82)))=TRUE</formula>
    </cfRule>
  </conditionalFormatting>
  <conditionalFormatting sqref="C99">
    <cfRule type="containsText" priority="561" operator="containsText" dxfId="204" text="CONFIG">
      <formula>NOT(ISERROR(SEARCH("CONFIG",C99)))</formula>
    </cfRule>
  </conditionalFormatting>
  <conditionalFormatting sqref="C100">
    <cfRule type="containsText" priority="505" operator="containsText" dxfId="561" text="LIGHT SELECTION">
      <formula>NOT(ISERROR(SEARCH("LIGHT SELECTION",C100)))</formula>
    </cfRule>
  </conditionalFormatting>
  <conditionalFormatting sqref="C101:C102">
    <cfRule type="containsText" priority="231" operator="containsText" dxfId="561" text="ANSUL SELECTION">
      <formula>NOT(ISERROR(SEARCH("ANSUL SELECTION",C101)))</formula>
    </cfRule>
  </conditionalFormatting>
  <conditionalFormatting sqref="C105:C106">
    <cfRule type="cellIs" priority="560" operator="lessThan" dxfId="561">
      <formula>1</formula>
    </cfRule>
  </conditionalFormatting>
  <conditionalFormatting sqref="C107:C108">
    <cfRule type="expression" priority="358" dxfId="383">
      <formula>D107="WW PODS"</formula>
    </cfRule>
  </conditionalFormatting>
  <conditionalFormatting sqref="C109">
    <cfRule type="expression" priority="575" dxfId="559">
      <formula>ISNUMBER(SEARCH("UV",D99))</formula>
    </cfRule>
  </conditionalFormatting>
  <conditionalFormatting sqref="C110">
    <cfRule type="expression" priority="558" dxfId="472">
      <formula>(ISNUMBER(SEARCH("CMW",D99)))=TRUE</formula>
    </cfRule>
  </conditionalFormatting>
  <conditionalFormatting sqref="C111">
    <cfRule type="expression" priority="539" dxfId="472">
      <formula>(ISNUMBER(SEARCH("CMW",D99)))=TRUE</formula>
    </cfRule>
  </conditionalFormatting>
  <conditionalFormatting sqref="C112 C129 C163 C180">
    <cfRule type="expression" priority="553" dxfId="472">
      <formula>(ISNUMBER(SEARCH("CMW",$D99)))=TRUE</formula>
    </cfRule>
  </conditionalFormatting>
  <conditionalFormatting sqref="C116">
    <cfRule type="containsText" priority="332" operator="containsText" dxfId="204" text="CONFIG">
      <formula>NOT(ISERROR(SEARCH("CONFIG",C116)))</formula>
    </cfRule>
  </conditionalFormatting>
  <conditionalFormatting sqref="C117">
    <cfRule type="containsText" priority="315" operator="containsText" dxfId="561" text="LIGHT SELECTION">
      <formula>NOT(ISERROR(SEARCH("LIGHT SELECTION",C117)))</formula>
    </cfRule>
  </conditionalFormatting>
  <conditionalFormatting sqref="C118:C119">
    <cfRule type="containsText" priority="218" operator="containsText" dxfId="561" text="ANSUL SELECTION">
      <formula>NOT(ISERROR(SEARCH("ANSUL SELECTION",C118)))</formula>
    </cfRule>
  </conditionalFormatting>
  <conditionalFormatting sqref="C122:C123">
    <cfRule type="cellIs" priority="331" operator="lessThan" dxfId="561">
      <formula>1</formula>
    </cfRule>
  </conditionalFormatting>
  <conditionalFormatting sqref="C124:C125">
    <cfRule type="expression" priority="292" dxfId="383">
      <formula>D124="WW PODS"</formula>
    </cfRule>
  </conditionalFormatting>
  <conditionalFormatting sqref="C126">
    <cfRule type="expression" priority="346" dxfId="559">
      <formula>ISNUMBER(SEARCH("UV",D116))</formula>
    </cfRule>
  </conditionalFormatting>
  <conditionalFormatting sqref="C127">
    <cfRule type="expression" priority="329" dxfId="472">
      <formula>(ISNUMBER(SEARCH("CMW",D116)))=TRUE</formula>
    </cfRule>
  </conditionalFormatting>
  <conditionalFormatting sqref="C128">
    <cfRule type="expression" priority="320" dxfId="472">
      <formula>(ISNUMBER(SEARCH("CMW",D116)))=TRUE</formula>
    </cfRule>
  </conditionalFormatting>
  <conditionalFormatting sqref="C133">
    <cfRule type="containsText" priority="169" operator="containsText" dxfId="204" text="CONFIG">
      <formula>NOT(ISERROR(SEARCH("CONFIG",C133)))</formula>
    </cfRule>
  </conditionalFormatting>
  <conditionalFormatting sqref="C134">
    <cfRule type="containsText" priority="117" operator="containsText" dxfId="561" text="LIGHT SELECTION">
      <formula>NOT(ISERROR(SEARCH("LIGHT SELECTION",C134)))</formula>
    </cfRule>
  </conditionalFormatting>
  <conditionalFormatting sqref="C135:C136">
    <cfRule type="containsText" priority="29" operator="containsText" dxfId="561" text="ANSUL SELECTION">
      <formula>NOT(ISERROR(SEARCH("ANSUL SELECTION",C135)))</formula>
    </cfRule>
  </conditionalFormatting>
  <conditionalFormatting sqref="C139:C140">
    <cfRule type="cellIs" priority="168" operator="lessThan" dxfId="561">
      <formula>1</formula>
    </cfRule>
  </conditionalFormatting>
  <conditionalFormatting sqref="C141:C142">
    <cfRule type="expression" priority="99" dxfId="383">
      <formula>D141="WW PODS"</formula>
    </cfRule>
  </conditionalFormatting>
  <conditionalFormatting sqref="C143">
    <cfRule type="expression" priority="183" dxfId="559">
      <formula>ISNUMBER(SEARCH("UV",D133))</formula>
    </cfRule>
  </conditionalFormatting>
  <conditionalFormatting sqref="C144">
    <cfRule type="expression" priority="165" dxfId="472">
      <formula>(ISNUMBER(SEARCH("CMW",D133)))=TRUE</formula>
    </cfRule>
  </conditionalFormatting>
  <conditionalFormatting sqref="C145">
    <cfRule type="expression" priority="128" dxfId="472">
      <formula>(ISNUMBER(SEARCH("CMW",D133)))=TRUE</formula>
    </cfRule>
  </conditionalFormatting>
  <conditionalFormatting sqref="C146">
    <cfRule type="expression" priority="161" dxfId="472">
      <formula>(ISNUMBER(SEARCH("CMW",$D133)))=TRUE</formula>
    </cfRule>
  </conditionalFormatting>
  <conditionalFormatting sqref="C150">
    <cfRule type="containsText" priority="138" operator="containsText" dxfId="204" text="CONFIG">
      <formula>NOT(ISERROR(SEARCH("CONFIG",C150)))</formula>
    </cfRule>
  </conditionalFormatting>
  <conditionalFormatting sqref="C151">
    <cfRule type="containsText" priority="116" operator="containsText" dxfId="561" text="LIGHT SELECTION">
      <formula>NOT(ISERROR(SEARCH("LIGHT SELECTION",C151)))</formula>
    </cfRule>
  </conditionalFormatting>
  <conditionalFormatting sqref="C152:C153">
    <cfRule type="containsText" priority="18" operator="containsText" dxfId="561" text="ANSUL SELECTION">
      <formula>NOT(ISERROR(SEARCH("ANSUL SELECTION",C152)))</formula>
    </cfRule>
  </conditionalFormatting>
  <conditionalFormatting sqref="C156:C157">
    <cfRule type="cellIs" priority="137" operator="lessThan" dxfId="561">
      <formula>1</formula>
    </cfRule>
  </conditionalFormatting>
  <conditionalFormatting sqref="C158:C159">
    <cfRule type="expression" priority="84" dxfId="383">
      <formula>D158="WW PODS"</formula>
    </cfRule>
  </conditionalFormatting>
  <conditionalFormatting sqref="C160">
    <cfRule type="expression" priority="152" dxfId="559">
      <formula>ISNUMBER(SEARCH("UV",D150))</formula>
    </cfRule>
  </conditionalFormatting>
  <conditionalFormatting sqref="C161">
    <cfRule type="expression" priority="135" dxfId="472">
      <formula>(ISNUMBER(SEARCH("CMW",D150)))=TRUE</formula>
    </cfRule>
  </conditionalFormatting>
  <conditionalFormatting sqref="C162">
    <cfRule type="expression" priority="127" dxfId="472">
      <formula>(ISNUMBER(SEARCH("CMW",D150)))=TRUE</formula>
    </cfRule>
  </conditionalFormatting>
  <conditionalFormatting sqref="C167">
    <cfRule type="containsText" priority="62" operator="containsText" dxfId="204" text="CONFIG">
      <formula>NOT(ISERROR(SEARCH("CONFIG",C167)))</formula>
    </cfRule>
  </conditionalFormatting>
  <conditionalFormatting sqref="C168">
    <cfRule type="containsText" priority="47" operator="containsText" dxfId="561" text="LIGHT SELECTION">
      <formula>NOT(ISERROR(SEARCH("LIGHT SELECTION",C168)))</formula>
    </cfRule>
  </conditionalFormatting>
  <conditionalFormatting sqref="C169:C170">
    <cfRule type="containsText" priority="7" operator="containsText" dxfId="561" text="ANSUL SELECTION">
      <formula>NOT(ISERROR(SEARCH("ANSUL SELECTION",C169)))</formula>
    </cfRule>
  </conditionalFormatting>
  <conditionalFormatting sqref="C173:C174">
    <cfRule type="cellIs" priority="61" operator="lessThan" dxfId="561">
      <formula>1</formula>
    </cfRule>
  </conditionalFormatting>
  <conditionalFormatting sqref="C175:C176">
    <cfRule type="expression" priority="31" dxfId="383">
      <formula>D175="WW PODS"</formula>
    </cfRule>
  </conditionalFormatting>
  <conditionalFormatting sqref="C177">
    <cfRule type="expression" priority="76" dxfId="559">
      <formula>ISNUMBER(SEARCH("UV",D167))</formula>
    </cfRule>
  </conditionalFormatting>
  <conditionalFormatting sqref="C178">
    <cfRule type="expression" priority="59" dxfId="472">
      <formula>(ISNUMBER(SEARCH("CMW",D167)))=TRUE</formula>
    </cfRule>
  </conditionalFormatting>
  <conditionalFormatting sqref="C179">
    <cfRule type="expression" priority="52" dxfId="472">
      <formula>(ISNUMBER(SEARCH("CMW",D167)))=TRUE</formula>
    </cfRule>
  </conditionalFormatting>
  <conditionalFormatting sqref="C183:C184">
    <cfRule type="cellIs" priority="766" operator="lessThan" dxfId="554">
      <formula>1</formula>
    </cfRule>
  </conditionalFormatting>
  <conditionalFormatting sqref="C185:C186">
    <cfRule type="cellIs" priority="755" operator="lessThan" dxfId="164">
      <formula>1</formula>
    </cfRule>
  </conditionalFormatting>
  <conditionalFormatting sqref="C187:C197">
    <cfRule type="cellIs" priority="286" operator="lessThan" dxfId="554">
      <formula>1</formula>
    </cfRule>
  </conditionalFormatting>
  <conditionalFormatting sqref="C9:D9">
    <cfRule type="cellIs" priority="757" operator="greaterThan" dxfId="552">
      <formula>0</formula>
    </cfRule>
    <cfRule type="cellIs" priority="756" operator="lessThan" dxfId="207">
      <formula>0</formula>
    </cfRule>
  </conditionalFormatting>
  <conditionalFormatting sqref="D14">
    <cfRule type="containsText" priority="768" operator="containsText" dxfId="164" text="CANOPY TYPE">
      <formula>NOT(ISERROR(SEARCH("CANOPY TYPE",D14)))</formula>
    </cfRule>
  </conditionalFormatting>
  <conditionalFormatting sqref="D15">
    <cfRule type="expression" priority="500" dxfId="206">
      <formula>(C15="LIGHT SELECTION")</formula>
    </cfRule>
  </conditionalFormatting>
  <conditionalFormatting sqref="D18">
    <cfRule type="expression" priority="720" dxfId="206">
      <formula>($C18="SELECT WORKS")</formula>
    </cfRule>
  </conditionalFormatting>
  <conditionalFormatting sqref="D19">
    <cfRule type="expression" priority="285" dxfId="206">
      <formula>$C19="SELECT CLADDING"</formula>
    </cfRule>
  </conditionalFormatting>
  <conditionalFormatting sqref="D22:D23">
    <cfRule type="expression" priority="483" dxfId="358">
      <formula>($D$14="CANOPY TYPE")</formula>
    </cfRule>
  </conditionalFormatting>
  <conditionalFormatting sqref="D24">
    <cfRule type="expression" priority="781" dxfId="474">
      <formula>ISNUMBER(SEARCH("UV",D14))</formula>
    </cfRule>
  </conditionalFormatting>
  <conditionalFormatting sqref="D25">
    <cfRule type="expression" priority="705" dxfId="358">
      <formula>($D$14="CANOPY TYPE")</formula>
    </cfRule>
  </conditionalFormatting>
  <conditionalFormatting sqref="D26">
    <cfRule type="expression" priority="728" dxfId="472">
      <formula>(ISNUMBER(SEARCH("CMW",D14)))=TRUE</formula>
    </cfRule>
  </conditionalFormatting>
  <conditionalFormatting sqref="D31">
    <cfRule type="containsText" priority="687" operator="containsText" dxfId="164" text="CANOPY TYPE">
      <formula>NOT(ISERROR(SEARCH("CANOPY TYPE",D31)))</formula>
    </cfRule>
  </conditionalFormatting>
  <conditionalFormatting sqref="D32">
    <cfRule type="expression" priority="513" dxfId="206">
      <formula>(C32="LIGHT SELECTION")</formula>
    </cfRule>
  </conditionalFormatting>
  <conditionalFormatting sqref="D35">
    <cfRule type="expression" priority="680" dxfId="206">
      <formula>($C35="SELECT WORKS")</formula>
    </cfRule>
  </conditionalFormatting>
  <conditionalFormatting sqref="D36">
    <cfRule type="expression" priority="492" dxfId="206">
      <formula>$C36="SELECT CLADDING"</formula>
    </cfRule>
  </conditionalFormatting>
  <conditionalFormatting sqref="D39:D40">
    <cfRule type="expression" priority="457" dxfId="358">
      <formula>($D$14="CANOPY TYPE")</formula>
    </cfRule>
  </conditionalFormatting>
  <conditionalFormatting sqref="D41">
    <cfRule type="expression" priority="699" dxfId="474">
      <formula>ISNUMBER(SEARCH("UV",D31))</formula>
    </cfRule>
  </conditionalFormatting>
  <conditionalFormatting sqref="D42">
    <cfRule type="expression" priority="673" dxfId="358">
      <formula>($D$14="CANOPY TYPE")</formula>
    </cfRule>
  </conditionalFormatting>
  <conditionalFormatting sqref="D43">
    <cfRule type="expression" priority="682" dxfId="472">
      <formula>(ISNUMBER(SEARCH("CMW",D31)))=TRUE</formula>
    </cfRule>
  </conditionalFormatting>
  <conditionalFormatting sqref="D48">
    <cfRule type="containsText" priority="495" operator="containsText" dxfId="164" text="CANOPY TYPE">
      <formula>NOT(ISERROR(SEARCH("CANOPY TYPE",D48)))</formula>
    </cfRule>
  </conditionalFormatting>
  <conditionalFormatting sqref="D49">
    <cfRule type="expression" priority="510" dxfId="206">
      <formula>(C15="LIGHT SELECTION")</formula>
    </cfRule>
  </conditionalFormatting>
  <conditionalFormatting sqref="D52">
    <cfRule type="expression" priority="649" dxfId="206">
      <formula>($C52="SELECT WORKS")</formula>
    </cfRule>
  </conditionalFormatting>
  <conditionalFormatting sqref="D53">
    <cfRule type="expression" priority="493" dxfId="206">
      <formula>$C53="SELECT CLADDING"</formula>
    </cfRule>
  </conditionalFormatting>
  <conditionalFormatting sqref="D56:D57">
    <cfRule type="expression" priority="431" dxfId="358">
      <formula>($D$14="CANOPY TYPE")</formula>
    </cfRule>
  </conditionalFormatting>
  <conditionalFormatting sqref="D58">
    <cfRule type="expression" priority="667" dxfId="474">
      <formula>ISNUMBER(SEARCH("UV",D48))</formula>
    </cfRule>
  </conditionalFormatting>
  <conditionalFormatting sqref="D59">
    <cfRule type="expression" priority="643" dxfId="358">
      <formula>($D$14="CANOPY TYPE")</formula>
    </cfRule>
  </conditionalFormatting>
  <conditionalFormatting sqref="D60">
    <cfRule type="expression" priority="651" dxfId="472">
      <formula>(ISNUMBER(SEARCH("CMW",D48)))=TRUE</formula>
    </cfRule>
  </conditionalFormatting>
  <conditionalFormatting sqref="D65">
    <cfRule type="containsText" priority="494" operator="containsText" dxfId="164" text="CANOPY TYPE">
      <formula>NOT(ISERROR(SEARCH("CANOPY TYPE",D65)))</formula>
    </cfRule>
  </conditionalFormatting>
  <conditionalFormatting sqref="D66">
    <cfRule type="expression" priority="503" dxfId="206">
      <formula>(C66="LIGHT SELECTION")</formula>
    </cfRule>
  </conditionalFormatting>
  <conditionalFormatting sqref="D69">
    <cfRule type="expression" priority="618" dxfId="206">
      <formula>($C69="SELECT WORKS")</formula>
    </cfRule>
  </conditionalFormatting>
  <conditionalFormatting sqref="D70">
    <cfRule type="expression" priority="622" dxfId="206">
      <formula>$C70="SELECT CLADDING"</formula>
    </cfRule>
  </conditionalFormatting>
  <conditionalFormatting sqref="D73:D74">
    <cfRule type="expression" priority="405" dxfId="358">
      <formula>($D$14="CANOPY TYPE")</formula>
    </cfRule>
  </conditionalFormatting>
  <conditionalFormatting sqref="D75">
    <cfRule type="expression" priority="637" dxfId="474">
      <formula>ISNUMBER(SEARCH("UV",D65))</formula>
    </cfRule>
  </conditionalFormatting>
  <conditionalFormatting sqref="D76">
    <cfRule type="expression" priority="612" dxfId="358">
      <formula>($D$14="CANOPY TYPE")</formula>
    </cfRule>
  </conditionalFormatting>
  <conditionalFormatting sqref="D77">
    <cfRule type="expression" priority="620" dxfId="472">
      <formula>(ISNUMBER(SEARCH("CMW",D65)))=TRUE</formula>
    </cfRule>
  </conditionalFormatting>
  <conditionalFormatting sqref="D82">
    <cfRule type="containsText" priority="594" operator="containsText" dxfId="164" text="CANOPY TYPE">
      <formula>NOT(ISERROR(SEARCH("CANOPY TYPE",D82)))</formula>
    </cfRule>
  </conditionalFormatting>
  <conditionalFormatting sqref="D83">
    <cfRule type="expression" priority="502" dxfId="206">
      <formula>(C83="LIGHT SELECTION")</formula>
    </cfRule>
  </conditionalFormatting>
  <conditionalFormatting sqref="D86">
    <cfRule type="expression" priority="586" dxfId="206">
      <formula>($C86="SELECT WORKS")</formula>
    </cfRule>
  </conditionalFormatting>
  <conditionalFormatting sqref="D87">
    <cfRule type="expression" priority="590" dxfId="206">
      <formula>$C87="SELECT CLADDING"</formula>
    </cfRule>
  </conditionalFormatting>
  <conditionalFormatting sqref="D90:D91">
    <cfRule type="expression" priority="379" dxfId="358">
      <formula>($D$14="CANOPY TYPE")</formula>
    </cfRule>
  </conditionalFormatting>
  <conditionalFormatting sqref="D92">
    <cfRule type="expression" priority="606" dxfId="474">
      <formula>ISNUMBER(SEARCH("UV",D82))</formula>
    </cfRule>
  </conditionalFormatting>
  <conditionalFormatting sqref="D93">
    <cfRule type="expression" priority="580" dxfId="358">
      <formula>($D$14="CANOPY TYPE")</formula>
    </cfRule>
  </conditionalFormatting>
  <conditionalFormatting sqref="D94">
    <cfRule type="expression" priority="588" dxfId="472">
      <formula>(ISNUMBER(SEARCH("CMW",D82)))=TRUE</formula>
    </cfRule>
  </conditionalFormatting>
  <conditionalFormatting sqref="D99">
    <cfRule type="containsText" priority="562" operator="containsText" dxfId="164" text="CANOPY TYPE">
      <formula>NOT(ISERROR(SEARCH("CANOPY TYPE",D99)))</formula>
    </cfRule>
  </conditionalFormatting>
  <conditionalFormatting sqref="D100">
    <cfRule type="expression" priority="501" dxfId="206">
      <formula>(C100="LIGHT SELECTION")</formula>
    </cfRule>
  </conditionalFormatting>
  <conditionalFormatting sqref="D103">
    <cfRule type="expression" priority="555" dxfId="206">
      <formula>($C103="SELECT WORKS")</formula>
    </cfRule>
  </conditionalFormatting>
  <conditionalFormatting sqref="D104">
    <cfRule type="expression" priority="491" dxfId="206">
      <formula>$C104="SELECT CLADDING"</formula>
    </cfRule>
  </conditionalFormatting>
  <conditionalFormatting sqref="D107:D108">
    <cfRule type="expression" priority="353" dxfId="358">
      <formula>($D$14="CANOPY TYPE")</formula>
    </cfRule>
  </conditionalFormatting>
  <conditionalFormatting sqref="D109">
    <cfRule type="expression" priority="574" dxfId="474">
      <formula>ISNUMBER(SEARCH("UV",D99))</formula>
    </cfRule>
  </conditionalFormatting>
  <conditionalFormatting sqref="D110">
    <cfRule type="expression" priority="549" dxfId="358">
      <formula>($D$14="CANOPY TYPE")</formula>
    </cfRule>
  </conditionalFormatting>
  <conditionalFormatting sqref="D111">
    <cfRule type="expression" priority="557" dxfId="472">
      <formula>(ISNUMBER(SEARCH("CMW",D99)))=TRUE</formula>
    </cfRule>
  </conditionalFormatting>
  <conditionalFormatting sqref="D116">
    <cfRule type="containsText" priority="333" operator="containsText" dxfId="164" text="CANOPY TYPE">
      <formula>NOT(ISERROR(SEARCH("CANOPY TYPE",D116)))</formula>
    </cfRule>
  </conditionalFormatting>
  <conditionalFormatting sqref="D117">
    <cfRule type="expression" priority="314" dxfId="206">
      <formula>(C117="LIGHT SELECTION")</formula>
    </cfRule>
  </conditionalFormatting>
  <conditionalFormatting sqref="D120">
    <cfRule type="expression" priority="326" dxfId="206">
      <formula>($C120="SELECT WORKS")</formula>
    </cfRule>
  </conditionalFormatting>
  <conditionalFormatting sqref="D121">
    <cfRule type="expression" priority="313" dxfId="206">
      <formula>$C121="SELECT CLADDING"</formula>
    </cfRule>
  </conditionalFormatting>
  <conditionalFormatting sqref="D124:D125">
    <cfRule type="expression" priority="287" dxfId="358">
      <formula>($D$14="CANOPY TYPE")</formula>
    </cfRule>
  </conditionalFormatting>
  <conditionalFormatting sqref="D126">
    <cfRule type="expression" priority="345" dxfId="474">
      <formula>ISNUMBER(SEARCH("UV",D116))</formula>
    </cfRule>
  </conditionalFormatting>
  <conditionalFormatting sqref="D127">
    <cfRule type="expression" priority="322" dxfId="358">
      <formula>($D$14="CANOPY TYPE")</formula>
    </cfRule>
  </conditionalFormatting>
  <conditionalFormatting sqref="D128">
    <cfRule type="expression" priority="328" dxfId="472">
      <formula>(ISNUMBER(SEARCH("CMW",D116)))=TRUE</formula>
    </cfRule>
  </conditionalFormatting>
  <conditionalFormatting sqref="D133">
    <cfRule type="containsText" priority="170" operator="containsText" dxfId="164" text="CANOPY TYPE">
      <formula>NOT(ISERROR(SEARCH("CANOPY TYPE",D133)))</formula>
    </cfRule>
  </conditionalFormatting>
  <conditionalFormatting sqref="D134">
    <cfRule type="expression" priority="115" dxfId="206">
      <formula>(C134="LIGHT SELECTION")</formula>
    </cfRule>
  </conditionalFormatting>
  <conditionalFormatting sqref="D137">
    <cfRule type="expression" priority="162" dxfId="206">
      <formula>($C137="SELECT WORKS")</formula>
    </cfRule>
  </conditionalFormatting>
  <conditionalFormatting sqref="D138">
    <cfRule type="expression" priority="166" dxfId="206">
      <formula>$C138="SELECT CLADDING"</formula>
    </cfRule>
  </conditionalFormatting>
  <conditionalFormatting sqref="D141:D142">
    <cfRule type="expression" priority="98" dxfId="358">
      <formula>($D$14="CANOPY TYPE")</formula>
    </cfRule>
  </conditionalFormatting>
  <conditionalFormatting sqref="D143">
    <cfRule type="expression" priority="182" dxfId="474">
      <formula>ISNUMBER(SEARCH("UV",D133))</formula>
    </cfRule>
  </conditionalFormatting>
  <conditionalFormatting sqref="D144">
    <cfRule type="expression" priority="157" dxfId="358">
      <formula>($D$14="CANOPY TYPE")</formula>
    </cfRule>
  </conditionalFormatting>
  <conditionalFormatting sqref="D145">
    <cfRule type="expression" priority="164" dxfId="472">
      <formula>(ISNUMBER(SEARCH("CMW",D133)))=TRUE</formula>
    </cfRule>
  </conditionalFormatting>
  <conditionalFormatting sqref="D150">
    <cfRule type="containsText" priority="139" operator="containsText" dxfId="164" text="CANOPY TYPE">
      <formula>NOT(ISERROR(SEARCH("CANOPY TYPE",D150)))</formula>
    </cfRule>
  </conditionalFormatting>
  <conditionalFormatting sqref="D151">
    <cfRule type="expression" priority="114" dxfId="206">
      <formula>(C151="LIGHT SELECTION")</formula>
    </cfRule>
  </conditionalFormatting>
  <conditionalFormatting sqref="D154">
    <cfRule type="expression" priority="132" dxfId="206">
      <formula>($C154="SELECT WORKS")</formula>
    </cfRule>
  </conditionalFormatting>
  <conditionalFormatting sqref="D155">
    <cfRule type="expression" priority="113" dxfId="206">
      <formula>$C155="SELECT CLADDING"</formula>
    </cfRule>
  </conditionalFormatting>
  <conditionalFormatting sqref="D158:D159">
    <cfRule type="expression" priority="83" dxfId="358">
      <formula>($D$14="CANOPY TYPE")</formula>
    </cfRule>
  </conditionalFormatting>
  <conditionalFormatting sqref="D160">
    <cfRule type="expression" priority="151" dxfId="474">
      <formula>ISNUMBER(SEARCH("UV",D150))</formula>
    </cfRule>
  </conditionalFormatting>
  <conditionalFormatting sqref="D161">
    <cfRule type="expression" priority="129" dxfId="358">
      <formula>($D$14="CANOPY TYPE")</formula>
    </cfRule>
  </conditionalFormatting>
  <conditionalFormatting sqref="D162">
    <cfRule type="expression" priority="134" dxfId="472">
      <formula>(ISNUMBER(SEARCH("CMW",D150)))=TRUE</formula>
    </cfRule>
  </conditionalFormatting>
  <conditionalFormatting sqref="D167">
    <cfRule type="containsText" priority="63" operator="containsText" dxfId="164" text="CANOPY TYPE">
      <formula>NOT(ISERROR(SEARCH("CANOPY TYPE",D167)))</formula>
    </cfRule>
  </conditionalFormatting>
  <conditionalFormatting sqref="D168">
    <cfRule type="expression" priority="46" dxfId="206">
      <formula>(C168="LIGHT SELECTION")</formula>
    </cfRule>
  </conditionalFormatting>
  <conditionalFormatting sqref="D171">
    <cfRule type="expression" priority="56" dxfId="206">
      <formula>($C171="SELECT WORKS")</formula>
    </cfRule>
  </conditionalFormatting>
  <conditionalFormatting sqref="D172">
    <cfRule type="expression" priority="45" dxfId="206">
      <formula>$C172="SELECT CLADDING"</formula>
    </cfRule>
  </conditionalFormatting>
  <conditionalFormatting sqref="D175:D176">
    <cfRule type="expression" priority="30" dxfId="358">
      <formula>($D$14="CANOPY TYPE")</formula>
    </cfRule>
  </conditionalFormatting>
  <conditionalFormatting sqref="D177">
    <cfRule type="expression" priority="75" dxfId="474">
      <formula>ISNUMBER(SEARCH("UV",D167))</formula>
    </cfRule>
  </conditionalFormatting>
  <conditionalFormatting sqref="D178">
    <cfRule type="expression" priority="53" dxfId="358">
      <formula>($D$14="CANOPY TYPE")</formula>
    </cfRule>
  </conditionalFormatting>
  <conditionalFormatting sqref="D179">
    <cfRule type="expression" priority="58" dxfId="472">
      <formula>(ISNUMBER(SEARCH("CMW",D167)))=TRUE</formula>
    </cfRule>
  </conditionalFormatting>
  <conditionalFormatting sqref="E12">
    <cfRule type="expression" priority="779" dxfId="387">
      <formula>ISNUMBER(SEARCH("I-MUAP",$D$14))</formula>
    </cfRule>
    <cfRule type="cellIs" priority="780" operator="greaterThan" dxfId="204">
      <formula>2000</formula>
    </cfRule>
    <cfRule type="expression" priority="778" dxfId="386">
      <formula>AND((ISNUMBER(SEARCH("I-MUAP",$D$14))),E12&lt;2500)</formula>
    </cfRule>
  </conditionalFormatting>
  <conditionalFormatting sqref="E15">
    <cfRule type="expression" priority="498" dxfId="315">
      <formula>(C15="LIGHT SELECTION")</formula>
    </cfRule>
  </conditionalFormatting>
  <conditionalFormatting sqref="E17:E18">
    <cfRule type="expression" priority="719" dxfId="381">
      <formula>$C17="SELECT WORKS"</formula>
    </cfRule>
  </conditionalFormatting>
  <conditionalFormatting sqref="E22:E23">
    <cfRule type="expression" priority="761" dxfId="383">
      <formula>D22="FILTER TYPE"</formula>
    </cfRule>
    <cfRule type="expression" priority="762" dxfId="382">
      <formula>D22="KSA"</formula>
    </cfRule>
    <cfRule type="expression" priority="783" dxfId="381">
      <formula>(D14="CANOPY TYPE")</formula>
    </cfRule>
    <cfRule type="expression" priority="760" dxfId="384">
      <formula>D22="WW PODS"</formula>
    </cfRule>
  </conditionalFormatting>
  <conditionalFormatting sqref="E24">
    <cfRule type="containsText" priority="770" operator="containsText" dxfId="380" text="LONG ">
      <formula>NOT(ISERROR(SEARCH("LONG ",E24)))</formula>
    </cfRule>
  </conditionalFormatting>
  <conditionalFormatting sqref="E29">
    <cfRule type="expression" priority="696" dxfId="386">
      <formula>AND((ISNUMBER(SEARCH("I-MUAP",$D$14))),E29&lt;2500)</formula>
    </cfRule>
    <cfRule type="cellIs" priority="698" operator="greaterThan" dxfId="204">
      <formula>2000</formula>
    </cfRule>
    <cfRule type="expression" priority="697" dxfId="387">
      <formula>ISNUMBER(SEARCH("I-MUAP",$D$14))</formula>
    </cfRule>
  </conditionalFormatting>
  <conditionalFormatting sqref="E34">
    <cfRule type="expression" priority="276" dxfId="381">
      <formula>$C34="SELECT WORKS"</formula>
    </cfRule>
  </conditionalFormatting>
  <conditionalFormatting sqref="E39:E40">
    <cfRule type="expression" priority="470" dxfId="384">
      <formula>D39="WW PODS"</formula>
    </cfRule>
    <cfRule type="expression" priority="472" dxfId="382">
      <formula>D39="KSA"</formula>
    </cfRule>
    <cfRule type="expression" priority="473" dxfId="381">
      <formula>(D31="CANOPY TYPE")</formula>
    </cfRule>
    <cfRule type="expression" priority="471" dxfId="383">
      <formula>D39="FILTER TYPE"</formula>
    </cfRule>
  </conditionalFormatting>
  <conditionalFormatting sqref="E41">
    <cfRule type="containsText" priority="689" operator="containsText" dxfId="380" text="LONG ">
      <formula>NOT(ISERROR(SEARCH("LONG ",E41)))</formula>
    </cfRule>
  </conditionalFormatting>
  <conditionalFormatting sqref="E46">
    <cfRule type="expression" priority="664" dxfId="386">
      <formula>AND((ISNUMBER(SEARCH("I-MUAP",$D$14))),E46&lt;2500)</formula>
    </cfRule>
    <cfRule type="expression" priority="665" dxfId="387">
      <formula>ISNUMBER(SEARCH("I-MUAP",$D$14))</formula>
    </cfRule>
    <cfRule type="cellIs" priority="666" operator="greaterThan" dxfId="204">
      <formula>2000</formula>
    </cfRule>
  </conditionalFormatting>
  <conditionalFormatting sqref="E49">
    <cfRule type="expression" priority="512" dxfId="315">
      <formula>(C49="LIGHT SELECTION")</formula>
    </cfRule>
  </conditionalFormatting>
  <conditionalFormatting sqref="E51:E52">
    <cfRule type="expression" priority="263" dxfId="381">
      <formula>$C51="SELECT WORKS"</formula>
    </cfRule>
  </conditionalFormatting>
  <conditionalFormatting sqref="E56:E57">
    <cfRule type="expression" priority="445" dxfId="383">
      <formula>D56="FILTER TYPE"</formula>
    </cfRule>
    <cfRule type="expression" priority="446" dxfId="382">
      <formula>D56="KSA"</formula>
    </cfRule>
    <cfRule type="expression" priority="444" dxfId="384">
      <formula>D56="WW PODS"</formula>
    </cfRule>
    <cfRule type="expression" priority="447" dxfId="381">
      <formula>(D48="CANOPY TYPE")</formula>
    </cfRule>
  </conditionalFormatting>
  <conditionalFormatting sqref="E58">
    <cfRule type="containsText" priority="657" operator="containsText" dxfId="380" text="LONG ">
      <formula>NOT(ISERROR(SEARCH("LONG ",E58)))</formula>
    </cfRule>
  </conditionalFormatting>
  <conditionalFormatting sqref="E63">
    <cfRule type="cellIs" priority="636" operator="greaterThan" dxfId="204">
      <formula>2000</formula>
    </cfRule>
    <cfRule type="expression" priority="635" dxfId="387">
      <formula>ISNUMBER(SEARCH("I-MUAP",$D$14))</formula>
    </cfRule>
    <cfRule type="expression" priority="634" dxfId="386">
      <formula>AND((ISNUMBER(SEARCH("I-MUAP",$D$14))),E63&lt;2500)</formula>
    </cfRule>
  </conditionalFormatting>
  <conditionalFormatting sqref="E68:E69">
    <cfRule type="expression" priority="250" dxfId="381">
      <formula>$C68="SELECT WORKS"</formula>
    </cfRule>
  </conditionalFormatting>
  <conditionalFormatting sqref="E73:E74">
    <cfRule type="expression" priority="418" dxfId="384">
      <formula>D73="WW PODS"</formula>
    </cfRule>
    <cfRule type="expression" priority="421" dxfId="381">
      <formula>(D65="CANOPY TYPE")</formula>
    </cfRule>
    <cfRule type="expression" priority="419" dxfId="383">
      <formula>D73="FILTER TYPE"</formula>
    </cfRule>
    <cfRule type="expression" priority="420" dxfId="382">
      <formula>D73="KSA"</formula>
    </cfRule>
  </conditionalFormatting>
  <conditionalFormatting sqref="E75">
    <cfRule type="containsText" priority="627" operator="containsText" dxfId="380" text="LONG ">
      <formula>NOT(ISERROR(SEARCH("LONG ",E75)))</formula>
    </cfRule>
  </conditionalFormatting>
  <conditionalFormatting sqref="E80">
    <cfRule type="cellIs" priority="605" operator="greaterThan" dxfId="204">
      <formula>2000</formula>
    </cfRule>
    <cfRule type="expression" priority="604" dxfId="387">
      <formula>ISNUMBER(SEARCH("I-MUAP",$D$14))</formula>
    </cfRule>
    <cfRule type="expression" priority="603" dxfId="386">
      <formula>AND((ISNUMBER(SEARCH("I-MUAP",$D$14))),E80&lt;2500)</formula>
    </cfRule>
  </conditionalFormatting>
  <conditionalFormatting sqref="E85:E86">
    <cfRule type="expression" priority="237" dxfId="381">
      <formula>$C85="SELECT WORKS"</formula>
    </cfRule>
  </conditionalFormatting>
  <conditionalFormatting sqref="E90:E91">
    <cfRule type="expression" priority="392" dxfId="384">
      <formula>D90="WW PODS"</formula>
    </cfRule>
    <cfRule type="expression" priority="394" dxfId="382">
      <formula>D90="KSA"</formula>
    </cfRule>
    <cfRule type="expression" priority="395" dxfId="381">
      <formula>(D82="CANOPY TYPE")</formula>
    </cfRule>
    <cfRule type="expression" priority="393" dxfId="383">
      <formula>D90="FILTER TYPE"</formula>
    </cfRule>
  </conditionalFormatting>
  <conditionalFormatting sqref="E92">
    <cfRule type="containsText" priority="596" operator="containsText" dxfId="380" text="LONG ">
      <formula>NOT(ISERROR(SEARCH("LONG ",E92)))</formula>
    </cfRule>
  </conditionalFormatting>
  <conditionalFormatting sqref="E97">
    <cfRule type="cellIs" priority="573" operator="greaterThan" dxfId="204">
      <formula>2000</formula>
    </cfRule>
    <cfRule type="expression" priority="571" dxfId="386">
      <formula>AND((ISNUMBER(SEARCH("I-MUAP",$D$14))),E97&lt;2500)</formula>
    </cfRule>
    <cfRule type="expression" priority="572" dxfId="387">
      <formula>ISNUMBER(SEARCH("I-MUAP",$D$14))</formula>
    </cfRule>
  </conditionalFormatting>
  <conditionalFormatting sqref="E102:E103">
    <cfRule type="expression" priority="224" dxfId="381">
      <formula>$C102="SELECT WORKS"</formula>
    </cfRule>
  </conditionalFormatting>
  <conditionalFormatting sqref="E107:E108">
    <cfRule type="expression" priority="366" dxfId="384">
      <formula>D107="WW PODS"</formula>
    </cfRule>
    <cfRule type="expression" priority="367" dxfId="383">
      <formula>D107="FILTER TYPE"</formula>
    </cfRule>
    <cfRule type="expression" priority="368" dxfId="382">
      <formula>D107="KSA"</formula>
    </cfRule>
    <cfRule type="expression" priority="369" dxfId="381">
      <formula>(D99="CANOPY TYPE")</formula>
    </cfRule>
  </conditionalFormatting>
  <conditionalFormatting sqref="E109">
    <cfRule type="containsText" priority="564" operator="containsText" dxfId="380" text="LONG ">
      <formula>NOT(ISERROR(SEARCH("LONG ",E109)))</formula>
    </cfRule>
  </conditionalFormatting>
  <conditionalFormatting sqref="E114">
    <cfRule type="expression" priority="343" dxfId="387">
      <formula>ISNUMBER(SEARCH("I-MUAP",$D$14))</formula>
    </cfRule>
    <cfRule type="cellIs" priority="344" operator="greaterThan" dxfId="204">
      <formula>2000</formula>
    </cfRule>
    <cfRule type="expression" priority="342" dxfId="386">
      <formula>AND((ISNUMBER(SEARCH("I-MUAP",$D$14))),E114&lt;2500)</formula>
    </cfRule>
  </conditionalFormatting>
  <conditionalFormatting sqref="E119:E120">
    <cfRule type="expression" priority="211" dxfId="381">
      <formula>$C119="SELECT WORKS"</formula>
    </cfRule>
  </conditionalFormatting>
  <conditionalFormatting sqref="E124:E125">
    <cfRule type="expression" priority="300" dxfId="384">
      <formula>D124="WW PODS"</formula>
    </cfRule>
    <cfRule type="expression" priority="301" dxfId="383">
      <formula>D124="FILTER TYPE"</formula>
    </cfRule>
    <cfRule type="expression" priority="302" dxfId="382">
      <formula>D124="KSA"</formula>
    </cfRule>
    <cfRule type="expression" priority="303" dxfId="381">
      <formula>(D116="CANOPY TYPE")</formula>
    </cfRule>
  </conditionalFormatting>
  <conditionalFormatting sqref="E126">
    <cfRule type="containsText" priority="335" operator="containsText" dxfId="380" text="LONG ">
      <formula>NOT(ISERROR(SEARCH("LONG ",E126)))</formula>
    </cfRule>
  </conditionalFormatting>
  <conditionalFormatting sqref="E131">
    <cfRule type="cellIs" priority="181" operator="greaterThan" dxfId="204">
      <formula>2000</formula>
    </cfRule>
    <cfRule type="expression" priority="180" dxfId="387">
      <formula>ISNUMBER(SEARCH("I-MUAP",$D$14))</formula>
    </cfRule>
    <cfRule type="expression" priority="179" dxfId="386">
      <formula>AND((ISNUMBER(SEARCH("I-MUAP",$D$14))),E131&lt;2500)</formula>
    </cfRule>
  </conditionalFormatting>
  <conditionalFormatting sqref="E136:E137">
    <cfRule type="expression" priority="22" dxfId="381">
      <formula>$C136="SELECT WORKS"</formula>
    </cfRule>
  </conditionalFormatting>
  <conditionalFormatting sqref="E141:E142">
    <cfRule type="expression" priority="100" dxfId="384">
      <formula>D141="WW PODS"</formula>
    </cfRule>
    <cfRule type="expression" priority="101" dxfId="383">
      <formula>D141="FILTER TYPE"</formula>
    </cfRule>
    <cfRule type="expression" priority="102" dxfId="382">
      <formula>D141="KSA"</formula>
    </cfRule>
    <cfRule type="expression" priority="103" dxfId="381">
      <formula>(D133="CANOPY TYPE")</formula>
    </cfRule>
  </conditionalFormatting>
  <conditionalFormatting sqref="E143">
    <cfRule type="containsText" priority="172" operator="containsText" dxfId="380" text="LONG ">
      <formula>NOT(ISERROR(SEARCH("LONG ",E143)))</formula>
    </cfRule>
  </conditionalFormatting>
  <conditionalFormatting sqref="E148">
    <cfRule type="cellIs" priority="150" operator="greaterThan" dxfId="204">
      <formula>2000</formula>
    </cfRule>
    <cfRule type="expression" priority="149" dxfId="387">
      <formula>ISNUMBER(SEARCH("I-MUAP",$D$14))</formula>
    </cfRule>
    <cfRule type="expression" priority="148" dxfId="386">
      <formula>AND((ISNUMBER(SEARCH("I-MUAP",$D$14))),E148&lt;2500)</formula>
    </cfRule>
  </conditionalFormatting>
  <conditionalFormatting sqref="E153:E154">
    <cfRule type="expression" priority="11" dxfId="381">
      <formula>$C153="SELECT WORKS"</formula>
    </cfRule>
  </conditionalFormatting>
  <conditionalFormatting sqref="E158:E159">
    <cfRule type="expression" priority="86" dxfId="383">
      <formula>D158="FILTER TYPE"</formula>
    </cfRule>
    <cfRule type="expression" priority="87" dxfId="382">
      <formula>D158="KSA"</formula>
    </cfRule>
    <cfRule type="expression" priority="88" dxfId="381">
      <formula>(D150="CANOPY TYPE")</formula>
    </cfRule>
    <cfRule type="expression" priority="85" dxfId="384">
      <formula>D158="WW PODS"</formula>
    </cfRule>
  </conditionalFormatting>
  <conditionalFormatting sqref="E160">
    <cfRule type="containsText" priority="141" operator="containsText" dxfId="380" text="LONG ">
      <formula>NOT(ISERROR(SEARCH("LONG ",E160)))</formula>
    </cfRule>
  </conditionalFormatting>
  <conditionalFormatting sqref="E165">
    <cfRule type="expression" priority="72" dxfId="386">
      <formula>AND((ISNUMBER(SEARCH("I-MUAP",$D$14))),E165&lt;2500)</formula>
    </cfRule>
    <cfRule type="expression" priority="73" dxfId="387">
      <formula>ISNUMBER(SEARCH("I-MUAP",$D$14))</formula>
    </cfRule>
    <cfRule type="cellIs" priority="74" operator="greaterThan" dxfId="204">
      <formula>2000</formula>
    </cfRule>
  </conditionalFormatting>
  <conditionalFormatting sqref="E170:E171">
    <cfRule type="expression" priority="6" dxfId="381">
      <formula>$C170="SELECT WORKS"</formula>
    </cfRule>
  </conditionalFormatting>
  <conditionalFormatting sqref="E175:E176">
    <cfRule type="expression" priority="32" dxfId="384">
      <formula>D175="WW PODS"</formula>
    </cfRule>
    <cfRule type="expression" priority="35" dxfId="381">
      <formula>(D167="CANOPY TYPE")</formula>
    </cfRule>
    <cfRule type="expression" priority="34" dxfId="382">
      <formula>D175="KSA"</formula>
    </cfRule>
    <cfRule type="expression" priority="33" dxfId="383">
      <formula>D175="FILTER TYPE"</formula>
    </cfRule>
  </conditionalFormatting>
  <conditionalFormatting sqref="E177">
    <cfRule type="containsText" priority="65" operator="containsText" dxfId="380" text="LONG ">
      <formula>NOT(ISERROR(SEARCH("LONG ",E177)))</formula>
    </cfRule>
  </conditionalFormatting>
  <conditionalFormatting sqref="E12:F12">
    <cfRule type="cellIs" priority="774" operator="lessThan" dxfId="204">
      <formula>1000</formula>
    </cfRule>
  </conditionalFormatting>
  <conditionalFormatting sqref="E14:F14">
    <cfRule type="cellIs" priority="771" operator="lessThan" dxfId="164">
      <formula>1000</formula>
    </cfRule>
  </conditionalFormatting>
  <conditionalFormatting sqref="E25:F27">
    <cfRule type="expression" priority="706" dxfId="358">
      <formula>($D$14="CANOPY TYPE")</formula>
    </cfRule>
  </conditionalFormatting>
  <conditionalFormatting sqref="E29:F29">
    <cfRule type="cellIs" priority="693" operator="lessThan" dxfId="204">
      <formula>1000</formula>
    </cfRule>
  </conditionalFormatting>
  <conditionalFormatting sqref="E31:F31">
    <cfRule type="cellIs" priority="690" operator="lessThan" dxfId="164">
      <formula>1000</formula>
    </cfRule>
  </conditionalFormatting>
  <conditionalFormatting sqref="E32:F32">
    <cfRule type="expression" priority="536" dxfId="315">
      <formula>(C32="LIGHT SELECTION")</formula>
    </cfRule>
  </conditionalFormatting>
  <conditionalFormatting sqref="E42:F44">
    <cfRule type="expression" priority="674" dxfId="358">
      <formula>($D$14="CANOPY TYPE")</formula>
    </cfRule>
  </conditionalFormatting>
  <conditionalFormatting sqref="E46:F46">
    <cfRule type="cellIs" priority="661" operator="lessThan" dxfId="204">
      <formula>1000</formula>
    </cfRule>
  </conditionalFormatting>
  <conditionalFormatting sqref="E48:F48">
    <cfRule type="cellIs" priority="658" operator="lessThan" dxfId="164">
      <formula>1000</formula>
    </cfRule>
  </conditionalFormatting>
  <conditionalFormatting sqref="E59:F61">
    <cfRule type="expression" priority="644" dxfId="358">
      <formula>($D$14="CANOPY TYPE")</formula>
    </cfRule>
  </conditionalFormatting>
  <conditionalFormatting sqref="E63:F63">
    <cfRule type="cellIs" priority="631" operator="lessThan" dxfId="204">
      <formula>1000</formula>
    </cfRule>
  </conditionalFormatting>
  <conditionalFormatting sqref="E65:F65">
    <cfRule type="cellIs" priority="628" operator="lessThan" dxfId="164">
      <formula>1000</formula>
    </cfRule>
  </conditionalFormatting>
  <conditionalFormatting sqref="E66:F66">
    <cfRule type="expression" priority="529" dxfId="315">
      <formula>(C66="LIGHT SELECTION")</formula>
    </cfRule>
  </conditionalFormatting>
  <conditionalFormatting sqref="E76:F78">
    <cfRule type="expression" priority="613" dxfId="358">
      <formula>($D$14="CANOPY TYPE")</formula>
    </cfRule>
  </conditionalFormatting>
  <conditionalFormatting sqref="E80:F80">
    <cfRule type="cellIs" priority="600" operator="lessThan" dxfId="204">
      <formula>1000</formula>
    </cfRule>
  </conditionalFormatting>
  <conditionalFormatting sqref="E82:F82">
    <cfRule type="cellIs" priority="597" operator="lessThan" dxfId="164">
      <formula>1000</formula>
    </cfRule>
  </conditionalFormatting>
  <conditionalFormatting sqref="E83:F83">
    <cfRule type="expression" priority="525" dxfId="315">
      <formula>(C83="LIGHT SELECTION")</formula>
    </cfRule>
  </conditionalFormatting>
  <conditionalFormatting sqref="E93:F95">
    <cfRule type="expression" priority="581" dxfId="358">
      <formula>($D$14="CANOPY TYPE")</formula>
    </cfRule>
  </conditionalFormatting>
  <conditionalFormatting sqref="E97:F97">
    <cfRule type="cellIs" priority="568" operator="lessThan" dxfId="204">
      <formula>1000</formula>
    </cfRule>
  </conditionalFormatting>
  <conditionalFormatting sqref="E99:F99">
    <cfRule type="cellIs" priority="565" operator="lessThan" dxfId="164">
      <formula>1000</formula>
    </cfRule>
  </conditionalFormatting>
  <conditionalFormatting sqref="E100:F100">
    <cfRule type="expression" priority="521" dxfId="315">
      <formula>(C100="LIGHT SELECTION")</formula>
    </cfRule>
  </conditionalFormatting>
  <conditionalFormatting sqref="E110:F112 E127:F129 E161:F163 E178:F180">
    <cfRule type="expression" priority="550" dxfId="358">
      <formula>($D$14="CANOPY TYPE")</formula>
    </cfRule>
  </conditionalFormatting>
  <conditionalFormatting sqref="E114:F114">
    <cfRule type="cellIs" priority="339" operator="lessThan" dxfId="204">
      <formula>1000</formula>
    </cfRule>
  </conditionalFormatting>
  <conditionalFormatting sqref="E116:F116">
    <cfRule type="cellIs" priority="336" operator="lessThan" dxfId="164">
      <formula>1000</formula>
    </cfRule>
  </conditionalFormatting>
  <conditionalFormatting sqref="E117:F117">
    <cfRule type="expression" priority="318" dxfId="315">
      <formula>(C117="LIGHT SELECTION")</formula>
    </cfRule>
  </conditionalFormatting>
  <conditionalFormatting sqref="E131:F131">
    <cfRule type="cellIs" priority="176" operator="lessThan" dxfId="204">
      <formula>1000</formula>
    </cfRule>
  </conditionalFormatting>
  <conditionalFormatting sqref="E133:F133">
    <cfRule type="cellIs" priority="173" operator="lessThan" dxfId="164">
      <formula>1000</formula>
    </cfRule>
  </conditionalFormatting>
  <conditionalFormatting sqref="E134:F134">
    <cfRule type="expression" priority="125" dxfId="315">
      <formula>(C134="LIGHT SELECTION")</formula>
    </cfRule>
  </conditionalFormatting>
  <conditionalFormatting sqref="E144:F146">
    <cfRule type="expression" priority="158" dxfId="358">
      <formula>($D$14="CANOPY TYPE")</formula>
    </cfRule>
  </conditionalFormatting>
  <conditionalFormatting sqref="E148:F148">
    <cfRule type="cellIs" priority="145" operator="lessThan" dxfId="204">
      <formula>1000</formula>
    </cfRule>
  </conditionalFormatting>
  <conditionalFormatting sqref="E150:F150">
    <cfRule type="cellIs" priority="142" operator="lessThan" dxfId="164">
      <formula>1000</formula>
    </cfRule>
  </conditionalFormatting>
  <conditionalFormatting sqref="E151:F151">
    <cfRule type="expression" priority="121" dxfId="315">
      <formula>(C151="LIGHT SELECTION")</formula>
    </cfRule>
  </conditionalFormatting>
  <conditionalFormatting sqref="E165:F165">
    <cfRule type="cellIs" priority="69" operator="lessThan" dxfId="204">
      <formula>1000</formula>
    </cfRule>
  </conditionalFormatting>
  <conditionalFormatting sqref="E167:F167">
    <cfRule type="cellIs" priority="66" operator="lessThan" dxfId="164">
      <formula>1000</formula>
    </cfRule>
  </conditionalFormatting>
  <conditionalFormatting sqref="E168:F168">
    <cfRule type="expression" priority="50" dxfId="315">
      <formula>(C168="LIGHT SELECTION")</formula>
    </cfRule>
  </conditionalFormatting>
  <conditionalFormatting sqref="F12">
    <cfRule type="cellIs" priority="775" operator="greaterThan" dxfId="204">
      <formula>3001</formula>
    </cfRule>
  </conditionalFormatting>
  <conditionalFormatting sqref="F15">
    <cfRule type="expression" priority="538" dxfId="214">
      <formula>(C15="LED STRIP")</formula>
    </cfRule>
    <cfRule type="expression" priority="797" dxfId="315">
      <formula>(D49="LIGHT SELECTION")</formula>
    </cfRule>
    <cfRule type="expression" priority="763" dxfId="215">
      <formula>(C15="LIGHT SELECTION")</formula>
    </cfRule>
    <cfRule type="expression" priority="765" dxfId="216">
      <formula>(C15="FLO")</formula>
    </cfRule>
  </conditionalFormatting>
  <conditionalFormatting sqref="F22:F23">
    <cfRule type="expression" priority="795" dxfId="207">
      <formula>(((I14*3600)/(C22*I11))^2+20)&gt;180</formula>
    </cfRule>
    <cfRule type="expression" priority="793" dxfId="207">
      <formula>(((I14*3600)/(C22*I11))^2+20)&gt;300</formula>
    </cfRule>
    <cfRule type="expression" priority="792" dxfId="206" stopIfTrue="1">
      <formula>D14="canopy type"</formula>
    </cfRule>
    <cfRule type="expression" priority="788" dxfId="206">
      <formula>D22="NF"</formula>
    </cfRule>
    <cfRule type="expression" priority="789" dxfId="208">
      <formula>D22="WW PODS"</formula>
    </cfRule>
    <cfRule type="expression" priority="790" dxfId="206">
      <formula>D22="GRILLE"</formula>
    </cfRule>
    <cfRule type="expression" priority="791" dxfId="206">
      <formula>D22="CENTREX"</formula>
    </cfRule>
    <cfRule type="expression" priority="796" dxfId="205">
      <formula>D22="KSA"</formula>
    </cfRule>
    <cfRule type="expression" priority="794" dxfId="205" stopIfTrue="1">
      <formula>(ISNUMBER(SEARCH("UV",D14)))</formula>
    </cfRule>
  </conditionalFormatting>
  <conditionalFormatting sqref="F24">
    <cfRule type="cellIs" priority="769" operator="lessThan" dxfId="204">
      <formula>2100</formula>
    </cfRule>
  </conditionalFormatting>
  <conditionalFormatting sqref="F29">
    <cfRule type="cellIs" priority="694" operator="greaterThan" dxfId="204">
      <formula>3001</formula>
    </cfRule>
  </conditionalFormatting>
  <conditionalFormatting sqref="F32">
    <cfRule type="expression" priority="537" dxfId="216">
      <formula>(C32="FLO")</formula>
    </cfRule>
    <cfRule type="expression" priority="535" dxfId="215">
      <formula>(C32="LIGHT SELECTION")</formula>
    </cfRule>
    <cfRule type="expression" priority="534" dxfId="214">
      <formula>(C32="LED STRIP")</formula>
    </cfRule>
  </conditionalFormatting>
  <conditionalFormatting sqref="F39:F40">
    <cfRule type="expression" priority="481" dxfId="207">
      <formula>(((I31*3600)/(C39*I28))^2+20)&gt;180</formula>
    </cfRule>
    <cfRule type="expression" priority="482" dxfId="205">
      <formula>D39="KSA"</formula>
    </cfRule>
    <cfRule type="expression" priority="474" dxfId="206">
      <formula>D39="NF"</formula>
    </cfRule>
    <cfRule type="expression" priority="475" dxfId="208">
      <formula>D39="WW PODS"</formula>
    </cfRule>
    <cfRule type="expression" priority="476" dxfId="206">
      <formula>D39="GRILLE"</formula>
    </cfRule>
    <cfRule type="expression" priority="477" dxfId="206">
      <formula>D39="CENTREX"</formula>
    </cfRule>
    <cfRule type="expression" priority="478" dxfId="206" stopIfTrue="1">
      <formula>D31="canopy type"</formula>
    </cfRule>
    <cfRule type="expression" priority="479" dxfId="207">
      <formula>(((I31*3600)/(C39*I28))^2+20)&gt;300</formula>
    </cfRule>
    <cfRule type="expression" priority="480" dxfId="205" stopIfTrue="1">
      <formula>(ISNUMBER(SEARCH("UV",D31)))</formula>
    </cfRule>
  </conditionalFormatting>
  <conditionalFormatting sqref="F41">
    <cfRule type="cellIs" priority="688" operator="lessThan" dxfId="204">
      <formula>2100</formula>
    </cfRule>
  </conditionalFormatting>
  <conditionalFormatting sqref="F46">
    <cfRule type="cellIs" priority="662" operator="greaterThan" dxfId="204">
      <formula>3001</formula>
    </cfRule>
  </conditionalFormatting>
  <conditionalFormatting sqref="F49">
    <cfRule type="expression" priority="532" dxfId="215">
      <formula>(C49="LIGHT SELECTION")</formula>
    </cfRule>
    <cfRule type="expression" priority="533" dxfId="216">
      <formula>(C49="FLO")</formula>
    </cfRule>
    <cfRule type="expression" priority="798" dxfId="315">
      <formula>(#REF!="LIGHT SELECTION")</formula>
    </cfRule>
    <cfRule type="expression" priority="531" dxfId="214">
      <formula>(C49="LED STRIP")</formula>
    </cfRule>
  </conditionalFormatting>
  <conditionalFormatting sqref="F56:F57">
    <cfRule type="expression" priority="456" dxfId="205">
      <formula>D56="KSA"</formula>
    </cfRule>
    <cfRule type="expression" priority="455" dxfId="207">
      <formula>(((I48*3600)/(C56*I45))^2+20)&gt;180</formula>
    </cfRule>
    <cfRule type="expression" priority="454" dxfId="205" stopIfTrue="1">
      <formula>(ISNUMBER(SEARCH("UV",D48)))</formula>
    </cfRule>
    <cfRule type="expression" priority="453" dxfId="207">
      <formula>(((I48*3600)/(C56*I45))^2+20)&gt;300</formula>
    </cfRule>
    <cfRule type="expression" priority="452" dxfId="206" stopIfTrue="1">
      <formula>D48="canopy type"</formula>
    </cfRule>
    <cfRule type="expression" priority="451" dxfId="206">
      <formula>D56="CENTREX"</formula>
    </cfRule>
    <cfRule type="expression" priority="450" dxfId="206">
      <formula>D56="GRILLE"</formula>
    </cfRule>
    <cfRule type="expression" priority="449" dxfId="208">
      <formula>D56="WW PODS"</formula>
    </cfRule>
    <cfRule type="expression" priority="448" dxfId="206">
      <formula>D56="NF"</formula>
    </cfRule>
  </conditionalFormatting>
  <conditionalFormatting sqref="F58">
    <cfRule type="cellIs" priority="656" operator="lessThan" dxfId="204">
      <formula>2100</formula>
    </cfRule>
  </conditionalFormatting>
  <conditionalFormatting sqref="F63">
    <cfRule type="cellIs" priority="632" operator="greaterThan" dxfId="204">
      <formula>3001</formula>
    </cfRule>
  </conditionalFormatting>
  <conditionalFormatting sqref="F66">
    <cfRule type="expression" priority="527" dxfId="214">
      <formula>(C66="LED STRIP")</formula>
    </cfRule>
    <cfRule type="expression" priority="528" dxfId="215">
      <formula>(C66="LIGHT SELECTION")</formula>
    </cfRule>
    <cfRule type="expression" priority="530" dxfId="216">
      <formula>(C66="FLO")</formula>
    </cfRule>
  </conditionalFormatting>
  <conditionalFormatting sqref="F73:F74">
    <cfRule type="expression" priority="424" dxfId="206">
      <formula>D73="GRILLE"</formula>
    </cfRule>
    <cfRule type="expression" priority="422" dxfId="206">
      <formula>D73="NF"</formula>
    </cfRule>
    <cfRule type="expression" priority="423" dxfId="208">
      <formula>D73="WW PODS"</formula>
    </cfRule>
    <cfRule type="expression" priority="425" dxfId="206">
      <formula>D73="CENTREX"</formula>
    </cfRule>
    <cfRule type="expression" priority="426" dxfId="206" stopIfTrue="1">
      <formula>D65="canopy type"</formula>
    </cfRule>
    <cfRule type="expression" priority="427" dxfId="207">
      <formula>(((I65*3600)/(C73*I62))^2+20)&gt;300</formula>
    </cfRule>
    <cfRule type="expression" priority="428" dxfId="205" stopIfTrue="1">
      <formula>(ISNUMBER(SEARCH("UV",D65)))</formula>
    </cfRule>
    <cfRule type="expression" priority="429" dxfId="207">
      <formula>(((I65*3600)/(C73*I62))^2+20)&gt;180</formula>
    </cfRule>
    <cfRule type="expression" priority="430" dxfId="205">
      <formula>D73="KSA"</formula>
    </cfRule>
  </conditionalFormatting>
  <conditionalFormatting sqref="F75">
    <cfRule type="cellIs" priority="626" operator="lessThan" dxfId="204">
      <formula>2100</formula>
    </cfRule>
  </conditionalFormatting>
  <conditionalFormatting sqref="F80">
    <cfRule type="cellIs" priority="601" operator="greaterThan" dxfId="204">
      <formula>3001</formula>
    </cfRule>
  </conditionalFormatting>
  <conditionalFormatting sqref="F83">
    <cfRule type="expression" priority="526" dxfId="216">
      <formula>(C83="FLO")</formula>
    </cfRule>
    <cfRule type="expression" priority="523" dxfId="214">
      <formula>(C83="LED STRIP")</formula>
    </cfRule>
    <cfRule type="expression" priority="524" dxfId="215">
      <formula>(C83="LIGHT SELECTION")</formula>
    </cfRule>
  </conditionalFormatting>
  <conditionalFormatting sqref="F90:F91">
    <cfRule type="expression" priority="401" dxfId="207">
      <formula>(((I82*3600)/(C90*I79))^2+20)&gt;300</formula>
    </cfRule>
    <cfRule type="expression" priority="403" dxfId="207">
      <formula>(((I82*3600)/(C90*I79))^2+20)&gt;180</formula>
    </cfRule>
    <cfRule type="expression" priority="396" dxfId="206">
      <formula>D90="NF"</formula>
    </cfRule>
    <cfRule type="expression" priority="397" dxfId="208">
      <formula>D90="WW PODS"</formula>
    </cfRule>
    <cfRule type="expression" priority="398" dxfId="206">
      <formula>D90="GRILLE"</formula>
    </cfRule>
    <cfRule type="expression" priority="399" dxfId="206">
      <formula>D90="CENTREX"</formula>
    </cfRule>
    <cfRule type="expression" priority="400" dxfId="206" stopIfTrue="1">
      <formula>D82="canopy type"</formula>
    </cfRule>
    <cfRule type="expression" priority="402" dxfId="205" stopIfTrue="1">
      <formula>(ISNUMBER(SEARCH("UV",D82)))</formula>
    </cfRule>
    <cfRule type="expression" priority="404" dxfId="205">
      <formula>D90="KSA"</formula>
    </cfRule>
  </conditionalFormatting>
  <conditionalFormatting sqref="F92">
    <cfRule type="cellIs" priority="595" operator="lessThan" dxfId="204">
      <formula>2100</formula>
    </cfRule>
  </conditionalFormatting>
  <conditionalFormatting sqref="F97">
    <cfRule type="cellIs" priority="569" operator="greaterThan" dxfId="204">
      <formula>3001</formula>
    </cfRule>
  </conditionalFormatting>
  <conditionalFormatting sqref="F100">
    <cfRule type="expression" priority="519" dxfId="214">
      <formula>(C100="LED STRIP")</formula>
    </cfRule>
    <cfRule type="expression" priority="520" dxfId="215">
      <formula>(C100="LIGHT SELECTION")</formula>
    </cfRule>
    <cfRule type="expression" priority="522" dxfId="216">
      <formula>(C100="FLO")</formula>
    </cfRule>
  </conditionalFormatting>
  <conditionalFormatting sqref="F107:F108">
    <cfRule type="expression" priority="374" dxfId="206" stopIfTrue="1">
      <formula>D99="canopy type"</formula>
    </cfRule>
    <cfRule type="expression" priority="373" dxfId="206">
      <formula>D107="CENTREX"</formula>
    </cfRule>
    <cfRule type="expression" priority="372" dxfId="206">
      <formula>D107="GRILLE"</formula>
    </cfRule>
    <cfRule type="expression" priority="371" dxfId="208">
      <formula>D107="WW PODS"</formula>
    </cfRule>
    <cfRule type="expression" priority="370" dxfId="206">
      <formula>D107="NF"</formula>
    </cfRule>
    <cfRule type="expression" priority="378" dxfId="205">
      <formula>D107="KSA"</formula>
    </cfRule>
    <cfRule type="expression" priority="377" dxfId="207">
      <formula>(((I99*3600)/(C107*I96))^2+20)&gt;180</formula>
    </cfRule>
    <cfRule type="expression" priority="376" dxfId="205" stopIfTrue="1">
      <formula>(ISNUMBER(SEARCH("UV",D99)))</formula>
    </cfRule>
    <cfRule type="expression" priority="375" dxfId="207">
      <formula>(((I99*3600)/(C107*I96))^2+20)&gt;300</formula>
    </cfRule>
  </conditionalFormatting>
  <conditionalFormatting sqref="F109">
    <cfRule type="cellIs" priority="563" operator="lessThan" dxfId="204">
      <formula>2100</formula>
    </cfRule>
  </conditionalFormatting>
  <conditionalFormatting sqref="F114">
    <cfRule type="cellIs" priority="340" operator="greaterThan" dxfId="204">
      <formula>3001</formula>
    </cfRule>
  </conditionalFormatting>
  <conditionalFormatting sqref="F117">
    <cfRule type="expression" priority="316" dxfId="214">
      <formula>(C117="LED STRIP")</formula>
    </cfRule>
    <cfRule type="expression" priority="319" dxfId="216">
      <formula>(C117="FLO")</formula>
    </cfRule>
    <cfRule type="expression" priority="317" dxfId="215">
      <formula>(C117="LIGHT SELECTION")</formula>
    </cfRule>
  </conditionalFormatting>
  <conditionalFormatting sqref="F124:F125">
    <cfRule type="expression" priority="306" dxfId="206">
      <formula>D124="GRILLE"</formula>
    </cfRule>
    <cfRule type="expression" priority="305" dxfId="208">
      <formula>D124="WW PODS"</formula>
    </cfRule>
    <cfRule type="expression" priority="304" dxfId="206">
      <formula>D124="NF"</formula>
    </cfRule>
    <cfRule type="expression" priority="307" dxfId="206">
      <formula>D124="CENTREX"</formula>
    </cfRule>
    <cfRule type="expression" priority="308" dxfId="206" stopIfTrue="1">
      <formula>D116="canopy type"</formula>
    </cfRule>
    <cfRule type="expression" priority="309" dxfId="207">
      <formula>(((I116*3600)/(C124*I113))^2+20)&gt;300</formula>
    </cfRule>
    <cfRule type="expression" priority="310" dxfId="205" stopIfTrue="1">
      <formula>(ISNUMBER(SEARCH("UV",D116)))</formula>
    </cfRule>
    <cfRule type="expression" priority="311" dxfId="207">
      <formula>(((I116*3600)/(C124*I113))^2+20)&gt;180</formula>
    </cfRule>
    <cfRule type="expression" priority="312" dxfId="205">
      <formula>D124="KSA"</formula>
    </cfRule>
  </conditionalFormatting>
  <conditionalFormatting sqref="F126">
    <cfRule type="cellIs" priority="334" operator="lessThan" dxfId="204">
      <formula>2100</formula>
    </cfRule>
  </conditionalFormatting>
  <conditionalFormatting sqref="F131">
    <cfRule type="cellIs" priority="177" operator="greaterThan" dxfId="204">
      <formula>3001</formula>
    </cfRule>
  </conditionalFormatting>
  <conditionalFormatting sqref="F134">
    <cfRule type="expression" priority="126" dxfId="216">
      <formula>(C134="FLO")</formula>
    </cfRule>
    <cfRule type="expression" priority="124" dxfId="215">
      <formula>(C134="LIGHT SELECTION")</formula>
    </cfRule>
    <cfRule type="expression" priority="123" dxfId="214">
      <formula>(C134="LED STRIP")</formula>
    </cfRule>
  </conditionalFormatting>
  <conditionalFormatting sqref="F141:F142">
    <cfRule type="expression" priority="105" dxfId="208">
      <formula>D141="WW PODS"</formula>
    </cfRule>
    <cfRule type="expression" priority="111" dxfId="207">
      <formula>(((I133*3600)/(C141*I130))^2+20)&gt;180</formula>
    </cfRule>
    <cfRule type="expression" priority="106" dxfId="206">
      <formula>D141="GRILLE"</formula>
    </cfRule>
    <cfRule type="expression" priority="107" dxfId="206">
      <formula>D141="CENTREX"</formula>
    </cfRule>
    <cfRule type="expression" priority="108" dxfId="206" stopIfTrue="1">
      <formula>D133="canopy type"</formula>
    </cfRule>
    <cfRule type="expression" priority="112" dxfId="205">
      <formula>D141="KSA"</formula>
    </cfRule>
    <cfRule type="expression" priority="104" dxfId="206">
      <formula>D141="NF"</formula>
    </cfRule>
    <cfRule type="expression" priority="110" dxfId="205" stopIfTrue="1">
      <formula>(ISNUMBER(SEARCH("UV",D133)))</formula>
    </cfRule>
    <cfRule type="expression" priority="109" dxfId="207">
      <formula>(((I133*3600)/(C141*I130))^2+20)&gt;300</formula>
    </cfRule>
  </conditionalFormatting>
  <conditionalFormatting sqref="F143">
    <cfRule type="cellIs" priority="171" operator="lessThan" dxfId="204">
      <formula>2100</formula>
    </cfRule>
  </conditionalFormatting>
  <conditionalFormatting sqref="F148">
    <cfRule type="cellIs" priority="146" operator="greaterThan" dxfId="204">
      <formula>3001</formula>
    </cfRule>
  </conditionalFormatting>
  <conditionalFormatting sqref="F151">
    <cfRule type="expression" priority="119" dxfId="214">
      <formula>(C151="LED STRIP")</formula>
    </cfRule>
    <cfRule type="expression" priority="120" dxfId="215">
      <formula>(C151="LIGHT SELECTION")</formula>
    </cfRule>
    <cfRule type="expression" priority="122" dxfId="216">
      <formula>(C151="FLO")</formula>
    </cfRule>
  </conditionalFormatting>
  <conditionalFormatting sqref="F158:F159">
    <cfRule type="expression" priority="89" dxfId="206">
      <formula>D158="NF"</formula>
    </cfRule>
    <cfRule type="expression" priority="95" dxfId="205" stopIfTrue="1">
      <formula>(ISNUMBER(SEARCH("UV",D150)))</formula>
    </cfRule>
    <cfRule type="expression" priority="90" dxfId="208">
      <formula>D158="WW PODS"</formula>
    </cfRule>
    <cfRule type="expression" priority="91" dxfId="206">
      <formula>D158="GRILLE"</formula>
    </cfRule>
    <cfRule type="expression" priority="92" dxfId="206">
      <formula>D158="CENTREX"</formula>
    </cfRule>
    <cfRule type="expression" priority="97" dxfId="205">
      <formula>D158="KSA"</formula>
    </cfRule>
    <cfRule type="expression" priority="96" dxfId="207">
      <formula>(((I150*3600)/(C158*I147))^2+20)&gt;180</formula>
    </cfRule>
    <cfRule type="expression" priority="93" dxfId="206" stopIfTrue="1">
      <formula>D150="canopy type"</formula>
    </cfRule>
    <cfRule type="expression" priority="94" dxfId="207">
      <formula>(((I150*3600)/(C158*I147))^2+20)&gt;300</formula>
    </cfRule>
  </conditionalFormatting>
  <conditionalFormatting sqref="F160">
    <cfRule type="cellIs" priority="140" operator="lessThan" dxfId="204">
      <formula>2100</formula>
    </cfRule>
  </conditionalFormatting>
  <conditionalFormatting sqref="F165">
    <cfRule type="cellIs" priority="70" operator="greaterThan" dxfId="204">
      <formula>3001</formula>
    </cfRule>
  </conditionalFormatting>
  <conditionalFormatting sqref="F168">
    <cfRule type="expression" priority="48" dxfId="214">
      <formula>(C168="LED STRIP")</formula>
    </cfRule>
    <cfRule type="expression" priority="51" dxfId="216">
      <formula>(C168="FLO")</formula>
    </cfRule>
    <cfRule type="expression" priority="49" dxfId="215">
      <formula>(C168="LIGHT SELECTION")</formula>
    </cfRule>
  </conditionalFormatting>
  <conditionalFormatting sqref="F175:F176">
    <cfRule type="expression" priority="44" dxfId="205">
      <formula>D175="KSA"</formula>
    </cfRule>
    <cfRule type="expression" priority="43" dxfId="207">
      <formula>(((I167*3600)/(C175*I164))^2+20)&gt;180</formula>
    </cfRule>
    <cfRule type="expression" priority="42" dxfId="205" stopIfTrue="1">
      <formula>(ISNUMBER(SEARCH("UV",D167)))</formula>
    </cfRule>
    <cfRule type="expression" priority="41" dxfId="207">
      <formula>(((I167*3600)/(C175*I164))^2+20)&gt;300</formula>
    </cfRule>
    <cfRule type="expression" priority="40" dxfId="206" stopIfTrue="1">
      <formula>D167="canopy type"</formula>
    </cfRule>
    <cfRule type="expression" priority="36" dxfId="206">
      <formula>D175="NF"</formula>
    </cfRule>
    <cfRule type="expression" priority="39" dxfId="206">
      <formula>D175="CENTREX"</formula>
    </cfRule>
    <cfRule type="expression" priority="37" dxfId="208">
      <formula>D175="WW PODS"</formula>
    </cfRule>
    <cfRule type="expression" priority="38" dxfId="206">
      <formula>D175="GRILLE"</formula>
    </cfRule>
  </conditionalFormatting>
  <conditionalFormatting sqref="F177">
    <cfRule type="cellIs" priority="64" operator="lessThan" dxfId="204">
      <formula>2100</formula>
    </cfRule>
  </conditionalFormatting>
  <conditionalFormatting sqref="G11">
    <cfRule type="expression" priority="777" dxfId="176">
      <formula>((F14-50)/H14)&lt;950</formula>
    </cfRule>
  </conditionalFormatting>
  <conditionalFormatting sqref="G12">
    <cfRule type="expression" priority="776" dxfId="175">
      <formula>((F14-50)/H14)&lt;950</formula>
    </cfRule>
  </conditionalFormatting>
  <conditionalFormatting sqref="G14">
    <cfRule type="cellIs" priority="772" operator="lessThan" dxfId="164">
      <formula>400</formula>
    </cfRule>
  </conditionalFormatting>
  <conditionalFormatting sqref="G28">
    <cfRule type="expression" priority="717" dxfId="176">
      <formula>((F31-50)/H31)&lt;950</formula>
    </cfRule>
  </conditionalFormatting>
  <conditionalFormatting sqref="G29">
    <cfRule type="expression" priority="695" dxfId="175">
      <formula>((F31-50)/H31)&lt;950</formula>
    </cfRule>
  </conditionalFormatting>
  <conditionalFormatting sqref="G31">
    <cfRule type="cellIs" priority="691" operator="lessThan" dxfId="164">
      <formula>400</formula>
    </cfRule>
  </conditionalFormatting>
  <conditionalFormatting sqref="G45">
    <cfRule type="expression" priority="734" dxfId="176">
      <formula>((F48-50)/H48)&lt;950</formula>
    </cfRule>
  </conditionalFormatting>
  <conditionalFormatting sqref="G46">
    <cfRule type="expression" priority="663" dxfId="175">
      <formula>((F48-50)/H48)&lt;950</formula>
    </cfRule>
  </conditionalFormatting>
  <conditionalFormatting sqref="G48">
    <cfRule type="cellIs" priority="659" operator="lessThan" dxfId="164">
      <formula>400</formula>
    </cfRule>
  </conditionalFormatting>
  <conditionalFormatting sqref="G62">
    <cfRule type="expression" priority="735" dxfId="176">
      <formula>((F65-50)/H65)&lt;950</formula>
    </cfRule>
  </conditionalFormatting>
  <conditionalFormatting sqref="G63">
    <cfRule type="expression" priority="633" dxfId="175">
      <formula>((F65-50)/H65)&lt;950</formula>
    </cfRule>
  </conditionalFormatting>
  <conditionalFormatting sqref="G65">
    <cfRule type="cellIs" priority="629" operator="lessThan" dxfId="164">
      <formula>400</formula>
    </cfRule>
  </conditionalFormatting>
  <conditionalFormatting sqref="G79">
    <cfRule type="expression" priority="736" dxfId="176">
      <formula>((F82-50)/H82)&lt;950</formula>
    </cfRule>
  </conditionalFormatting>
  <conditionalFormatting sqref="G80">
    <cfRule type="expression" priority="602" dxfId="175">
      <formula>((F82-50)/H82)&lt;950</formula>
    </cfRule>
  </conditionalFormatting>
  <conditionalFormatting sqref="G82">
    <cfRule type="cellIs" priority="598" operator="lessThan" dxfId="164">
      <formula>400</formula>
    </cfRule>
  </conditionalFormatting>
  <conditionalFormatting sqref="G96">
    <cfRule type="expression" priority="746" dxfId="176">
      <formula>((F99-50)/H99)&lt;950</formula>
    </cfRule>
  </conditionalFormatting>
  <conditionalFormatting sqref="G97">
    <cfRule type="expression" priority="570" dxfId="175">
      <formula>((F99-50)/H99)&lt;950</formula>
    </cfRule>
  </conditionalFormatting>
  <conditionalFormatting sqref="G99">
    <cfRule type="cellIs" priority="566" operator="lessThan" dxfId="164">
      <formula>400</formula>
    </cfRule>
  </conditionalFormatting>
  <conditionalFormatting sqref="G113">
    <cfRule type="expression" priority="352" dxfId="176">
      <formula>((F116-50)/H116)&lt;950</formula>
    </cfRule>
  </conditionalFormatting>
  <conditionalFormatting sqref="G114">
    <cfRule type="expression" priority="341" dxfId="175">
      <formula>((F116-50)/H116)&lt;950</formula>
    </cfRule>
  </conditionalFormatting>
  <conditionalFormatting sqref="G116">
    <cfRule type="cellIs" priority="337" operator="lessThan" dxfId="164">
      <formula>400</formula>
    </cfRule>
  </conditionalFormatting>
  <conditionalFormatting sqref="G130">
    <cfRule type="expression" priority="190" dxfId="176">
      <formula>((F133-50)/H133)&lt;950</formula>
    </cfRule>
  </conditionalFormatting>
  <conditionalFormatting sqref="G131">
    <cfRule type="expression" priority="178" dxfId="175">
      <formula>((F133-50)/H133)&lt;950</formula>
    </cfRule>
  </conditionalFormatting>
  <conditionalFormatting sqref="G133">
    <cfRule type="cellIs" priority="174" operator="lessThan" dxfId="164">
      <formula>400</formula>
    </cfRule>
  </conditionalFormatting>
  <conditionalFormatting sqref="G147">
    <cfRule type="expression" priority="191" dxfId="176">
      <formula>((F150-50)/H150)&lt;950</formula>
    </cfRule>
  </conditionalFormatting>
  <conditionalFormatting sqref="G148">
    <cfRule type="expression" priority="147" dxfId="175">
      <formula>((F150-50)/H150)&lt;950</formula>
    </cfRule>
  </conditionalFormatting>
  <conditionalFormatting sqref="G150">
    <cfRule type="cellIs" priority="143" operator="lessThan" dxfId="164">
      <formula>400</formula>
    </cfRule>
  </conditionalFormatting>
  <conditionalFormatting sqref="G164">
    <cfRule type="expression" priority="82" dxfId="176">
      <formula>((F167-50)/H167)&lt;950</formula>
    </cfRule>
  </conditionalFormatting>
  <conditionalFormatting sqref="G165">
    <cfRule type="expression" priority="71" dxfId="175">
      <formula>((F167-50)/H167)&lt;950</formula>
    </cfRule>
  </conditionalFormatting>
  <conditionalFormatting sqref="G167">
    <cfRule type="cellIs" priority="67" operator="lessThan" dxfId="164">
      <formula>400</formula>
    </cfRule>
  </conditionalFormatting>
  <conditionalFormatting sqref="I14">
    <cfRule type="cellIs" priority="773" operator="lessThan" dxfId="164">
      <formula>0.1</formula>
    </cfRule>
  </conditionalFormatting>
  <conditionalFormatting sqref="I31">
    <cfRule type="cellIs" priority="692" operator="lessThan" dxfId="164">
      <formula>0.1</formula>
    </cfRule>
  </conditionalFormatting>
  <conditionalFormatting sqref="I48">
    <cfRule type="cellIs" priority="660" operator="lessThan" dxfId="164">
      <formula>0.1</formula>
    </cfRule>
  </conditionalFormatting>
  <conditionalFormatting sqref="I65">
    <cfRule type="cellIs" priority="630" operator="lessThan" dxfId="164">
      <formula>0.1</formula>
    </cfRule>
  </conditionalFormatting>
  <conditionalFormatting sqref="I82">
    <cfRule type="cellIs" priority="599" operator="lessThan" dxfId="164">
      <formula>0.1</formula>
    </cfRule>
  </conditionalFormatting>
  <conditionalFormatting sqref="I99">
    <cfRule type="cellIs" priority="567" operator="lessThan" dxfId="164">
      <formula>0.1</formula>
    </cfRule>
  </conditionalFormatting>
  <conditionalFormatting sqref="I116">
    <cfRule type="cellIs" priority="338" operator="lessThan" dxfId="164">
      <formula>0.1</formula>
    </cfRule>
  </conditionalFormatting>
  <conditionalFormatting sqref="I133">
    <cfRule type="cellIs" priority="175" operator="lessThan" dxfId="164">
      <formula>0.1</formula>
    </cfRule>
  </conditionalFormatting>
  <conditionalFormatting sqref="I150">
    <cfRule type="cellIs" priority="144" operator="lessThan" dxfId="164">
      <formula>0.1</formula>
    </cfRule>
  </conditionalFormatting>
  <conditionalFormatting sqref="I167">
    <cfRule type="cellIs" priority="68" operator="lessThan" dxfId="164">
      <formula>0.1</formula>
    </cfRule>
  </conditionalFormatting>
  <conditionalFormatting sqref="J14:J27">
    <cfRule type="cellIs" priority="485" operator="greaterThan" dxfId="153">
      <formula>0</formula>
    </cfRule>
  </conditionalFormatting>
  <conditionalFormatting sqref="J31:J44">
    <cfRule type="cellIs" priority="271" operator="greaterThan" dxfId="153">
      <formula>0</formula>
    </cfRule>
  </conditionalFormatting>
  <conditionalFormatting sqref="J48:J61">
    <cfRule type="cellIs" priority="258" operator="greaterThan" dxfId="153">
      <formula>0</formula>
    </cfRule>
  </conditionalFormatting>
  <conditionalFormatting sqref="J65:J78">
    <cfRule type="cellIs" priority="245" operator="greaterThan" dxfId="153">
      <formula>0</formula>
    </cfRule>
  </conditionalFormatting>
  <conditionalFormatting sqref="J82:J95">
    <cfRule type="cellIs" priority="232" operator="greaterThan" dxfId="153">
      <formula>0</formula>
    </cfRule>
  </conditionalFormatting>
  <conditionalFormatting sqref="J99:J112">
    <cfRule type="cellIs" priority="219" operator="greaterThan" dxfId="153">
      <formula>0</formula>
    </cfRule>
  </conditionalFormatting>
  <conditionalFormatting sqref="J116:J129 J167:J180">
    <cfRule type="cellIs" priority="206" operator="greaterThan" dxfId="153">
      <formula>0</formula>
    </cfRule>
  </conditionalFormatting>
  <conditionalFormatting sqref="J133:J146">
    <cfRule type="cellIs" priority="19" operator="greaterThan" dxfId="153">
      <formula>0</formula>
    </cfRule>
  </conditionalFormatting>
  <conditionalFormatting sqref="J150:J163">
    <cfRule type="cellIs" priority="8" operator="greaterThan" dxfId="153">
      <formula>0</formula>
    </cfRule>
  </conditionalFormatting>
  <conditionalFormatting sqref="J183:J197">
    <cfRule type="expression" priority="747" dxfId="153">
      <formula>C183&gt;0</formula>
    </cfRule>
  </conditionalFormatting>
  <conditionalFormatting sqref="J199">
    <cfRule type="expression" priority="752" dxfId="2">
      <formula>#REF!="EURO"</formula>
    </cfRule>
  </conditionalFormatting>
  <conditionalFormatting sqref="K14:K27">
    <cfRule type="cellIs" priority="499" operator="greaterThan" dxfId="141">
      <formula>0</formula>
    </cfRule>
  </conditionalFormatting>
  <conditionalFormatting sqref="K31:K44">
    <cfRule type="cellIs" priority="274" operator="greaterThan" dxfId="141">
      <formula>0</formula>
    </cfRule>
  </conditionalFormatting>
  <conditionalFormatting sqref="K48:K61">
    <cfRule type="cellIs" priority="261" operator="greaterThan" dxfId="141">
      <formula>0</formula>
    </cfRule>
  </conditionalFormatting>
  <conditionalFormatting sqref="K65:K78">
    <cfRule type="cellIs" priority="248" operator="greaterThan" dxfId="141">
      <formula>0</formula>
    </cfRule>
  </conditionalFormatting>
  <conditionalFormatting sqref="K82:K95">
    <cfRule type="cellIs" priority="235" operator="greaterThan" dxfId="141">
      <formula>0</formula>
    </cfRule>
  </conditionalFormatting>
  <conditionalFormatting sqref="K99:K112">
    <cfRule type="cellIs" priority="222" operator="greaterThan" dxfId="141">
      <formula>0</formula>
    </cfRule>
  </conditionalFormatting>
  <conditionalFormatting sqref="K116:K129 K167:K180">
    <cfRule type="cellIs" priority="209" operator="greaterThan" dxfId="141">
      <formula>0</formula>
    </cfRule>
  </conditionalFormatting>
  <conditionalFormatting sqref="K133:K146">
    <cfRule type="cellIs" priority="20" operator="greaterThan" dxfId="141">
      <formula>0</formula>
    </cfRule>
  </conditionalFormatting>
  <conditionalFormatting sqref="K150:K163">
    <cfRule type="cellIs" priority="9" operator="greaterThan" dxfId="141">
      <formula>0</formula>
    </cfRule>
  </conditionalFormatting>
  <conditionalFormatting sqref="K183:K197">
    <cfRule type="cellIs" priority="754" operator="greaterThan" dxfId="141">
      <formula>0</formula>
    </cfRule>
  </conditionalFormatting>
  <conditionalFormatting sqref="K199">
    <cfRule type="expression" priority="751" dxfId="2">
      <formula>$B$9="EURO"</formula>
    </cfRule>
    <cfRule type="expression" priority="750" dxfId="3">
      <formula>$B$9="USD"</formula>
    </cfRule>
    <cfRule type="expression" priority="749" dxfId="0">
      <formula>$B$9="CZK"</formula>
    </cfRule>
    <cfRule type="expression" priority="748" dxfId="4">
      <formula>$B$9="PLN"</formula>
    </cfRule>
  </conditionalFormatting>
  <conditionalFormatting sqref="L14:L27">
    <cfRule type="expression" priority="496" dxfId="116">
      <formula>$C$9&lt;0</formula>
    </cfRule>
    <cfRule type="expression" priority="497" dxfId="115">
      <formula>$C$9&gt;0</formula>
    </cfRule>
  </conditionalFormatting>
  <conditionalFormatting sqref="L31:L44">
    <cfRule type="expression" priority="205" dxfId="115">
      <formula>$C$9&gt;0</formula>
    </cfRule>
    <cfRule type="expression" priority="204" dxfId="116">
      <formula>$C$9&lt;0</formula>
    </cfRule>
  </conditionalFormatting>
  <conditionalFormatting sqref="L48:L61">
    <cfRule type="expression" priority="203" dxfId="115">
      <formula>$C$9&gt;0</formula>
    </cfRule>
    <cfRule type="expression" priority="202" dxfId="116">
      <formula>$C$9&lt;0</formula>
    </cfRule>
  </conditionalFormatting>
  <conditionalFormatting sqref="L65:L78">
    <cfRule type="expression" priority="200" dxfId="116">
      <formula>$C$9&lt;0</formula>
    </cfRule>
    <cfRule type="expression" priority="201" dxfId="115">
      <formula>$C$9&gt;0</formula>
    </cfRule>
  </conditionalFormatting>
  <conditionalFormatting sqref="L82:L95">
    <cfRule type="expression" priority="198" dxfId="116">
      <formula>$C$9&lt;0</formula>
    </cfRule>
    <cfRule type="expression" priority="199" dxfId="115">
      <formula>$C$9&gt;0</formula>
    </cfRule>
  </conditionalFormatting>
  <conditionalFormatting sqref="L99:L112">
    <cfRule type="expression" priority="196" dxfId="116">
      <formula>$C$9&lt;0</formula>
    </cfRule>
    <cfRule type="expression" priority="197" dxfId="115">
      <formula>$C$9&gt;0</formula>
    </cfRule>
  </conditionalFormatting>
  <conditionalFormatting sqref="L116:L129 L167:L180">
    <cfRule type="expression" priority="194" dxfId="116">
      <formula>$C$9&lt;0</formula>
    </cfRule>
    <cfRule type="expression" priority="195" dxfId="115">
      <formula>$C$9&gt;0</formula>
    </cfRule>
  </conditionalFormatting>
  <conditionalFormatting sqref="L133:L146">
    <cfRule type="expression" priority="3" dxfId="116">
      <formula>$C$9&lt;0</formula>
    </cfRule>
    <cfRule type="expression" priority="4" dxfId="115">
      <formula>$C$9&gt;0</formula>
    </cfRule>
  </conditionalFormatting>
  <conditionalFormatting sqref="L150:L163">
    <cfRule type="expression" priority="1" dxfId="116">
      <formula>$C$9&lt;0</formula>
    </cfRule>
    <cfRule type="expression" priority="2" dxfId="115">
      <formula>$C$9&gt;0</formula>
    </cfRule>
  </conditionalFormatting>
  <conditionalFormatting sqref="L183:L197">
    <cfRule type="expression" priority="193" dxfId="115">
      <formula>$C$9&gt;0</formula>
    </cfRule>
    <cfRule type="expression" priority="192" dxfId="116">
      <formula>$C$9&lt;0</formula>
    </cfRule>
  </conditionalFormatting>
  <conditionalFormatting sqref="N9 N12">
    <cfRule type="expression" priority="784" dxfId="4">
      <formula>$B$9="PLN"</formula>
    </cfRule>
    <cfRule type="expression" priority="787" dxfId="2">
      <formula>$B$9="EURO"</formula>
    </cfRule>
    <cfRule type="expression" priority="786" dxfId="3">
      <formula>$B$9="USD"</formula>
    </cfRule>
    <cfRule type="expression" priority="785" dxfId="0">
      <formula>$B$9="CZK"</formula>
    </cfRule>
  </conditionalFormatting>
  <conditionalFormatting sqref="N14:N27">
    <cfRule type="cellIs" priority="721" operator="greaterThan" dxfId="1">
      <formula>0</formula>
    </cfRule>
    <cfRule type="expression" priority="725" dxfId="0">
      <formula>$B$9="CZK"</formula>
    </cfRule>
    <cfRule type="expression" priority="724" dxfId="4">
      <formula>$B$9="PLN"</formula>
    </cfRule>
    <cfRule type="expression" priority="723" dxfId="3">
      <formula>$B$9="USD"</formula>
    </cfRule>
    <cfRule type="expression" priority="722" dxfId="2">
      <formula>$B$9="EURO"</formula>
    </cfRule>
  </conditionalFormatting>
  <conditionalFormatting sqref="N29">
    <cfRule type="expression" priority="701" dxfId="4">
      <formula>$B$9="PLN"</formula>
    </cfRule>
    <cfRule type="expression" priority="702" dxfId="0">
      <formula>$B$9="CZK"</formula>
    </cfRule>
    <cfRule type="expression" priority="703" dxfId="3">
      <formula>$B$9="USD"</formula>
    </cfRule>
    <cfRule type="expression" priority="704" dxfId="2">
      <formula>$B$9="EURO"</formula>
    </cfRule>
  </conditionalFormatting>
  <conditionalFormatting sqref="N31:N44">
    <cfRule type="cellIs" priority="277" operator="greaterThan" dxfId="1">
      <formula>0</formula>
    </cfRule>
    <cfRule type="expression" priority="278" dxfId="2">
      <formula>$B$9="EURO"</formula>
    </cfRule>
    <cfRule type="expression" priority="279" dxfId="3">
      <formula>$B$9="USD"</formula>
    </cfRule>
    <cfRule type="expression" priority="280" dxfId="4">
      <formula>$B$9="PLN"</formula>
    </cfRule>
    <cfRule type="expression" priority="281" dxfId="0">
      <formula>$B$9="CZK"</formula>
    </cfRule>
  </conditionalFormatting>
  <conditionalFormatting sqref="N46">
    <cfRule type="expression" priority="672" dxfId="2">
      <formula>$B$9="EURO"</formula>
    </cfRule>
    <cfRule type="expression" priority="671" dxfId="3">
      <formula>$B$9="USD"</formula>
    </cfRule>
    <cfRule type="expression" priority="670" dxfId="0">
      <formula>$B$9="CZK"</formula>
    </cfRule>
    <cfRule type="expression" priority="669" dxfId="4">
      <formula>$B$9="PLN"</formula>
    </cfRule>
  </conditionalFormatting>
  <conditionalFormatting sqref="N48:N61">
    <cfRule type="cellIs" priority="264" operator="greaterThan" dxfId="1">
      <formula>0</formula>
    </cfRule>
    <cfRule type="expression" priority="266" dxfId="3">
      <formula>$B$9="USD"</formula>
    </cfRule>
    <cfRule type="expression" priority="268" dxfId="0">
      <formula>$B$9="CZK"</formula>
    </cfRule>
    <cfRule type="expression" priority="267" dxfId="4">
      <formula>$B$9="PLN"</formula>
    </cfRule>
    <cfRule type="expression" priority="265" dxfId="2">
      <formula>$B$9="EURO"</formula>
    </cfRule>
  </conditionalFormatting>
  <conditionalFormatting sqref="N63">
    <cfRule type="expression" priority="639" dxfId="4">
      <formula>$B$9="PLN"</formula>
    </cfRule>
    <cfRule type="expression" priority="640" dxfId="0">
      <formula>$B$9="CZK"</formula>
    </cfRule>
    <cfRule type="expression" priority="641" dxfId="3">
      <formula>$B$9="USD"</formula>
    </cfRule>
    <cfRule type="expression" priority="642" dxfId="2">
      <formula>$B$9="EURO"</formula>
    </cfRule>
  </conditionalFormatting>
  <conditionalFormatting sqref="N65:N78">
    <cfRule type="expression" priority="255" dxfId="0">
      <formula>$B$9="CZK"</formula>
    </cfRule>
    <cfRule type="expression" priority="254" dxfId="4">
      <formula>$B$9="PLN"</formula>
    </cfRule>
    <cfRule type="expression" priority="253" dxfId="3">
      <formula>$B$9="USD"</formula>
    </cfRule>
    <cfRule type="expression" priority="252" dxfId="2">
      <formula>$B$9="EURO"</formula>
    </cfRule>
    <cfRule type="cellIs" priority="251" operator="greaterThan" dxfId="1">
      <formula>0</formula>
    </cfRule>
  </conditionalFormatting>
  <conditionalFormatting sqref="N80">
    <cfRule type="expression" priority="608" dxfId="4">
      <formula>$B$9="PLN"</formula>
    </cfRule>
    <cfRule type="expression" priority="611" dxfId="2">
      <formula>$B$9="EURO"</formula>
    </cfRule>
    <cfRule type="expression" priority="610" dxfId="3">
      <formula>$B$9="USD"</formula>
    </cfRule>
    <cfRule type="expression" priority="609" dxfId="0">
      <formula>$B$9="CZK"</formula>
    </cfRule>
  </conditionalFormatting>
  <conditionalFormatting sqref="N82:N95">
    <cfRule type="expression" priority="242" dxfId="0">
      <formula>$B$9="CZK"</formula>
    </cfRule>
    <cfRule type="expression" priority="241" dxfId="4">
      <formula>$B$9="PLN"</formula>
    </cfRule>
    <cfRule type="expression" priority="240" dxfId="3">
      <formula>$B$9="USD"</formula>
    </cfRule>
    <cfRule type="expression" priority="239" dxfId="2">
      <formula>$B$9="EURO"</formula>
    </cfRule>
    <cfRule type="cellIs" priority="238" operator="greaterThan" dxfId="1">
      <formula>0</formula>
    </cfRule>
  </conditionalFormatting>
  <conditionalFormatting sqref="N97">
    <cfRule type="expression" priority="576" dxfId="4">
      <formula>$B$9="PLN"</formula>
    </cfRule>
    <cfRule type="expression" priority="577" dxfId="0">
      <formula>$B$9="CZK"</formula>
    </cfRule>
    <cfRule type="expression" priority="578" dxfId="3">
      <formula>$B$9="USD"</formula>
    </cfRule>
    <cfRule type="expression" priority="579" dxfId="2">
      <formula>$B$9="EURO"</formula>
    </cfRule>
  </conditionalFormatting>
  <conditionalFormatting sqref="N99:N112">
    <cfRule type="expression" priority="227" dxfId="3">
      <formula>$B$9="USD"</formula>
    </cfRule>
    <cfRule type="cellIs" priority="225" operator="greaterThan" dxfId="1">
      <formula>0</formula>
    </cfRule>
    <cfRule type="expression" priority="229" dxfId="0">
      <formula>$B$9="CZK"</formula>
    </cfRule>
    <cfRule type="expression" priority="228" dxfId="4">
      <formula>$B$9="PLN"</formula>
    </cfRule>
    <cfRule type="expression" priority="226" dxfId="2">
      <formula>$B$9="EURO"</formula>
    </cfRule>
  </conditionalFormatting>
  <conditionalFormatting sqref="N114">
    <cfRule type="expression" priority="347" dxfId="4">
      <formula>$B$9="PLN"</formula>
    </cfRule>
    <cfRule type="expression" priority="348" dxfId="0">
      <formula>$B$9="CZK"</formula>
    </cfRule>
    <cfRule type="expression" priority="349" dxfId="3">
      <formula>$B$9="USD"</formula>
    </cfRule>
    <cfRule type="expression" priority="350" dxfId="2">
      <formula>$B$9="EURO"</formula>
    </cfRule>
  </conditionalFormatting>
  <conditionalFormatting sqref="N116:N129 N167:N180">
    <cfRule type="cellIs" priority="212" operator="greaterThan" dxfId="1">
      <formula>0</formula>
    </cfRule>
    <cfRule type="expression" priority="213" dxfId="2">
      <formula>$B$9="EURO"</formula>
    </cfRule>
    <cfRule type="expression" priority="214" dxfId="3">
      <formula>$B$9="USD"</formula>
    </cfRule>
    <cfRule type="expression" priority="215" dxfId="4">
      <formula>$B$9="PLN"</formula>
    </cfRule>
    <cfRule type="expression" priority="216" dxfId="0">
      <formula>$B$9="CZK"</formula>
    </cfRule>
  </conditionalFormatting>
  <conditionalFormatting sqref="N131">
    <cfRule type="expression" priority="184" dxfId="4">
      <formula>$B$9="PLN"</formula>
    </cfRule>
    <cfRule type="expression" priority="187" dxfId="2">
      <formula>$B$9="EURO"</formula>
    </cfRule>
    <cfRule type="expression" priority="186" dxfId="3">
      <formula>$B$9="USD"</formula>
    </cfRule>
    <cfRule type="expression" priority="185" dxfId="0">
      <formula>$B$9="CZK"</formula>
    </cfRule>
  </conditionalFormatting>
  <conditionalFormatting sqref="N133:N146">
    <cfRule type="cellIs" priority="23" operator="greaterThan" dxfId="1">
      <formula>0</formula>
    </cfRule>
    <cfRule type="expression" priority="24" dxfId="2">
      <formula>$B$9="EURO"</formula>
    </cfRule>
    <cfRule type="expression" priority="25" dxfId="3">
      <formula>$B$9="USD"</formula>
    </cfRule>
    <cfRule type="expression" priority="26" dxfId="4">
      <formula>$B$9="PLN"</formula>
    </cfRule>
    <cfRule type="expression" priority="27" dxfId="0">
      <formula>$B$9="CZK"</formula>
    </cfRule>
  </conditionalFormatting>
  <conditionalFormatting sqref="N148">
    <cfRule type="expression" priority="156" dxfId="2">
      <formula>$B$9="EURO"</formula>
    </cfRule>
    <cfRule type="expression" priority="155" dxfId="3">
      <formula>$B$9="USD"</formula>
    </cfRule>
    <cfRule type="expression" priority="154" dxfId="0">
      <formula>$B$9="CZK"</formula>
    </cfRule>
    <cfRule type="expression" priority="153" dxfId="4">
      <formula>$B$9="PLN"</formula>
    </cfRule>
  </conditionalFormatting>
  <conditionalFormatting sqref="N150:N163">
    <cfRule type="cellIs" priority="12" operator="greaterThan" dxfId="1">
      <formula>0</formula>
    </cfRule>
    <cfRule type="expression" priority="13" dxfId="2">
      <formula>$B$9="EURO"</formula>
    </cfRule>
    <cfRule type="expression" priority="14" dxfId="3">
      <formula>$B$9="USD"</formula>
    </cfRule>
    <cfRule type="expression" priority="15" dxfId="4">
      <formula>$B$9="PLN"</formula>
    </cfRule>
    <cfRule type="expression" priority="16" dxfId="0">
      <formula>$B$9="CZK"</formula>
    </cfRule>
  </conditionalFormatting>
  <conditionalFormatting sqref="N165">
    <cfRule type="expression" priority="79" dxfId="3">
      <formula>$B$9="USD"</formula>
    </cfRule>
    <cfRule type="expression" priority="80" dxfId="2">
      <formula>$B$9="EURO"</formula>
    </cfRule>
    <cfRule type="expression" priority="77" dxfId="4">
      <formula>$B$9="PLN"</formula>
    </cfRule>
    <cfRule type="expression" priority="78" dxfId="0">
      <formula>$B$9="CZK"</formula>
    </cfRule>
  </conditionalFormatting>
  <conditionalFormatting sqref="N183:N197">
    <cfRule type="cellIs" priority="729" operator="greaterThan" dxfId="1">
      <formula>0</formula>
    </cfRule>
    <cfRule type="expression" priority="730" dxfId="2">
      <formula>$B$9="EURO"</formula>
    </cfRule>
    <cfRule type="expression" priority="731" dxfId="3">
      <formula>$B$9="USD"</formula>
    </cfRule>
    <cfRule type="expression" priority="733" dxfId="0">
      <formula>$B$9="CZK"</formula>
    </cfRule>
    <cfRule type="expression" priority="732" dxfId="4">
      <formula>$B$9="PLN"</formula>
    </cfRule>
  </conditionalFormatting>
  <conditionalFormatting sqref="N182:O182">
    <cfRule type="expression" priority="741" dxfId="3">
      <formula>$B$9="USD"</formula>
    </cfRule>
    <cfRule type="expression" priority="742" dxfId="2">
      <formula>$B$9="EURO"</formula>
    </cfRule>
    <cfRule type="expression" priority="740" dxfId="0">
      <formula>$B$9="CZK"</formula>
    </cfRule>
    <cfRule type="expression" priority="739" dxfId="4">
      <formula>$B$9="PLN"</formula>
    </cfRule>
  </conditionalFormatting>
  <conditionalFormatting sqref="O14:O27">
    <cfRule type="cellIs" priority="726" operator="greaterThan" dxfId="5">
      <formula>0</formula>
    </cfRule>
  </conditionalFormatting>
  <conditionalFormatting sqref="O31:O44">
    <cfRule type="cellIs" priority="282" operator="greaterThan" dxfId="5">
      <formula>0</formula>
    </cfRule>
  </conditionalFormatting>
  <conditionalFormatting sqref="O48:O61">
    <cfRule type="cellIs" priority="269" operator="greaterThan" dxfId="5">
      <formula>0</formula>
    </cfRule>
  </conditionalFormatting>
  <conditionalFormatting sqref="O65:O78">
    <cfRule type="cellIs" priority="256" operator="greaterThan" dxfId="5">
      <formula>0</formula>
    </cfRule>
  </conditionalFormatting>
  <conditionalFormatting sqref="O82:O95">
    <cfRule type="cellIs" priority="243" operator="greaterThan" dxfId="5">
      <formula>0</formula>
    </cfRule>
  </conditionalFormatting>
  <conditionalFormatting sqref="O99:O112">
    <cfRule type="cellIs" priority="230" operator="greaterThan" dxfId="5">
      <formula>0</formula>
    </cfRule>
  </conditionalFormatting>
  <conditionalFormatting sqref="O116:O129 O167:O180">
    <cfRule type="cellIs" priority="217" operator="greaterThan" dxfId="5">
      <formula>0</formula>
    </cfRule>
  </conditionalFormatting>
  <conditionalFormatting sqref="O133:O146">
    <cfRule type="cellIs" priority="28" operator="greaterThan" dxfId="5">
      <formula>0</formula>
    </cfRule>
  </conditionalFormatting>
  <conditionalFormatting sqref="O150:O163">
    <cfRule type="cellIs" priority="17" operator="greaterThan" dxfId="5">
      <formula>0</formula>
    </cfRule>
  </conditionalFormatting>
  <conditionalFormatting sqref="O183:O197">
    <cfRule type="cellIs" priority="753" operator="greaterThan" dxfId="5">
      <formula>0</formula>
    </cfRule>
  </conditionalFormatting>
  <conditionalFormatting sqref="Q16">
    <cfRule type="expression" priority="490" dxfId="0">
      <formula>$B$9="CZK"</formula>
    </cfRule>
    <cfRule type="expression" priority="489" dxfId="4">
      <formula>$B$9="PLN"</formula>
    </cfRule>
    <cfRule type="expression" priority="488" dxfId="3">
      <formula>$B$9="USD"</formula>
    </cfRule>
    <cfRule type="expression" priority="487" dxfId="2">
      <formula>$B$9="EURO"</formula>
    </cfRule>
    <cfRule type="cellIs" priority="486" operator="greaterThan" dxfId="1">
      <formula>0</formula>
    </cfRule>
  </conditionalFormatting>
  <dataValidations count="7">
    <dataValidation sqref="C27 C44 C61 C78 C95 C112 C129 C146 C163 C180" showDropDown="0" showInputMessage="1" showErrorMessage="1" allowBlank="1" type="list">
      <formula1>"0,0.5,1,1.5,2,2.5,3,3.5,4,4.5,5"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0:C21 C37:C38 C54:C55 C71:C72 C88:C89 C105:C106 C122:C123 C139:C140 C156:C157 C173:C174 I16 I33 I50 I67 I84 I101 I118 I135 I152 I169" showDropDown="0" showInputMessage="1" showErrorMessage="1" allowBlank="1" type="list">
      <formula1>"0,1,2,3,4,5,6,7,8,9,10,11,12,13,14,15,16,17,18,19,20"</formula1>
    </dataValidation>
    <dataValidation sqref="E14 E31 E48 E65 E82 E99 E116 E133 E150 E167" showDropDown="0" showInputMessage="1" showErrorMessage="1" allowBlank="1" operator="greaterThan"/>
    <dataValidation sqref="C14 C31 C48 C65 C82 C99 C116 C133 C150 C167" showDropDown="0" showInputMessage="1" showErrorMessage="1" allowBlank="1" type="list">
      <formula1>"WALL, ISLAND"</formula1>
    </dataValidation>
    <dataValidation sqref="G181" showDropDown="0" showInputMessage="1" showErrorMessage="1" allowBlank="1" type="list">
      <formula1>#REF!</formula1>
    </dataValidation>
    <dataValidation sqref="D26 D43 D60 D77 D94 D111 D128 D145 D162 D179" showDropDown="0" showInputMessage="1" showErrorMessage="1" allowBlank="1" type="list">
      <formula1>"0,1,2,3,4,5,6,7,8,9,10"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2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10">
    <tabColor theme="0" tint="-0.249977111117893"/>
    <outlinePr summaryBelow="1" summaryRight="1"/>
    <pageSetUpPr/>
  </sheetPr>
  <dimension ref="B2:V48"/>
  <sheetViews>
    <sheetView zoomScale="90" zoomScaleNormal="90" workbookViewId="0">
      <selection activeCell="V5" sqref="V5"/>
    </sheetView>
  </sheetViews>
  <sheetFormatPr baseColWidth="10" defaultColWidth="8.83203125" defaultRowHeight="13"/>
  <cols>
    <col width="14.83203125" customWidth="1" style="1085" min="2" max="2"/>
    <col width="10.1640625" customWidth="1" style="1085" min="3" max="3"/>
    <col width="10.5" customWidth="1" style="1085" min="5" max="5"/>
    <col width="10.5" customWidth="1" style="1085" min="7" max="7"/>
    <col width="10.33203125" customWidth="1" style="1085" min="9" max="9"/>
    <col width="10.5" customWidth="1" style="1085" min="11" max="11"/>
    <col width="10.5" customWidth="1" style="1085" min="13" max="13"/>
    <col width="10.1640625" customWidth="1" style="1085" min="15" max="15"/>
    <col width="9.1640625" customWidth="1" style="501" min="16" max="16"/>
    <col width="13.1640625" customWidth="1" style="1085" min="18" max="18"/>
    <col width="9.1640625" customWidth="1" style="501" min="20" max="20"/>
    <col width="5.6640625" customWidth="1" style="1085" min="21" max="21"/>
    <col width="12.33203125" customWidth="1" style="1085" min="22" max="22"/>
    <col width="11.5" customWidth="1" style="1085" min="23" max="23"/>
  </cols>
  <sheetData>
    <row r="1" ht="14" customHeight="1" s="1085" thickBot="1"/>
    <row r="2" ht="16" customHeight="1" s="1085" thickBot="1">
      <c r="B2" s="1081" t="inlineStr">
        <is>
          <t xml:space="preserve">GALVANISED SUPPLY DUCTWORK COSTS </t>
        </is>
      </c>
      <c r="C2" s="1082" t="n"/>
      <c r="D2" s="1082" t="n"/>
      <c r="E2" s="1083" t="n"/>
      <c r="G2" s="568" t="inlineStr">
        <is>
          <t xml:space="preserve">PROJECT                                                                                       </t>
        </is>
      </c>
      <c r="H2" s="1081">
        <f>IF(CANOPY!G3="","",CANOPY!G3)</f>
        <v/>
      </c>
      <c r="I2" s="1082" t="n"/>
      <c r="J2" s="1082" t="n"/>
      <c r="K2" s="1082" t="n"/>
      <c r="L2" s="1083" t="n"/>
      <c r="M2" s="569" t="inlineStr">
        <is>
          <t>REF</t>
        </is>
      </c>
      <c r="N2" s="1081">
        <f>IF(CANOPY!C3="","",CANOPY!C3)</f>
        <v/>
      </c>
      <c r="O2" s="1083" t="n"/>
      <c r="Q2" s="502" t="n"/>
      <c r="R2" s="555" t="inlineStr">
        <is>
          <t>TOTAL</t>
        </is>
      </c>
      <c r="T2" s="957" t="inlineStr">
        <is>
          <t>COST Inc. PRICE INCREASE</t>
        </is>
      </c>
      <c r="U2" s="958" t="n"/>
      <c r="V2" s="959" t="n"/>
    </row>
    <row r="3" ht="14" customHeight="1" s="1085" thickBot="1">
      <c r="B3" s="1084" t="inlineStr">
        <is>
          <t>Courtesy AIRTRACE NOV 2016  -  No change in price NOV 2018</t>
        </is>
      </c>
      <c r="R3" s="556">
        <f>R25+R48</f>
        <v/>
      </c>
      <c r="T3" s="595" t="inlineStr">
        <is>
          <t>DATE</t>
        </is>
      </c>
      <c r="U3" s="595" t="inlineStr">
        <is>
          <t>%</t>
        </is>
      </c>
      <c r="V3" s="1170" t="n"/>
    </row>
    <row r="4" ht="14" customHeight="1" s="1085" thickBot="1">
      <c r="T4" s="618" t="n">
        <v>2017</v>
      </c>
      <c r="U4" s="619" t="n">
        <v>0.03</v>
      </c>
      <c r="V4" s="620" t="inlineStr">
        <is>
          <t>ALL COSTS</t>
        </is>
      </c>
    </row>
    <row r="5" ht="15" customHeight="1" s="1085">
      <c r="C5" s="503" t="inlineStr">
        <is>
          <t>Size</t>
        </is>
      </c>
      <c r="D5" s="504" t="inlineStr">
        <is>
          <t>No. Off</t>
        </is>
      </c>
      <c r="E5" s="504" t="inlineStr">
        <is>
          <t>Size</t>
        </is>
      </c>
      <c r="F5" s="504" t="inlineStr">
        <is>
          <t>No. Off</t>
        </is>
      </c>
      <c r="G5" s="504" t="inlineStr">
        <is>
          <t>Size</t>
        </is>
      </c>
      <c r="H5" s="504" t="inlineStr">
        <is>
          <t>No. Off</t>
        </is>
      </c>
      <c r="I5" s="504" t="inlineStr">
        <is>
          <t>Size</t>
        </is>
      </c>
      <c r="J5" s="504" t="inlineStr">
        <is>
          <t>No. Off</t>
        </is>
      </c>
      <c r="K5" s="504" t="inlineStr">
        <is>
          <t>Size</t>
        </is>
      </c>
      <c r="L5" s="504" t="inlineStr">
        <is>
          <t>No. Off</t>
        </is>
      </c>
      <c r="M5" s="504" t="inlineStr">
        <is>
          <t>Size</t>
        </is>
      </c>
      <c r="N5" s="504" t="inlineStr">
        <is>
          <t>No. Off</t>
        </is>
      </c>
      <c r="O5" s="504" t="n"/>
      <c r="P5" s="504" t="n"/>
      <c r="Q5" s="505" t="n"/>
      <c r="R5" s="506" t="inlineStr">
        <is>
          <t>Total</t>
        </is>
      </c>
      <c r="T5" s="934" t="n">
        <v>2024</v>
      </c>
      <c r="U5" s="935" t="n">
        <v>0.4</v>
      </c>
      <c r="V5" s="960">
        <f>R3*U5+R3</f>
        <v/>
      </c>
    </row>
    <row r="6" ht="16" customHeight="1" s="1085" thickBot="1">
      <c r="C6" s="507" t="inlineStr">
        <is>
          <t>100 DIA</t>
        </is>
      </c>
      <c r="D6" s="508" t="n"/>
      <c r="E6" s="509" t="inlineStr">
        <is>
          <t>125 DIA</t>
        </is>
      </c>
      <c r="F6" s="508" t="n"/>
      <c r="G6" s="510" t="inlineStr">
        <is>
          <t>150 DIA</t>
        </is>
      </c>
      <c r="H6" s="508" t="n"/>
      <c r="I6" s="509" t="inlineStr">
        <is>
          <t>200 DIA</t>
        </is>
      </c>
      <c r="J6" s="508" t="n"/>
      <c r="K6" s="510" t="inlineStr">
        <is>
          <t>250 DIA</t>
        </is>
      </c>
      <c r="L6" s="508" t="n"/>
      <c r="M6" s="509" t="inlineStr">
        <is>
          <t>315 DIA</t>
        </is>
      </c>
      <c r="N6" s="508" t="n"/>
      <c r="O6" s="511" t="n"/>
      <c r="P6" s="508" t="n"/>
      <c r="Q6" s="512" t="n"/>
      <c r="R6" s="513" t="n"/>
    </row>
    <row r="7" ht="15" customHeight="1" s="1085">
      <c r="B7" s="514" t="inlineStr">
        <is>
          <t>Coupler</t>
        </is>
      </c>
      <c r="C7" s="839" t="n">
        <v>2.12</v>
      </c>
      <c r="D7" s="840" t="n"/>
      <c r="E7" s="841" t="n">
        <v>2.35</v>
      </c>
      <c r="F7" s="842" t="n"/>
      <c r="G7" s="843" t="n">
        <v>2.35</v>
      </c>
      <c r="H7" s="840" t="n"/>
      <c r="I7" s="844" t="n">
        <v>2.78</v>
      </c>
      <c r="J7" s="842" t="n"/>
      <c r="K7" s="843" t="n">
        <v>3.99</v>
      </c>
      <c r="L7" s="840" t="n"/>
      <c r="M7" s="844" t="n">
        <v>6.08</v>
      </c>
      <c r="N7" s="518" t="n"/>
      <c r="O7" s="521" t="n"/>
      <c r="P7" s="623" t="n"/>
      <c r="Q7" s="505" t="n"/>
      <c r="R7" s="522">
        <f>SUM(C7*D7+E7*F7+G7*H7+I7*J7+K7*L7+M7*+N7+O7*P7)</f>
        <v/>
      </c>
    </row>
    <row r="8" ht="15" customHeight="1" s="1085">
      <c r="B8" s="523" t="inlineStr">
        <is>
          <t>3.0m Sraight</t>
        </is>
      </c>
      <c r="C8" s="845" t="n">
        <v>21.79</v>
      </c>
      <c r="D8" s="803" t="n"/>
      <c r="E8" s="622" t="n">
        <v>27.25</v>
      </c>
      <c r="F8" s="846" t="n"/>
      <c r="G8" s="621" t="n">
        <v>34.3</v>
      </c>
      <c r="H8" s="803" t="n"/>
      <c r="I8" s="847" t="n">
        <v>51.18</v>
      </c>
      <c r="J8" s="846" t="n"/>
      <c r="K8" s="621" t="n">
        <v>63.69</v>
      </c>
      <c r="L8" s="803" t="n"/>
      <c r="M8" s="847" t="n">
        <v>80.05</v>
      </c>
      <c r="N8" s="527" t="n"/>
      <c r="O8" s="530" t="n"/>
      <c r="P8" s="535" t="n"/>
      <c r="Q8" s="531" t="n"/>
      <c r="R8" s="532">
        <f>SUM(C8*D8+E8*F8+G8*H8+I8*J8+K8*L8+M8*+N8+O8*P8)</f>
        <v/>
      </c>
    </row>
    <row r="9" ht="15" customHeight="1" s="1085">
      <c r="B9" s="523" t="inlineStr">
        <is>
          <t>90 Rad Bend</t>
        </is>
      </c>
      <c r="C9" s="845" t="n">
        <v>8.51</v>
      </c>
      <c r="D9" s="803" t="n"/>
      <c r="E9" s="622" t="n">
        <v>10.05</v>
      </c>
      <c r="F9" s="846" t="n"/>
      <c r="G9" s="621" t="n">
        <v>14.75</v>
      </c>
      <c r="H9" s="803" t="n"/>
      <c r="I9" s="847" t="n">
        <v>20.63</v>
      </c>
      <c r="J9" s="846" t="n"/>
      <c r="K9" s="621" t="n">
        <v>30.79</v>
      </c>
      <c r="L9" s="803" t="n"/>
      <c r="M9" s="847" t="n">
        <v>33.47</v>
      </c>
      <c r="N9" s="527" t="n"/>
      <c r="O9" s="530" t="n"/>
      <c r="P9" s="535" t="n"/>
      <c r="Q9" s="531" t="n"/>
      <c r="R9" s="532">
        <f>SUM(C9*D9+E9*F9+G9*H9+I9*J9+K9*L9+M9*+N9+O9*P9)</f>
        <v/>
      </c>
    </row>
    <row r="10" ht="15" customHeight="1" s="1085">
      <c r="B10" s="523" t="inlineStr">
        <is>
          <t>45 Bend</t>
        </is>
      </c>
      <c r="C10" s="845" t="n">
        <v>6.4</v>
      </c>
      <c r="D10" s="803" t="n"/>
      <c r="E10" s="622" t="n">
        <v>7.48</v>
      </c>
      <c r="F10" s="846" t="n"/>
      <c r="G10" s="621" t="n">
        <v>10.79</v>
      </c>
      <c r="H10" s="803" t="n"/>
      <c r="I10" s="847" t="n">
        <v>14.74</v>
      </c>
      <c r="J10" s="846" t="n"/>
      <c r="K10" s="621" t="n">
        <v>22.09</v>
      </c>
      <c r="L10" s="803" t="n"/>
      <c r="M10" s="847" t="n">
        <v>25.74</v>
      </c>
      <c r="N10" s="527" t="n"/>
      <c r="O10" s="530" t="n"/>
      <c r="P10" s="535" t="n"/>
      <c r="Q10" s="531" t="n"/>
      <c r="R10" s="532">
        <f>SUM(C10*D10+E10*F10+G10*H10+I10*J10+K10*L10+M10*+N10+O10*P10)</f>
        <v/>
      </c>
    </row>
    <row r="11" ht="15" customHeight="1" s="1085">
      <c r="B11" s="523" t="inlineStr">
        <is>
          <t>Flat Shoe</t>
        </is>
      </c>
      <c r="C11" s="524" t="n">
        <v>15.52</v>
      </c>
      <c r="D11" s="525" t="n"/>
      <c r="E11" s="526" t="n">
        <v>17.19</v>
      </c>
      <c r="F11" s="527" t="n"/>
      <c r="G11" s="528" t="n">
        <v>21.51</v>
      </c>
      <c r="H11" s="525" t="n"/>
      <c r="I11" s="529" t="n">
        <v>28.04</v>
      </c>
      <c r="J11" s="527" t="n"/>
      <c r="K11" s="528" t="n">
        <v>35.38</v>
      </c>
      <c r="L11" s="525" t="n"/>
      <c r="M11" s="529" t="n">
        <v>47.48</v>
      </c>
      <c r="N11" s="527" t="n"/>
      <c r="O11" s="530" t="n"/>
      <c r="P11" s="535" t="n"/>
      <c r="Q11" s="531" t="n"/>
      <c r="R11" s="532">
        <f>SUM(C11*D11+E11*F11+G11*H11+I11*J11+K11*L11+M11*+N11+O11*P11)</f>
        <v/>
      </c>
    </row>
    <row r="12" ht="15" customHeight="1" s="1085">
      <c r="B12" s="523" t="inlineStr">
        <is>
          <t>Spigot</t>
        </is>
      </c>
      <c r="C12" s="524" t="n">
        <v>2.66</v>
      </c>
      <c r="D12" s="525" t="n"/>
      <c r="E12" s="526" t="n">
        <v>2.66</v>
      </c>
      <c r="F12" s="527" t="n"/>
      <c r="G12" s="528" t="n">
        <v>3.94</v>
      </c>
      <c r="H12" s="525" t="n"/>
      <c r="I12" s="529" t="n">
        <v>5.37</v>
      </c>
      <c r="J12" s="527" t="n"/>
      <c r="K12" s="528" t="n">
        <v>6.4</v>
      </c>
      <c r="L12" s="525" t="n"/>
      <c r="M12" s="529" t="n">
        <v>8</v>
      </c>
      <c r="N12" s="527" t="n"/>
      <c r="O12" s="530" t="n"/>
      <c r="P12" s="535" t="n"/>
      <c r="Q12" s="531" t="n"/>
      <c r="R12" s="532">
        <f>SUM(C12*D12+E12*F12+G12*H12+I12*J12+K12*L12+M12*+N12+O12*P12)</f>
        <v/>
      </c>
    </row>
    <row r="13" ht="15" customHeight="1" s="1085">
      <c r="B13" s="523" t="inlineStr">
        <is>
          <t>Cap End</t>
        </is>
      </c>
      <c r="C13" s="524" t="n">
        <v>4.32</v>
      </c>
      <c r="D13" s="525" t="n"/>
      <c r="E13" s="526" t="n">
        <v>4.44</v>
      </c>
      <c r="F13" s="527" t="n"/>
      <c r="G13" s="528" t="n">
        <v>4.5</v>
      </c>
      <c r="H13" s="525" t="n"/>
      <c r="I13" s="529" t="n">
        <v>8.02</v>
      </c>
      <c r="J13" s="527" t="n"/>
      <c r="K13" s="528" t="n">
        <v>11.35</v>
      </c>
      <c r="L13" s="525" t="n"/>
      <c r="M13" s="529" t="n">
        <v>16.65</v>
      </c>
      <c r="N13" s="527" t="n"/>
      <c r="O13" s="530" t="n"/>
      <c r="P13" s="535" t="n"/>
      <c r="Q13" s="531" t="n"/>
      <c r="R13" s="532">
        <f>SUM(C13*D13+E13*F13+G13*H13+I13*J13+K13*L13+M13*+N13+O13*P13)</f>
        <v/>
      </c>
    </row>
    <row r="14" ht="15" customHeight="1" s="1085">
      <c r="B14" s="523" t="inlineStr">
        <is>
          <t>Split Ring</t>
        </is>
      </c>
      <c r="C14" s="524" t="n">
        <v>6.41</v>
      </c>
      <c r="D14" s="525" t="n"/>
      <c r="E14" s="526" t="n">
        <v>7.5</v>
      </c>
      <c r="F14" s="527" t="n"/>
      <c r="G14" s="528" t="n">
        <v>7.5</v>
      </c>
      <c r="H14" s="525" t="n"/>
      <c r="I14" s="529" t="n">
        <v>8.220000000000001</v>
      </c>
      <c r="J14" s="527" t="n"/>
      <c r="K14" s="528" t="n">
        <v>10.72</v>
      </c>
      <c r="L14" s="525" t="n"/>
      <c r="M14" s="529" t="n">
        <v>13.21</v>
      </c>
      <c r="N14" s="527" t="n"/>
      <c r="O14" s="530" t="n"/>
      <c r="P14" s="535" t="n"/>
      <c r="Q14" s="531" t="n"/>
      <c r="R14" s="532">
        <f>SUM(C14*D14+E14*F14+G14*H14+I14*J14+K14*L14+M14*+N14+O14*P14)</f>
        <v/>
      </c>
    </row>
    <row r="15" ht="15" customHeight="1" s="1085">
      <c r="B15" s="523" t="inlineStr">
        <is>
          <t>VCD</t>
        </is>
      </c>
      <c r="C15" s="524" t="n">
        <v>19.99</v>
      </c>
      <c r="D15" s="525" t="n"/>
      <c r="E15" s="526" t="n">
        <v>21.1</v>
      </c>
      <c r="F15" s="527" t="n"/>
      <c r="G15" s="528" t="n">
        <v>23.94</v>
      </c>
      <c r="H15" s="525" t="n"/>
      <c r="I15" s="529" t="n">
        <v>25.41</v>
      </c>
      <c r="J15" s="527" t="n"/>
      <c r="K15" s="528" t="n">
        <v>29.86</v>
      </c>
      <c r="L15" s="525" t="n"/>
      <c r="M15" s="529" t="n">
        <v>34.67</v>
      </c>
      <c r="N15" s="527" t="n"/>
      <c r="O15" s="530" t="n"/>
      <c r="P15" s="535" t="n"/>
      <c r="Q15" s="531" t="n"/>
      <c r="R15" s="532">
        <f>SUM(C15*D15+E15*F15+G15*H15+I15*J15+K15*L15+M15*+N15+O15*P15)</f>
        <v/>
      </c>
    </row>
    <row r="16" ht="15" customHeight="1" s="1085">
      <c r="B16" s="523" t="inlineStr">
        <is>
          <t>Twin Bend</t>
        </is>
      </c>
      <c r="C16" s="524" t="n">
        <v>54.19</v>
      </c>
      <c r="D16" s="525" t="n"/>
      <c r="E16" s="526" t="n">
        <v>63.22</v>
      </c>
      <c r="F16" s="527" t="n"/>
      <c r="G16" s="528" t="n">
        <v>69.44</v>
      </c>
      <c r="H16" s="525" t="n"/>
      <c r="I16" s="529" t="n">
        <v>94.73999999999999</v>
      </c>
      <c r="J16" s="527" t="n"/>
      <c r="K16" s="528" t="n">
        <v>106.65</v>
      </c>
      <c r="L16" s="525" t="n"/>
      <c r="M16" s="529" t="n">
        <v>169.29</v>
      </c>
      <c r="N16" s="527" t="n"/>
      <c r="O16" s="530" t="n"/>
      <c r="P16" s="535" t="n"/>
      <c r="Q16" s="531" t="n"/>
      <c r="R16" s="532">
        <f>SUM(C16*D16+E16*F16+G16*H16+I16*J16+K16*L16+M16*+N16+O16*P16)</f>
        <v/>
      </c>
    </row>
    <row r="17" ht="15" customHeight="1" s="1085">
      <c r="B17" s="523" t="inlineStr">
        <is>
          <t>Taper</t>
        </is>
      </c>
      <c r="C17" s="524" t="n">
        <v>0</v>
      </c>
      <c r="D17" s="525" t="n"/>
      <c r="E17" s="526" t="n">
        <v>10.22</v>
      </c>
      <c r="F17" s="527" t="n"/>
      <c r="G17" s="528" t="n">
        <v>12.82</v>
      </c>
      <c r="H17" s="525" t="n"/>
      <c r="I17" s="529" t="n">
        <v>17.85</v>
      </c>
      <c r="J17" s="527" t="n"/>
      <c r="K17" s="528" t="n">
        <v>20.12</v>
      </c>
      <c r="L17" s="525" t="n"/>
      <c r="M17" s="529" t="n">
        <v>32.24</v>
      </c>
      <c r="N17" s="527" t="n"/>
      <c r="O17" s="530" t="n"/>
      <c r="P17" s="535" t="n"/>
      <c r="Q17" s="531" t="n"/>
      <c r="R17" s="532">
        <f>SUM(C17*D17+E17*F17+G17*H17+I17*J17+K17*L17+M17*+N17+O17*P17)</f>
        <v/>
      </c>
    </row>
    <row r="18" ht="15" customHeight="1" s="1085">
      <c r="B18" s="523" t="inlineStr">
        <is>
          <t>Pressed Saddle</t>
        </is>
      </c>
      <c r="C18" s="524" t="n">
        <v>5.55</v>
      </c>
      <c r="D18" s="525" t="n"/>
      <c r="E18" s="526" t="n">
        <v>6.79</v>
      </c>
      <c r="F18" s="527" t="n"/>
      <c r="G18" s="528" t="n">
        <v>10.12</v>
      </c>
      <c r="H18" s="525" t="n"/>
      <c r="I18" s="529" t="n">
        <v>11.49</v>
      </c>
      <c r="J18" s="527" t="n"/>
      <c r="K18" s="528" t="n">
        <v>17.91</v>
      </c>
      <c r="L18" s="525" t="n"/>
      <c r="M18" s="529" t="n">
        <v>27.8</v>
      </c>
      <c r="N18" s="527" t="n"/>
      <c r="O18" s="530" t="n"/>
      <c r="P18" s="535" t="n"/>
      <c r="Q18" s="531" t="n"/>
      <c r="R18" s="532">
        <f>SUM(C18*D18+E18*F18+G18*H18+I18*J18+K18*L18+M18*+N18+O18*P18)</f>
        <v/>
      </c>
    </row>
    <row r="19" ht="15" customHeight="1" s="1085">
      <c r="B19" s="523" t="inlineStr">
        <is>
          <t>Flex. 10M</t>
        </is>
      </c>
      <c r="C19" s="524" t="n">
        <v>34.16</v>
      </c>
      <c r="D19" s="525" t="n"/>
      <c r="E19" s="526" t="n">
        <v>42.15</v>
      </c>
      <c r="F19" s="527" t="n"/>
      <c r="G19" s="528" t="n">
        <v>49.24</v>
      </c>
      <c r="H19" s="525" t="n"/>
      <c r="I19" s="529" t="n">
        <v>69.22</v>
      </c>
      <c r="J19" s="527" t="n"/>
      <c r="K19" s="528" t="n">
        <v>88.27</v>
      </c>
      <c r="L19" s="525" t="n"/>
      <c r="M19" s="529" t="n">
        <v>120.21</v>
      </c>
      <c r="N19" s="527" t="n"/>
      <c r="O19" s="530" t="n"/>
      <c r="P19" s="535" t="n"/>
      <c r="Q19" s="531" t="n"/>
      <c r="R19" s="532">
        <f>SUM(C19*D19+E19*F19+G19*H19+I19*J19+K19*L19+M19*+N19+O19*P19)</f>
        <v/>
      </c>
    </row>
    <row r="20" ht="15" customHeight="1" s="1085">
      <c r="B20" s="523" t="inlineStr">
        <is>
          <t>Ins. Flex 10M</t>
        </is>
      </c>
      <c r="C20" s="524" t="n">
        <v>97.16</v>
      </c>
      <c r="D20" s="525" t="n"/>
      <c r="E20" s="526" t="n">
        <v>97.16</v>
      </c>
      <c r="F20" s="527" t="n"/>
      <c r="G20" s="528" t="n">
        <v>103.38</v>
      </c>
      <c r="H20" s="525" t="n"/>
      <c r="I20" s="529" t="n">
        <v>155.71</v>
      </c>
      <c r="J20" s="527" t="n"/>
      <c r="K20" s="528" t="n">
        <v>188.99</v>
      </c>
      <c r="L20" s="525" t="n"/>
      <c r="M20" s="529" t="n">
        <v>260.4</v>
      </c>
      <c r="N20" s="527" t="n"/>
      <c r="O20" s="530" t="n"/>
      <c r="P20" s="535" t="n"/>
      <c r="Q20" s="531" t="n"/>
      <c r="R20" s="532">
        <f>SUM(C20*D20+E20*F20+G20*H20+I20*J20+K20*L20+M20*+N20+O20*P20)</f>
        <v/>
      </c>
    </row>
    <row r="21" ht="15" customHeight="1" s="1085">
      <c r="B21" s="523" t="inlineStr">
        <is>
          <t>Access Door</t>
        </is>
      </c>
      <c r="C21" s="524" t="n">
        <v>12.6</v>
      </c>
      <c r="D21" s="525" t="n"/>
      <c r="E21" s="526" t="n">
        <v>12.6</v>
      </c>
      <c r="F21" s="527" t="n"/>
      <c r="G21" s="528" t="n">
        <v>14.49</v>
      </c>
      <c r="H21" s="525" t="n"/>
      <c r="I21" s="529" t="n">
        <v>14.49</v>
      </c>
      <c r="J21" s="527" t="n"/>
      <c r="K21" s="528" t="n">
        <v>14.49</v>
      </c>
      <c r="L21" s="525" t="n"/>
      <c r="M21" s="529" t="n">
        <v>14.49</v>
      </c>
      <c r="N21" s="527" t="n"/>
      <c r="O21" s="530" t="n"/>
      <c r="P21" s="535" t="n"/>
      <c r="Q21" s="531" t="n"/>
      <c r="R21" s="532">
        <f>SUM(C21*D21+E21*F21+G21*H21+I21*J21+K21*L21+M21*+N21+O21*P21)</f>
        <v/>
      </c>
    </row>
    <row r="22" ht="15" customHeight="1" s="1085">
      <c r="B22" s="523" t="n"/>
      <c r="C22" s="524" t="n"/>
      <c r="D22" s="525" t="n"/>
      <c r="E22" s="526" t="n"/>
      <c r="F22" s="527" t="n"/>
      <c r="G22" s="528" t="n"/>
      <c r="H22" s="525" t="n"/>
      <c r="I22" s="529" t="n"/>
      <c r="J22" s="527" t="n"/>
      <c r="K22" s="528" t="n"/>
      <c r="L22" s="525" t="n"/>
      <c r="M22" s="529" t="n"/>
      <c r="N22" s="527" t="n"/>
      <c r="O22" s="530" t="n"/>
      <c r="P22" s="535" t="n"/>
      <c r="Q22" s="531" t="n"/>
      <c r="R22" s="532">
        <f>SUM(C22*D22+E22*F22+G22*H22+I22*J22+K22*L22+M22*+N22+O22*P22)</f>
        <v/>
      </c>
    </row>
    <row r="23" ht="15" customHeight="1" s="1085">
      <c r="B23" s="533" t="n"/>
      <c r="C23" s="534" t="n"/>
      <c r="D23" s="535" t="n"/>
      <c r="E23" s="535" t="n"/>
      <c r="F23" s="535" t="n"/>
      <c r="G23" s="535" t="n"/>
      <c r="H23" s="535" t="n"/>
      <c r="I23" s="535" t="n"/>
      <c r="J23" s="535" t="n"/>
      <c r="K23" s="535" t="n"/>
      <c r="L23" s="535" t="n"/>
      <c r="M23" s="535" t="n"/>
      <c r="N23" s="535" t="n"/>
      <c r="O23" s="530" t="n"/>
      <c r="P23" s="535" t="n"/>
      <c r="Q23" s="624" t="inlineStr">
        <is>
          <t>S/TOTAL</t>
        </is>
      </c>
      <c r="R23" s="532">
        <f>SUM(R7:R22)</f>
        <v/>
      </c>
    </row>
    <row r="24" ht="15" customHeight="1" s="1085">
      <c r="B24" s="536" t="n"/>
      <c r="C24" s="537" t="n"/>
      <c r="D24" s="538" t="n"/>
      <c r="E24" s="538" t="n"/>
      <c r="F24" s="538" t="n"/>
      <c r="G24" s="538" t="n"/>
      <c r="H24" s="538" t="n"/>
      <c r="I24" s="538" t="n"/>
      <c r="J24" s="538" t="n"/>
      <c r="K24" s="538" t="n"/>
      <c r="L24" s="538" t="n"/>
      <c r="M24" s="538" t="n"/>
      <c r="N24" s="538" t="n"/>
      <c r="O24" s="539" t="n"/>
      <c r="P24" s="538" t="n"/>
      <c r="Q24" s="540" t="n">
        <v>0.15</v>
      </c>
      <c r="R24" s="541">
        <f>SUM(R23*0.15)</f>
        <v/>
      </c>
    </row>
    <row r="25" ht="16" customHeight="1" s="1085" thickBot="1">
      <c r="B25" s="542" t="n"/>
      <c r="C25" s="543" t="n"/>
      <c r="D25" s="544" t="n"/>
      <c r="E25" s="544" t="n"/>
      <c r="F25" s="544" t="n"/>
      <c r="G25" s="544" t="n"/>
      <c r="H25" s="544" t="n"/>
      <c r="I25" s="544" t="n"/>
      <c r="J25" s="544" t="n"/>
      <c r="K25" s="544" t="n"/>
      <c r="L25" s="544" t="n"/>
      <c r="M25" s="544" t="n"/>
      <c r="N25" s="544" t="n"/>
      <c r="O25" s="545" t="n"/>
      <c r="P25" s="544" t="n"/>
      <c r="Q25" s="546" t="inlineStr">
        <is>
          <t>TOTAL</t>
        </is>
      </c>
      <c r="R25" s="547">
        <f>SUM(R23+R24)</f>
        <v/>
      </c>
    </row>
    <row r="27" ht="14" customHeight="1" s="1085" thickBot="1"/>
    <row r="28" ht="15" customHeight="1" s="1085">
      <c r="C28" s="503" t="inlineStr">
        <is>
          <t>Size</t>
        </is>
      </c>
      <c r="D28" s="504" t="inlineStr">
        <is>
          <t>No. Off</t>
        </is>
      </c>
      <c r="E28" s="504" t="inlineStr">
        <is>
          <t>Size</t>
        </is>
      </c>
      <c r="F28" s="504" t="inlineStr">
        <is>
          <t>No. Off</t>
        </is>
      </c>
      <c r="G28" s="504" t="inlineStr">
        <is>
          <t>Size</t>
        </is>
      </c>
      <c r="H28" s="504" t="inlineStr">
        <is>
          <t>No. Off</t>
        </is>
      </c>
      <c r="I28" s="504" t="inlineStr">
        <is>
          <t>Size</t>
        </is>
      </c>
      <c r="J28" s="504" t="inlineStr">
        <is>
          <t>No. Off</t>
        </is>
      </c>
      <c r="K28" s="504" t="inlineStr">
        <is>
          <t>Size</t>
        </is>
      </c>
      <c r="L28" s="504" t="inlineStr">
        <is>
          <t>No. Off</t>
        </is>
      </c>
      <c r="M28" s="504" t="inlineStr">
        <is>
          <t>Size</t>
        </is>
      </c>
      <c r="N28" s="548" t="inlineStr">
        <is>
          <t>No. Off</t>
        </is>
      </c>
      <c r="O28" s="504" t="n"/>
      <c r="P28" s="504" t="n"/>
      <c r="Q28" s="505" t="n"/>
      <c r="R28" s="506" t="inlineStr">
        <is>
          <t>Total</t>
        </is>
      </c>
    </row>
    <row r="29" ht="16" customHeight="1" s="1085" thickBot="1">
      <c r="C29" s="507" t="inlineStr">
        <is>
          <t>355 DIA</t>
        </is>
      </c>
      <c r="D29" s="508" t="n"/>
      <c r="E29" s="509" t="inlineStr">
        <is>
          <t>400DIA</t>
        </is>
      </c>
      <c r="F29" s="508" t="n"/>
      <c r="G29" s="510" t="inlineStr">
        <is>
          <t>450 DIA</t>
        </is>
      </c>
      <c r="H29" s="508" t="n"/>
      <c r="I29" s="509" t="inlineStr">
        <is>
          <t>500 DIA</t>
        </is>
      </c>
      <c r="J29" s="508" t="n"/>
      <c r="K29" s="510" t="inlineStr">
        <is>
          <t>560 DIA</t>
        </is>
      </c>
      <c r="L29" s="508" t="n"/>
      <c r="M29" s="509" t="inlineStr">
        <is>
          <t>600 DIA</t>
        </is>
      </c>
      <c r="N29" s="549" t="n"/>
      <c r="O29" s="511" t="n"/>
      <c r="P29" s="508" t="n"/>
      <c r="Q29" s="512" t="n"/>
      <c r="R29" s="513" t="n"/>
    </row>
    <row r="30" ht="15" customHeight="1" s="1085">
      <c r="B30" s="514" t="inlineStr">
        <is>
          <t>Coupler</t>
        </is>
      </c>
      <c r="C30" s="515" t="n">
        <v>6.26</v>
      </c>
      <c r="D30" s="516" t="n"/>
      <c r="E30" s="517" t="n">
        <v>7.96</v>
      </c>
      <c r="F30" s="518" t="n"/>
      <c r="G30" s="519" t="n">
        <v>7.96</v>
      </c>
      <c r="H30" s="516" t="n"/>
      <c r="I30" s="520" t="n">
        <v>9.99</v>
      </c>
      <c r="J30" s="518" t="n"/>
      <c r="K30" s="519" t="n">
        <v>11.84</v>
      </c>
      <c r="L30" s="516" t="n"/>
      <c r="M30" s="520" t="n">
        <v>11.84</v>
      </c>
      <c r="N30" s="518" t="n"/>
      <c r="O30" s="521" t="n"/>
      <c r="P30" s="623" t="n"/>
      <c r="Q30" s="505" t="n"/>
      <c r="R30" s="522">
        <f>SUM(C30*D30+E30*F30+G30*H30+I30*J30+K30*L30+M30*+N30+O30*P30)</f>
        <v/>
      </c>
    </row>
    <row r="31" ht="15" customHeight="1" s="1085">
      <c r="B31" s="523" t="inlineStr">
        <is>
          <t>3.0m Sraight</t>
        </is>
      </c>
      <c r="C31" s="524" t="n">
        <v>119.78</v>
      </c>
      <c r="D31" s="525" t="n"/>
      <c r="E31" s="526" t="n">
        <v>135.01</v>
      </c>
      <c r="F31" s="527" t="n"/>
      <c r="G31" s="528" t="n">
        <v>152.42</v>
      </c>
      <c r="H31" s="525" t="n"/>
      <c r="I31" s="529" t="n">
        <v>169.29</v>
      </c>
      <c r="J31" s="527" t="n"/>
      <c r="K31" s="528" t="n">
        <v>189.44</v>
      </c>
      <c r="L31" s="525" t="n"/>
      <c r="M31" s="529" t="n">
        <v>213.37</v>
      </c>
      <c r="N31" s="527" t="n"/>
      <c r="O31" s="530" t="n"/>
      <c r="P31" s="535" t="n"/>
      <c r="Q31" s="531" t="n"/>
      <c r="R31" s="532">
        <f>SUM(C31*D31+E31*F31+G31*H31+I31*J31+K31*L31+M31*+N31+O31*P31)</f>
        <v/>
      </c>
    </row>
    <row r="32" ht="15" customHeight="1" s="1085">
      <c r="B32" s="523" t="inlineStr">
        <is>
          <t>90 Rad Bend</t>
        </is>
      </c>
      <c r="C32" s="524" t="n">
        <v>40.01</v>
      </c>
      <c r="D32" s="525" t="n"/>
      <c r="E32" s="526" t="n">
        <v>49.85</v>
      </c>
      <c r="F32" s="527" t="n"/>
      <c r="G32" s="528" t="n">
        <v>55.33</v>
      </c>
      <c r="H32" s="525" t="n"/>
      <c r="I32" s="529" t="n">
        <v>70.64</v>
      </c>
      <c r="J32" s="527" t="n"/>
      <c r="K32" s="528" t="n">
        <v>79.92</v>
      </c>
      <c r="L32" s="525" t="n"/>
      <c r="M32" s="529" t="n">
        <v>127.04</v>
      </c>
      <c r="N32" s="527" t="n"/>
      <c r="O32" s="530" t="n"/>
      <c r="P32" s="535" t="n"/>
      <c r="Q32" s="531" t="n"/>
      <c r="R32" s="532">
        <f>SUM(C32*D32+E32*F32+G32*H32+I32*J32+K32*L32+M32*+N32+O32*P32)</f>
        <v/>
      </c>
    </row>
    <row r="33" ht="15" customHeight="1" s="1085">
      <c r="B33" s="523" t="inlineStr">
        <is>
          <t>45 Bend</t>
        </is>
      </c>
      <c r="C33" s="524" t="n">
        <v>33.13</v>
      </c>
      <c r="D33" s="525" t="n"/>
      <c r="E33" s="526" t="n">
        <v>36.16</v>
      </c>
      <c r="F33" s="527" t="n"/>
      <c r="G33" s="528" t="n">
        <v>37.51</v>
      </c>
      <c r="H33" s="525" t="n"/>
      <c r="I33" s="529" t="n">
        <v>41.3</v>
      </c>
      <c r="J33" s="527" t="n"/>
      <c r="K33" s="528" t="n">
        <v>50.2</v>
      </c>
      <c r="L33" s="525" t="n"/>
      <c r="M33" s="529" t="n">
        <v>71.01000000000001</v>
      </c>
      <c r="N33" s="527" t="n"/>
      <c r="O33" s="530" t="n"/>
      <c r="P33" s="535" t="n"/>
      <c r="Q33" s="531" t="n"/>
      <c r="R33" s="532">
        <f>SUM(C33*D33+E33*F33+G33*H33+I33*J33+K33*L33+M33*+N33+O33*P33)</f>
        <v/>
      </c>
    </row>
    <row r="34" ht="15" customHeight="1" s="1085">
      <c r="B34" s="523" t="inlineStr">
        <is>
          <t>Flat Shoe</t>
        </is>
      </c>
      <c r="C34" s="524" t="n">
        <v>58.09</v>
      </c>
      <c r="D34" s="525" t="n"/>
      <c r="E34" s="526" t="n">
        <v>64.98</v>
      </c>
      <c r="F34" s="527" t="n"/>
      <c r="G34" s="528" t="n">
        <v>90.01000000000001</v>
      </c>
      <c r="H34" s="525" t="n"/>
      <c r="I34" s="529" t="n">
        <v>96.26000000000001</v>
      </c>
      <c r="J34" s="527" t="n"/>
      <c r="K34" s="528" t="n">
        <v>144.76</v>
      </c>
      <c r="L34" s="525" t="n"/>
      <c r="M34" s="529" t="n">
        <v>159.58</v>
      </c>
      <c r="N34" s="527" t="n"/>
      <c r="O34" s="530" t="n"/>
      <c r="P34" s="535" t="n"/>
      <c r="Q34" s="531" t="n"/>
      <c r="R34" s="532">
        <f>SUM(C34*D34+E34*F34+G34*H34+I34*J34+K34*L34+M34*+N34+O34*P34)</f>
        <v/>
      </c>
    </row>
    <row r="35" ht="15" customHeight="1" s="1085">
      <c r="B35" s="523" t="inlineStr">
        <is>
          <t>Spigot</t>
        </is>
      </c>
      <c r="C35" s="524" t="n">
        <v>9.33</v>
      </c>
      <c r="D35" s="525" t="n"/>
      <c r="E35" s="526" t="n">
        <v>9.69</v>
      </c>
      <c r="F35" s="527" t="n"/>
      <c r="G35" s="528" t="n">
        <v>12.8</v>
      </c>
      <c r="H35" s="525" t="n"/>
      <c r="I35" s="529" t="n">
        <v>12.8</v>
      </c>
      <c r="J35" s="527" t="n"/>
      <c r="K35" s="621" t="n">
        <v>13.86</v>
      </c>
      <c r="L35" s="525" t="n"/>
      <c r="M35" s="529" t="n">
        <v>14.53</v>
      </c>
      <c r="N35" s="527" t="n"/>
      <c r="O35" s="530" t="n"/>
      <c r="P35" s="535" t="n"/>
      <c r="Q35" s="531" t="n"/>
      <c r="R35" s="532">
        <f>SUM(C35*D35+E35*F35+G35*H35+I35*J35+K35*L35+M35*+N35+O35*P35)</f>
        <v/>
      </c>
    </row>
    <row r="36" ht="15" customHeight="1" s="1085">
      <c r="B36" s="523" t="inlineStr">
        <is>
          <t>Cap End</t>
        </is>
      </c>
      <c r="C36" s="524" t="n">
        <v>17</v>
      </c>
      <c r="D36" s="525" t="n"/>
      <c r="E36" s="526" t="n">
        <v>26.24</v>
      </c>
      <c r="F36" s="527" t="n"/>
      <c r="G36" s="528" t="n">
        <v>26.88</v>
      </c>
      <c r="H36" s="525" t="n"/>
      <c r="I36" s="529" t="n">
        <v>32.94</v>
      </c>
      <c r="J36" s="527" t="n"/>
      <c r="K36" s="528" t="n">
        <v>33.73</v>
      </c>
      <c r="L36" s="525" t="n"/>
      <c r="M36" s="529" t="n">
        <v>33.73</v>
      </c>
      <c r="N36" s="527" t="n"/>
      <c r="O36" s="530" t="n"/>
      <c r="P36" s="535" t="n"/>
      <c r="Q36" s="531" t="n"/>
      <c r="R36" s="532">
        <f>SUM(C36*D36+E36*F36+G36*H36+I36*J36+K36*L36+M36*+N36+O36*P36)</f>
        <v/>
      </c>
    </row>
    <row r="37" ht="15" customHeight="1" s="1085">
      <c r="B37" s="523" t="inlineStr">
        <is>
          <t>Split Ring</t>
        </is>
      </c>
      <c r="C37" s="524" t="n">
        <v>13.94</v>
      </c>
      <c r="D37" s="525" t="n"/>
      <c r="E37" s="526" t="n">
        <v>14.66</v>
      </c>
      <c r="F37" s="527" t="n"/>
      <c r="G37" s="528" t="n">
        <v>15.01</v>
      </c>
      <c r="H37" s="525" t="n"/>
      <c r="I37" s="529" t="n">
        <v>16.07</v>
      </c>
      <c r="J37" s="527" t="n"/>
      <c r="K37" s="528" t="n">
        <v>17.51</v>
      </c>
      <c r="L37" s="525" t="n"/>
      <c r="M37" s="529" t="n">
        <v>17.84</v>
      </c>
      <c r="N37" s="527" t="n"/>
      <c r="O37" s="530" t="n"/>
      <c r="P37" s="535" t="n"/>
      <c r="Q37" s="531" t="n"/>
      <c r="R37" s="532">
        <f>SUM(C37*D37+E37*F37+G37*H37+I37*J37+K37*L37+M37*+N37+O37*P37)</f>
        <v/>
      </c>
    </row>
    <row r="38" ht="15" customHeight="1" s="1085">
      <c r="B38" s="523" t="inlineStr">
        <is>
          <t>VCD</t>
        </is>
      </c>
      <c r="C38" s="524" t="n">
        <v>49.11</v>
      </c>
      <c r="D38" s="525" t="n"/>
      <c r="E38" s="526" t="n">
        <v>51.86</v>
      </c>
      <c r="F38" s="527" t="n"/>
      <c r="G38" s="528" t="n">
        <v>66.39</v>
      </c>
      <c r="H38" s="525" t="n"/>
      <c r="I38" s="529" t="n">
        <v>70.56</v>
      </c>
      <c r="J38" s="527" t="n"/>
      <c r="K38" s="528" t="n">
        <v>96.15000000000001</v>
      </c>
      <c r="L38" s="525" t="n"/>
      <c r="M38" s="529" t="n">
        <v>96.15000000000001</v>
      </c>
      <c r="N38" s="527" t="n"/>
      <c r="O38" s="530" t="n"/>
      <c r="P38" s="535" t="n"/>
      <c r="Q38" s="531" t="n"/>
      <c r="R38" s="532">
        <f>SUM(C38*D38+E38*F38+G38*H38+I38*J38+K38*L38+M38*+N38+O38*P38)</f>
        <v/>
      </c>
    </row>
    <row r="39" ht="15" customHeight="1" s="1085">
      <c r="B39" s="523" t="inlineStr">
        <is>
          <t>Twin Bend</t>
        </is>
      </c>
      <c r="C39" s="524" t="n">
        <v>127.25</v>
      </c>
      <c r="D39" s="525" t="n"/>
      <c r="E39" s="622" t="n">
        <v>143.61</v>
      </c>
      <c r="F39" s="527" t="n"/>
      <c r="G39" s="528" t="n">
        <v>173.22</v>
      </c>
      <c r="H39" s="525" t="n"/>
      <c r="I39" s="529" t="n">
        <v>241.44</v>
      </c>
      <c r="J39" s="527" t="n"/>
      <c r="K39" s="528" t="n">
        <v>279.96</v>
      </c>
      <c r="L39" s="525" t="n"/>
      <c r="M39" s="529" t="n">
        <v>288.39</v>
      </c>
      <c r="N39" s="527" t="n"/>
      <c r="O39" s="530" t="n"/>
      <c r="P39" s="535" t="n"/>
      <c r="Q39" s="531" t="n"/>
      <c r="R39" s="532">
        <f>SUM(C39*D39+E39*F39+G39*H39+I39*J39+K39*L39+M39*+N39+O39*P39)</f>
        <v/>
      </c>
    </row>
    <row r="40" ht="15" customHeight="1" s="1085">
      <c r="B40" s="523" t="inlineStr">
        <is>
          <t>Taper</t>
        </is>
      </c>
      <c r="C40" s="524" t="n">
        <v>44.24</v>
      </c>
      <c r="D40" s="525" t="n"/>
      <c r="E40" s="526" t="n">
        <v>49.86</v>
      </c>
      <c r="F40" s="527" t="n"/>
      <c r="G40" s="528" t="n">
        <v>55.32</v>
      </c>
      <c r="H40" s="525" t="n"/>
      <c r="I40" s="529" t="n">
        <v>57.61</v>
      </c>
      <c r="J40" s="527" t="n"/>
      <c r="K40" s="528" t="n">
        <v>71.63</v>
      </c>
      <c r="L40" s="525" t="n"/>
      <c r="M40" s="529" t="n">
        <v>78.15000000000001</v>
      </c>
      <c r="N40" s="527" t="n"/>
      <c r="O40" s="530" t="n"/>
      <c r="P40" s="535" t="n"/>
      <c r="Q40" s="531" t="n"/>
      <c r="R40" s="532">
        <f>SUM(C40*D40+E40*F40+G40*H40+I40*J40+K40*L40+M40*+N40+O40*P40)</f>
        <v/>
      </c>
    </row>
    <row r="41" ht="15" customHeight="1" s="1085">
      <c r="B41" s="523" t="inlineStr">
        <is>
          <t>Pressed Saddle</t>
        </is>
      </c>
      <c r="C41" s="524" t="n">
        <v>79.01000000000001</v>
      </c>
      <c r="D41" s="525" t="n"/>
      <c r="E41" s="526" t="n">
        <v>92.19</v>
      </c>
      <c r="F41" s="527" t="n"/>
      <c r="G41" s="528" t="n">
        <v>105.34</v>
      </c>
      <c r="H41" s="525" t="n"/>
      <c r="I41" s="529" t="n">
        <v>125.1</v>
      </c>
      <c r="J41" s="527" t="n"/>
      <c r="K41" s="528" t="n">
        <v>144.86</v>
      </c>
      <c r="L41" s="525" t="n"/>
      <c r="M41" s="529" t="n">
        <v>151.44</v>
      </c>
      <c r="N41" s="527" t="n"/>
      <c r="O41" s="530" t="n"/>
      <c r="P41" s="535" t="n"/>
      <c r="Q41" s="531" t="n"/>
      <c r="R41" s="532">
        <f>SUM(C41*D41+E41*F41+G41*H41+I41*J41+K41*L41+M41*+N41+O41*P41)</f>
        <v/>
      </c>
    </row>
    <row r="42" ht="15" customHeight="1" s="1085">
      <c r="B42" s="523" t="inlineStr">
        <is>
          <t>Flex. 10M</t>
        </is>
      </c>
      <c r="C42" s="524" t="n">
        <v>136.65</v>
      </c>
      <c r="D42" s="525" t="n"/>
      <c r="E42" s="526" t="n">
        <v>158.36</v>
      </c>
      <c r="F42" s="527" t="n"/>
      <c r="G42" s="528" t="n">
        <v>180.11</v>
      </c>
      <c r="H42" s="525" t="n"/>
      <c r="I42" s="529" t="n">
        <v>224.26</v>
      </c>
      <c r="J42" s="527" t="n"/>
      <c r="K42" s="528" t="n">
        <v>0</v>
      </c>
      <c r="L42" s="525" t="n"/>
      <c r="M42" s="529" t="n">
        <v>0</v>
      </c>
      <c r="N42" s="527" t="n"/>
      <c r="O42" s="530" t="n"/>
      <c r="P42" s="535" t="n"/>
      <c r="Q42" s="531" t="n"/>
      <c r="R42" s="532">
        <f>SUM(C42*D42+E42*F42+G42*H42+I42*J42+K42*L42+M42*+N42+O42*P42)</f>
        <v/>
      </c>
    </row>
    <row r="43" ht="15" customHeight="1" s="1085">
      <c r="B43" s="523" t="inlineStr">
        <is>
          <t>Ins. Flex 10M</t>
        </is>
      </c>
      <c r="C43" s="524" t="n">
        <v>282.58</v>
      </c>
      <c r="D43" s="525" t="n"/>
      <c r="E43" s="526" t="n">
        <v>322.96</v>
      </c>
      <c r="F43" s="527" t="n"/>
      <c r="G43" s="528" t="n">
        <v>360.68</v>
      </c>
      <c r="H43" s="525" t="n"/>
      <c r="I43" s="529" t="n">
        <v>381.53</v>
      </c>
      <c r="J43" s="527" t="n"/>
      <c r="K43" s="528" t="n">
        <v>0</v>
      </c>
      <c r="L43" s="525" t="n"/>
      <c r="M43" s="529" t="n">
        <v>0</v>
      </c>
      <c r="N43" s="527" t="n"/>
      <c r="O43" s="530" t="n"/>
      <c r="P43" s="535" t="n"/>
      <c r="Q43" s="531" t="n"/>
      <c r="R43" s="532">
        <f>SUM(C43*D43+E43*F43+G43*H43+I43*J43+K43*L43+M43*+N43+O43*P43)</f>
        <v/>
      </c>
    </row>
    <row r="44" ht="15" customHeight="1" s="1085">
      <c r="B44" s="523" t="inlineStr">
        <is>
          <t>Access Door</t>
        </is>
      </c>
      <c r="C44" s="524" t="n">
        <v>14.49</v>
      </c>
      <c r="D44" s="525" t="n"/>
      <c r="E44" s="526" t="n">
        <v>14.49</v>
      </c>
      <c r="F44" s="527" t="n"/>
      <c r="G44" s="528" t="n">
        <v>14.49</v>
      </c>
      <c r="H44" s="525" t="n"/>
      <c r="I44" s="529" t="n">
        <v>27.8</v>
      </c>
      <c r="J44" s="527" t="n"/>
      <c r="K44" s="528" t="n">
        <v>27.8</v>
      </c>
      <c r="L44" s="525" t="n"/>
      <c r="M44" s="529" t="n">
        <v>27.8</v>
      </c>
      <c r="N44" s="527" t="n"/>
      <c r="O44" s="530" t="n"/>
      <c r="P44" s="535" t="n"/>
      <c r="Q44" s="531" t="n"/>
      <c r="R44" s="532">
        <f>SUM(C44*D44+E44*F44+G44*H44+I44*J44+K44*L44+M44*+N44+O44*P44)</f>
        <v/>
      </c>
    </row>
    <row r="45" ht="15" customHeight="1" s="1085">
      <c r="B45" s="523" t="n"/>
      <c r="C45" s="524" t="n"/>
      <c r="D45" s="525" t="n"/>
      <c r="E45" s="526" t="n"/>
      <c r="F45" s="527" t="n"/>
      <c r="G45" s="528" t="n"/>
      <c r="H45" s="525" t="n"/>
      <c r="I45" s="529" t="n"/>
      <c r="J45" s="527" t="n"/>
      <c r="K45" s="528" t="n"/>
      <c r="L45" s="525" t="n"/>
      <c r="M45" s="529" t="n"/>
      <c r="N45" s="527" t="n"/>
      <c r="O45" s="530" t="n"/>
      <c r="P45" s="535" t="n"/>
      <c r="Q45" s="531" t="n"/>
      <c r="R45" s="532">
        <f>SUM(C45*D45+E45*F45+G45*H45+I45*J45+K45*L45+M45*+N45+O45*P45)</f>
        <v/>
      </c>
    </row>
    <row r="46" ht="15" customHeight="1" s="1085">
      <c r="B46" s="523" t="n"/>
      <c r="C46" s="550" t="n"/>
      <c r="D46" s="535" t="n"/>
      <c r="E46" s="551" t="n"/>
      <c r="F46" s="535" t="n"/>
      <c r="G46" s="552" t="n"/>
      <c r="H46" s="535" t="n"/>
      <c r="I46" s="552" t="n"/>
      <c r="J46" s="535" t="n"/>
      <c r="K46" s="552" t="n"/>
      <c r="L46" s="535" t="n"/>
      <c r="M46" s="552" t="n"/>
      <c r="N46" s="535" t="n"/>
      <c r="O46" s="530" t="n"/>
      <c r="P46" s="535" t="n"/>
      <c r="Q46" s="625" t="inlineStr">
        <is>
          <t>S/TOTAL</t>
        </is>
      </c>
      <c r="R46" s="541">
        <f>SUM(R30:R45)</f>
        <v/>
      </c>
    </row>
    <row r="47" ht="15" customHeight="1" s="1085">
      <c r="B47" s="523" t="n"/>
      <c r="C47" s="534" t="n"/>
      <c r="D47" s="535" t="n"/>
      <c r="E47" s="535" t="n"/>
      <c r="F47" s="535" t="n"/>
      <c r="G47" s="535" t="n"/>
      <c r="H47" s="535" t="n"/>
      <c r="I47" s="535" t="n"/>
      <c r="J47" s="535" t="n"/>
      <c r="K47" s="535" t="n"/>
      <c r="L47" s="535" t="n"/>
      <c r="M47" s="535" t="n"/>
      <c r="N47" s="535" t="n"/>
      <c r="O47" s="530" t="n"/>
      <c r="P47" s="535" t="n"/>
      <c r="Q47" s="540" t="n">
        <v>0.15</v>
      </c>
      <c r="R47" s="541">
        <f>SUM(R46*0.15)</f>
        <v/>
      </c>
    </row>
    <row r="48" ht="16" customHeight="1" s="1085" thickBot="1">
      <c r="B48" s="542" t="n"/>
      <c r="C48" s="543" t="n"/>
      <c r="D48" s="544" t="n"/>
      <c r="E48" s="544" t="n"/>
      <c r="F48" s="544" t="n"/>
      <c r="G48" s="544" t="n"/>
      <c r="H48" s="544" t="n"/>
      <c r="I48" s="544" t="n"/>
      <c r="J48" s="544" t="n"/>
      <c r="K48" s="544" t="n"/>
      <c r="L48" s="544" t="n"/>
      <c r="M48" s="544" t="n"/>
      <c r="N48" s="544" t="n"/>
      <c r="O48" s="545" t="n"/>
      <c r="P48" s="544" t="n"/>
      <c r="Q48" s="546" t="inlineStr">
        <is>
          <t>TOTAL</t>
        </is>
      </c>
      <c r="R48" s="547">
        <f>SUM(R46+R47)</f>
        <v/>
      </c>
    </row>
  </sheetData>
  <mergeCells count="4">
    <mergeCell ref="H2:L2"/>
    <mergeCell ref="B3:O3"/>
    <mergeCell ref="N2:O2"/>
    <mergeCell ref="B2:E2"/>
  </mergeCells>
  <pageMargins left="0.7" right="0.7" top="0.75" bottom="0.75" header="0.3" footer="0.3"/>
  <pageSetup orientation="portrait" paperSize="9"/>
</worksheet>
</file>

<file path=xl/worksheets/sheet30.xml><?xml version="1.0" encoding="utf-8"?>
<worksheet xmlns="http://schemas.openxmlformats.org/spreadsheetml/2006/main">
  <sheetPr codeName="Sheet7">
    <tabColor theme="8" tint="0.7999816888943144"/>
    <outlinePr summaryBelow="1" summaryRight="1"/>
    <pageSetUpPr fitToPage="1"/>
  </sheetPr>
  <dimension ref="A1:AE117"/>
  <sheetViews>
    <sheetView zoomScale="80" zoomScaleNormal="80" workbookViewId="0">
      <selection activeCell="C5" sqref="C5"/>
    </sheetView>
  </sheetViews>
  <sheetFormatPr baseColWidth="10" defaultColWidth="8.83203125" defaultRowHeight="15.75" customHeight="1"/>
  <cols>
    <col width="2.5" customWidth="1" style="299" min="1" max="1"/>
    <col width="30.6640625" customWidth="1" style="1129" min="2" max="2"/>
    <col width="11.83203125" customWidth="1" style="1129" min="3" max="3"/>
    <col width="31.5" customWidth="1" style="1129" min="4" max="4"/>
    <col width="12.5" customWidth="1" style="1129" min="5" max="5"/>
    <col width="12.6640625" customWidth="1" style="1137" min="6" max="6"/>
    <col width="13" bestFit="1" customWidth="1" style="1137" min="7" max="7"/>
    <col width="12.1640625" customWidth="1" style="1138" min="8" max="8"/>
    <col hidden="1" width="14.6640625" customWidth="1" style="1137" min="9" max="9"/>
    <col width="14.6640625" customWidth="1" style="1137" min="10" max="10"/>
    <col width="12.83203125" customWidth="1" style="1137" min="11" max="11"/>
    <col hidden="1" width="13.5" customWidth="1" style="1086" min="12" max="13"/>
    <col width="13.5" customWidth="1" style="1086" min="14" max="14"/>
    <col width="13.5" bestFit="1" customWidth="1" style="1133" min="15" max="15"/>
    <col width="9.5" customWidth="1" style="1133" min="16" max="16"/>
    <col width="9.5" customWidth="1" style="1129" min="17" max="17"/>
    <col width="8.1640625" customWidth="1" style="1129" min="18" max="18"/>
    <col width="9.1640625" customWidth="1" style="1139" min="19" max="19"/>
    <col width="8.83203125" customWidth="1" style="1129" min="20" max="21"/>
    <col width="6.83203125" customWidth="1" style="1129" min="22" max="22"/>
    <col width="11.5" customWidth="1" style="1129" min="23" max="23"/>
    <col width="5.1640625" customWidth="1" style="1129" min="24" max="24"/>
    <col width="10.5" customWidth="1" style="1129" min="25" max="25"/>
    <col width="8.83203125" customWidth="1" style="1129" min="26" max="28"/>
    <col width="14.33203125" customWidth="1" style="1129" min="29" max="29"/>
    <col width="8.83203125" customWidth="1" style="1129" min="30" max="30"/>
    <col width="8.83203125" customWidth="1" style="1129" min="31" max="16384"/>
  </cols>
  <sheetData>
    <row r="1" ht="19" customHeight="1" s="1085">
      <c r="B1" s="1134" t="inlineStr">
        <is>
          <t xml:space="preserve">F24-19   SERVICE DISTRIBUTION UNIT COST </t>
        </is>
      </c>
      <c r="E1" s="160" t="n"/>
      <c r="F1" s="161" t="n"/>
      <c r="G1" s="162" t="n"/>
      <c r="H1" s="163" t="n"/>
      <c r="I1" s="161" t="n"/>
      <c r="J1" s="161" t="n"/>
      <c r="K1" s="975" t="inlineStr">
        <is>
          <t>JAN25-19</t>
        </is>
      </c>
    </row>
    <row r="2" ht="15.75" customHeight="1" s="1085">
      <c r="B2" s="167" t="n"/>
      <c r="C2" s="167" t="n"/>
      <c r="D2" s="167" t="n"/>
      <c r="E2" s="168" t="n"/>
      <c r="F2" s="169" t="n"/>
      <c r="G2" s="169" t="n"/>
      <c r="H2" s="170" t="n"/>
      <c r="Q2" s="1139" t="n"/>
      <c r="S2" s="1129" t="n"/>
    </row>
    <row r="3" ht="15.75" customHeight="1" s="1085">
      <c r="C3" s="172" t="n"/>
      <c r="D3" s="173" t="n"/>
      <c r="F3" s="174" t="n"/>
      <c r="G3" s="1138" t="n"/>
      <c r="H3" s="175" t="n"/>
      <c r="I3" s="1138" t="n"/>
      <c r="J3" s="1138" t="n"/>
      <c r="Q3" s="1139" t="n"/>
      <c r="S3" s="1129" t="n"/>
    </row>
    <row r="4" ht="15.75" customHeight="1" s="1085">
      <c r="B4" s="176" t="inlineStr">
        <is>
          <t>Job No.</t>
        </is>
      </c>
      <c r="C4" s="1130">
        <f>IF(CANOPY!C3="","",CANOPY!C3)</f>
        <v/>
      </c>
      <c r="E4" s="177" t="inlineStr">
        <is>
          <t>Project Name</t>
        </is>
      </c>
      <c r="F4" s="1142">
        <f>IF(CANOPY!G3="","",CANOPY!G3)</f>
        <v/>
      </c>
      <c r="I4" s="1138" t="n"/>
      <c r="Q4" s="1139" t="n"/>
      <c r="S4" s="1129" t="n"/>
    </row>
    <row r="5" ht="15.75" customHeight="1" s="1085">
      <c r="C5" s="51" t="n"/>
      <c r="D5" s="51" t="n"/>
      <c r="E5" s="178" t="n"/>
      <c r="F5" s="179" t="n"/>
      <c r="G5" s="359" t="n"/>
      <c r="H5" s="359" t="n"/>
      <c r="I5" s="1138" t="n"/>
      <c r="J5" s="1138" t="n"/>
      <c r="K5" s="175" t="n"/>
      <c r="Q5" s="1139" t="n"/>
      <c r="S5" s="1129" t="n"/>
    </row>
    <row r="6" ht="15.75" customHeight="1" s="1085">
      <c r="B6" s="176" t="inlineStr">
        <is>
          <t>Customer</t>
        </is>
      </c>
      <c r="C6" s="1130">
        <f>IF(CANOPY!C5="","",CANOPY!C5)</f>
        <v/>
      </c>
      <c r="E6" s="177" t="inlineStr">
        <is>
          <t>Location</t>
        </is>
      </c>
      <c r="F6" s="1142">
        <f>IF(CANOPY!G5="","",CANOPY!G5)</f>
        <v/>
      </c>
      <c r="I6" s="1138" t="n"/>
      <c r="Q6" s="1139" t="n"/>
      <c r="S6" s="1129" t="n"/>
    </row>
    <row r="7" ht="15.75" customHeight="1" s="1085">
      <c r="B7" s="176" t="n"/>
      <c r="C7" s="176" t="n"/>
      <c r="D7" s="180" t="n"/>
      <c r="E7" s="180" t="n"/>
      <c r="F7" s="179" t="n"/>
      <c r="G7" s="359" t="n"/>
      <c r="H7" s="470" t="n"/>
      <c r="I7" s="1138" t="n"/>
      <c r="J7" s="1138" t="n"/>
      <c r="K7" s="1138" t="n"/>
      <c r="L7" s="112" t="n"/>
      <c r="M7" s="112" t="n"/>
      <c r="N7" s="112" t="n"/>
      <c r="Q7" s="1139" t="n"/>
      <c r="S7" s="1129" t="n"/>
    </row>
    <row r="8" ht="15.75" customHeight="1" s="1085">
      <c r="B8" s="80" t="inlineStr">
        <is>
          <t>Sales Manager / Estimator initials</t>
        </is>
      </c>
      <c r="C8" s="1130">
        <f>IF(CANOPY!C7="","",CANOPY!C7)</f>
        <v/>
      </c>
      <c r="E8" s="181" t="inlineStr">
        <is>
          <t>Date</t>
        </is>
      </c>
      <c r="F8" s="1136">
        <f>IF(CANOPY!G7="","",CANOPY!G7)</f>
        <v/>
      </c>
      <c r="J8" s="187" t="inlineStr">
        <is>
          <t>Revision No</t>
        </is>
      </c>
      <c r="K8" s="1141">
        <f>IF(CANOPY!O7="","",CANOPY!O7)</f>
        <v/>
      </c>
      <c r="M8" s="467" t="n"/>
      <c r="N8" s="1091" t="inlineStr">
        <is>
          <t>GP SHOULD BE MINIMUM 40%</t>
        </is>
      </c>
      <c r="Q8" s="1139" t="n"/>
      <c r="S8" s="1129" t="n"/>
    </row>
    <row r="9" ht="15.75" customHeight="1" s="1085" thickBot="1">
      <c r="D9" s="182" t="n"/>
      <c r="E9" s="178" t="n"/>
      <c r="F9" s="1138" t="n"/>
      <c r="G9" s="1138" t="n"/>
      <c r="H9" s="175" t="n"/>
      <c r="I9" s="170" t="n"/>
      <c r="J9" s="170" t="n"/>
      <c r="L9" s="467" t="n"/>
      <c r="M9" s="467" t="n"/>
      <c r="N9" s="467" t="n"/>
      <c r="Q9" s="1139" t="n"/>
      <c r="S9" s="1129" t="n"/>
    </row>
    <row r="10" ht="15.75" customFormat="1" customHeight="1" s="173" thickBot="1">
      <c r="A10" s="300" t="n"/>
      <c r="B10" s="38" t="inlineStr">
        <is>
          <t>CURRENCY</t>
        </is>
      </c>
      <c r="C10" s="948" t="n"/>
      <c r="D10" s="797">
        <f>IF(C10=0,0,(SUBTOTAL(9,I13:I102)/(1-C10))-I10)</f>
        <v/>
      </c>
      <c r="E10" s="1140" t="n"/>
      <c r="F10" s="1083" t="n"/>
      <c r="G10" s="25">
        <f>SUBTOTAL(9,G14:G102)</f>
        <v/>
      </c>
      <c r="H10" s="967">
        <f>IF(K10=0,"-",K10/I10)</f>
        <v/>
      </c>
      <c r="I10" s="25">
        <f>SUBTOTAL(9,I14:I102)</f>
        <v/>
      </c>
      <c r="J10" s="464">
        <f>SUBTOTAL(9,J14:J102)</f>
        <v/>
      </c>
      <c r="K10" s="25">
        <f>SUBTOTAL(9,K14:K102)</f>
        <v/>
      </c>
      <c r="L10" s="468" t="n"/>
      <c r="M10" s="468" t="n"/>
      <c r="N10" s="468" t="n"/>
      <c r="O10" s="1133" t="n"/>
      <c r="P10" s="1133" t="n"/>
      <c r="Q10" s="1128" t="n"/>
    </row>
    <row r="11" ht="15.75" customFormat="1" customHeight="1" s="173">
      <c r="A11" s="300" t="n"/>
      <c r="B11" s="375" t="inlineStr">
        <is>
          <t>CURRENCY</t>
        </is>
      </c>
      <c r="C11" s="375" t="inlineStr">
        <is>
          <t>%</t>
        </is>
      </c>
      <c r="D11" s="375" t="inlineStr">
        <is>
          <t>COMMISSION</t>
        </is>
      </c>
      <c r="E11" s="375" t="n"/>
      <c r="F11" s="375" t="inlineStr">
        <is>
          <t>COST</t>
        </is>
      </c>
      <c r="G11" s="375" t="inlineStr">
        <is>
          <t>TOTAL COST</t>
        </is>
      </c>
      <c r="H11" s="375" t="inlineStr">
        <is>
          <t>GP</t>
        </is>
      </c>
      <c r="I11" s="375" t="inlineStr">
        <is>
          <t>SELL</t>
        </is>
      </c>
      <c r="J11" s="375" t="inlineStr">
        <is>
          <t>SELL</t>
        </is>
      </c>
      <c r="K11" s="375" t="inlineStr">
        <is>
          <t>PROFIT</t>
        </is>
      </c>
      <c r="L11" s="1086" t="n"/>
      <c r="M11" s="1086" t="n"/>
      <c r="N11" s="1086" t="n"/>
      <c r="O11" s="1133" t="n"/>
      <c r="P11" s="1133" t="n"/>
      <c r="S11" s="1128" t="n"/>
    </row>
    <row r="12" ht="15.75" customFormat="1" customHeight="1" s="173" thickBot="1">
      <c r="A12" s="300" t="n"/>
      <c r="B12" s="176" t="n"/>
      <c r="C12" s="176" t="n"/>
      <c r="D12" s="176" t="n"/>
      <c r="E12" s="176" t="n"/>
      <c r="F12" s="187" t="n"/>
      <c r="G12" s="187" t="n"/>
      <c r="H12" s="187" t="n"/>
      <c r="I12" s="187" t="n"/>
      <c r="J12" s="187" t="n"/>
      <c r="K12" s="1137" t="n"/>
      <c r="L12" s="469" t="n"/>
      <c r="M12" s="469" t="n"/>
      <c r="N12" s="469" t="n"/>
      <c r="O12" s="1133" t="n"/>
      <c r="P12" s="1133" t="n"/>
      <c r="S12" s="1128" t="n"/>
    </row>
    <row r="13" ht="15.75" customHeight="1" s="1085" thickBot="1">
      <c r="B13" s="24" t="inlineStr">
        <is>
          <t>CARCASS</t>
        </is>
      </c>
      <c r="C13" s="188" t="inlineStr">
        <is>
          <t>QTY</t>
        </is>
      </c>
      <c r="D13" s="24" t="inlineStr">
        <is>
          <t>SIZE</t>
        </is>
      </c>
      <c r="E13" s="188" t="inlineStr">
        <is>
          <t>HRS</t>
        </is>
      </c>
      <c r="F13" s="189" t="n"/>
      <c r="G13" s="61">
        <f>SUBTOTAL(9,G14:G32)</f>
        <v/>
      </c>
      <c r="H13" s="145">
        <f>IF(G13=0,"-",K13/I13)</f>
        <v/>
      </c>
      <c r="I13" s="61">
        <f>SUBTOTAL(9,I14:I32)</f>
        <v/>
      </c>
      <c r="J13" s="465">
        <f>SUBTOTAL(9,J14:J32)</f>
        <v/>
      </c>
      <c r="K13" s="61">
        <f>SUBTOTAL(9,K14:K32)</f>
        <v/>
      </c>
      <c r="L13" s="469" t="n"/>
      <c r="O13" s="828" t="inlineStr">
        <is>
          <t>MCB WAYS</t>
        </is>
      </c>
      <c r="Q13" s="1127" t="inlineStr">
        <is>
          <t>3ph</t>
        </is>
      </c>
      <c r="R13" s="1083" t="n"/>
    </row>
    <row r="14" ht="15.75" customHeight="1" s="1085">
      <c r="A14" s="299" t="n">
        <v>270</v>
      </c>
      <c r="B14" s="269" t="inlineStr">
        <is>
          <t>RISER ELECTRICAL INC MCB</t>
        </is>
      </c>
      <c r="C14" s="314" t="n"/>
      <c r="D14" s="269" t="inlineStr">
        <is>
          <t>850X300X2100</t>
        </is>
      </c>
      <c r="E14" s="315" t="n"/>
      <c r="F14" s="380">
        <f>'Base Costs'!AX6</f>
        <v/>
      </c>
      <c r="G14" s="378">
        <f>C14*F14</f>
        <v/>
      </c>
      <c r="H14" s="381" t="n">
        <v>0.4</v>
      </c>
      <c r="I14" s="311">
        <f>G14/(1-H14)*(1+$C$10)</f>
        <v/>
      </c>
      <c r="J14" s="378">
        <f>I14*VLOOKUP($B$10,'Base Costs'!$A$32:$B$37,2,FALSE)</f>
        <v/>
      </c>
      <c r="K14" s="379">
        <f>I14-G14</f>
        <v/>
      </c>
      <c r="L14" s="469" t="n"/>
      <c r="O14" s="829">
        <f>ROUNDUP(SUM(M49:M56),0.1)</f>
        <v/>
      </c>
      <c r="Q14" s="570" t="inlineStr">
        <is>
          <t>KW</t>
        </is>
      </c>
      <c r="R14" s="571" t="n">
        <v>0</v>
      </c>
    </row>
    <row r="15" ht="15.75" customHeight="1" s="1085" thickBot="1">
      <c r="A15" s="299" t="n">
        <v>270</v>
      </c>
      <c r="B15" s="269" t="inlineStr">
        <is>
          <t>RISER ELECTRICAL INC MCB</t>
        </is>
      </c>
      <c r="C15" s="314" t="n"/>
      <c r="D15" s="269" t="inlineStr">
        <is>
          <t>850X300X3000</t>
        </is>
      </c>
      <c r="E15" s="315" t="n"/>
      <c r="F15" s="380">
        <f>'Base Costs'!AX7</f>
        <v/>
      </c>
      <c r="G15" s="378">
        <f>C15*F15</f>
        <v/>
      </c>
      <c r="H15" s="381" t="n">
        <v>0.4</v>
      </c>
      <c r="I15" s="311">
        <f>G15/(1-H15)*(1+$C$10)</f>
        <v/>
      </c>
      <c r="J15" s="378">
        <f>I15*VLOOKUP($B$10,'Base Costs'!$A$32:$B$37,2,FALSE)</f>
        <v/>
      </c>
      <c r="K15" s="379">
        <f>I15-G15</f>
        <v/>
      </c>
      <c r="L15" s="469" t="n"/>
      <c r="M15" s="469" t="n"/>
      <c r="N15" s="469" t="n"/>
      <c r="O15" s="810" t="n"/>
      <c r="P15" s="811" t="n"/>
      <c r="Q15" s="572" t="inlineStr">
        <is>
          <t xml:space="preserve">V </t>
        </is>
      </c>
      <c r="R15" s="574" t="n">
        <v>400</v>
      </c>
    </row>
    <row r="16" ht="15.75" customHeight="1" s="1085" thickBot="1">
      <c r="A16" s="299" t="n">
        <v>270</v>
      </c>
      <c r="B16" s="269" t="inlineStr">
        <is>
          <t>RISER ISOLATORS ONLY</t>
        </is>
      </c>
      <c r="C16" s="314" t="n"/>
      <c r="D16" s="269" t="inlineStr">
        <is>
          <t>400X300X1200</t>
        </is>
      </c>
      <c r="E16" s="315" t="n"/>
      <c r="F16" s="380">
        <f>'Base Costs'!AX8</f>
        <v/>
      </c>
      <c r="G16" s="378">
        <f>C16*F16</f>
        <v/>
      </c>
      <c r="H16" s="381" t="n">
        <v>0.4</v>
      </c>
      <c r="I16" s="311">
        <f>G16/(1-H16)*(1+$C$10)</f>
        <v/>
      </c>
      <c r="J16" s="378">
        <f>I16*VLOOKUP($B$10,'Base Costs'!$A$32:$B$37,2,FALSE)</f>
        <v/>
      </c>
      <c r="K16" s="379">
        <f>I16-G16</f>
        <v/>
      </c>
      <c r="L16" s="469" t="n"/>
      <c r="M16" s="469" t="n"/>
      <c r="N16" s="469" t="n"/>
      <c r="O16" s="812" t="n"/>
      <c r="P16" s="813" t="n"/>
      <c r="Q16" s="573" t="inlineStr">
        <is>
          <t>Amp</t>
        </is>
      </c>
      <c r="R16" s="575">
        <f>IF((R15)="","0",((R14*1000)/(1.73205080756*R15)))</f>
        <v/>
      </c>
    </row>
    <row r="17" ht="15.75" customHeight="1" s="1085">
      <c r="A17" s="299" t="n">
        <v>270</v>
      </c>
      <c r="B17" s="269" t="inlineStr">
        <is>
          <t>RISER ISOLATORS ONLY</t>
        </is>
      </c>
      <c r="C17" s="314" t="n"/>
      <c r="D17" s="269" t="inlineStr">
        <is>
          <t>400X300X2100</t>
        </is>
      </c>
      <c r="E17" s="315" t="n"/>
      <c r="F17" s="380">
        <f>'Base Costs'!AX9</f>
        <v/>
      </c>
      <c r="G17" s="378">
        <f>C17*F17</f>
        <v/>
      </c>
      <c r="H17" s="381" t="n">
        <v>0.4</v>
      </c>
      <c r="I17" s="311">
        <f>G17/(1-H17)*(1+$C$10)</f>
        <v/>
      </c>
      <c r="J17" s="378">
        <f>I17*VLOOKUP($B$10,'Base Costs'!$A$32:$B$37,2,FALSE)</f>
        <v/>
      </c>
      <c r="K17" s="379">
        <f>I17-G17</f>
        <v/>
      </c>
      <c r="L17" s="469" t="n"/>
      <c r="M17" s="469" t="n"/>
      <c r="N17" s="469" t="n"/>
      <c r="Q17" s="1133" t="n"/>
      <c r="R17" s="1133" t="n"/>
    </row>
    <row r="18" ht="15.75" customHeight="1" s="1085">
      <c r="A18" s="299" t="n">
        <v>270</v>
      </c>
      <c r="B18" s="269" t="inlineStr">
        <is>
          <t>RISER ISOLATORS ONLY</t>
        </is>
      </c>
      <c r="C18" s="314" t="n"/>
      <c r="D18" s="269" t="inlineStr">
        <is>
          <t>400X300X3000</t>
        </is>
      </c>
      <c r="E18" s="315" t="n"/>
      <c r="F18" s="380">
        <f>'Base Costs'!AX10</f>
        <v/>
      </c>
      <c r="G18" s="378">
        <f>C18*F18</f>
        <v/>
      </c>
      <c r="H18" s="381" t="n">
        <v>0.4</v>
      </c>
      <c r="I18" s="311">
        <f>G18/(1-H18)*(1+$C$10)</f>
        <v/>
      </c>
      <c r="J18" s="378">
        <f>I18*VLOOKUP($B$10,'Base Costs'!$A$32:$B$37,2,FALSE)</f>
        <v/>
      </c>
      <c r="K18" s="379">
        <f>I18-G18</f>
        <v/>
      </c>
      <c r="L18" s="469" t="n"/>
      <c r="M18" s="469" t="n"/>
      <c r="N18" s="469" t="n"/>
      <c r="Q18" s="1133" t="n"/>
      <c r="R18" s="1133" t="n"/>
    </row>
    <row r="19" ht="15.75" customHeight="1" s="1085">
      <c r="A19" s="299" t="n">
        <v>270</v>
      </c>
      <c r="B19" s="269" t="inlineStr">
        <is>
          <t>RISER MECHANICAL</t>
        </is>
      </c>
      <c r="C19" s="314" t="n"/>
      <c r="D19" s="269" t="inlineStr">
        <is>
          <t>400X300X1200</t>
        </is>
      </c>
      <c r="E19" s="315" t="n"/>
      <c r="F19" s="380">
        <f>'Base Costs'!AX11</f>
        <v/>
      </c>
      <c r="G19" s="378">
        <f>C19*F19</f>
        <v/>
      </c>
      <c r="H19" s="381" t="n">
        <v>0.4</v>
      </c>
      <c r="I19" s="311">
        <f>G19/(1-H19)*(1+$C$10)</f>
        <v/>
      </c>
      <c r="J19" s="378">
        <f>I19*VLOOKUP($B$10,'Base Costs'!$A$32:$B$37,2,FALSE)</f>
        <v/>
      </c>
      <c r="K19" s="379">
        <f>I19-G19</f>
        <v/>
      </c>
      <c r="L19" s="469" t="n"/>
      <c r="M19" s="469" t="n"/>
      <c r="N19" s="469" t="n"/>
      <c r="Q19" s="1133" t="n"/>
      <c r="R19" s="1133" t="n"/>
    </row>
    <row r="20" ht="15.75" customHeight="1" s="1085">
      <c r="A20" s="299" t="n">
        <v>270</v>
      </c>
      <c r="B20" s="269" t="inlineStr">
        <is>
          <t>RISER MECHANICAL</t>
        </is>
      </c>
      <c r="C20" s="314" t="n"/>
      <c r="D20" s="269" t="inlineStr">
        <is>
          <t>400X300X2100</t>
        </is>
      </c>
      <c r="E20" s="315" t="n"/>
      <c r="F20" s="380">
        <f>'Base Costs'!AX12</f>
        <v/>
      </c>
      <c r="G20" s="378">
        <f>C20*F20</f>
        <v/>
      </c>
      <c r="H20" s="381" t="n">
        <v>0.4</v>
      </c>
      <c r="I20" s="311">
        <f>G20/(1-H20)*(1+$C$10)</f>
        <v/>
      </c>
      <c r="J20" s="378">
        <f>I20*VLOOKUP($B$10,'Base Costs'!$A$32:$B$37,2,FALSE)</f>
        <v/>
      </c>
      <c r="K20" s="379">
        <f>I20-G20</f>
        <v/>
      </c>
      <c r="L20" s="469" t="n"/>
      <c r="M20" s="469" t="n"/>
      <c r="N20" s="469" t="n"/>
      <c r="Q20" s="1133" t="n"/>
      <c r="R20" s="1133" t="n"/>
    </row>
    <row r="21" ht="15.75" customHeight="1" s="1085">
      <c r="A21" s="299" t="n">
        <v>270</v>
      </c>
      <c r="B21" s="269" t="inlineStr">
        <is>
          <t>RISER MECHANICAL</t>
        </is>
      </c>
      <c r="C21" s="314" t="n"/>
      <c r="D21" s="269" t="inlineStr">
        <is>
          <t>400X300X3000</t>
        </is>
      </c>
      <c r="E21" s="315" t="n"/>
      <c r="F21" s="380">
        <f>'Base Costs'!AX13</f>
        <v/>
      </c>
      <c r="G21" s="378">
        <f>C21*F21</f>
        <v/>
      </c>
      <c r="H21" s="381" t="n">
        <v>0.4</v>
      </c>
      <c r="I21" s="311">
        <f>G21/(1-H21)*(1+$C$10)</f>
        <v/>
      </c>
      <c r="J21" s="378">
        <f>I21*VLOOKUP($B$10,'Base Costs'!$A$32:$B$37,2,FALSE)</f>
        <v/>
      </c>
      <c r="K21" s="379">
        <f>I21-G21</f>
        <v/>
      </c>
      <c r="L21" s="469" t="n"/>
      <c r="M21" s="469" t="n"/>
      <c r="N21" s="469" t="n"/>
      <c r="Q21" s="1133" t="n"/>
      <c r="R21" s="1133" t="n"/>
    </row>
    <row r="22" ht="15.75" customHeight="1" s="1085">
      <c r="A22" s="299" t="n">
        <v>270</v>
      </c>
      <c r="B22" s="269" t="inlineStr">
        <is>
          <t>RISER COMBINED M&amp;E</t>
        </is>
      </c>
      <c r="C22" s="314" t="n"/>
      <c r="D22" s="269" t="inlineStr">
        <is>
          <t>1200X300X1200</t>
        </is>
      </c>
      <c r="E22" s="315" t="n"/>
      <c r="F22" s="380">
        <f>'Base Costs'!AX14</f>
        <v/>
      </c>
      <c r="G22" s="378">
        <f>C22*F22</f>
        <v/>
      </c>
      <c r="H22" s="381" t="n">
        <v>0.4</v>
      </c>
      <c r="I22" s="311">
        <f>G22/(1-H22)*(1+$C$10)</f>
        <v/>
      </c>
      <c r="J22" s="378">
        <f>I22*VLOOKUP($B$10,'Base Costs'!$A$32:$B$37,2,FALSE)</f>
        <v/>
      </c>
      <c r="K22" s="379">
        <f>I22-G22</f>
        <v/>
      </c>
      <c r="L22" s="469" t="n"/>
      <c r="M22" s="469" t="n"/>
      <c r="N22" s="469" t="n"/>
      <c r="Q22" s="1133" t="n"/>
      <c r="R22" s="1133" t="n"/>
    </row>
    <row r="23" ht="15.75" customHeight="1" s="1085">
      <c r="A23" s="299" t="n">
        <v>270</v>
      </c>
      <c r="B23" s="269" t="inlineStr">
        <is>
          <t>RISER COMBINED M&amp;E</t>
        </is>
      </c>
      <c r="C23" s="314" t="n"/>
      <c r="D23" s="269" t="inlineStr">
        <is>
          <t>1200X300X2100</t>
        </is>
      </c>
      <c r="E23" s="315" t="n"/>
      <c r="F23" s="380">
        <f>'Base Costs'!AX15</f>
        <v/>
      </c>
      <c r="G23" s="378">
        <f>C23*F23</f>
        <v/>
      </c>
      <c r="H23" s="381" t="n">
        <v>0.4</v>
      </c>
      <c r="I23" s="311">
        <f>G23/(1-H23)*(1+$C$10)</f>
        <v/>
      </c>
      <c r="J23" s="378">
        <f>I23*VLOOKUP($B$10,'Base Costs'!$A$32:$B$37,2,FALSE)</f>
        <v/>
      </c>
      <c r="K23" s="379">
        <f>I23-G23</f>
        <v/>
      </c>
      <c r="L23" s="469" t="n"/>
      <c r="M23" s="469" t="n"/>
      <c r="N23" s="469" t="n"/>
      <c r="Q23" s="1133" t="n"/>
      <c r="R23" s="1133" t="n"/>
    </row>
    <row r="24" ht="15.75" customHeight="1" s="1085">
      <c r="A24" s="299" t="n">
        <v>270</v>
      </c>
      <c r="B24" s="269" t="inlineStr">
        <is>
          <t>RISER COMBINED M&amp;E</t>
        </is>
      </c>
      <c r="C24" s="314" t="n"/>
      <c r="D24" s="269" t="inlineStr">
        <is>
          <t>1200X300X3000</t>
        </is>
      </c>
      <c r="E24" s="315" t="n"/>
      <c r="F24" s="380">
        <f>'Base Costs'!AX16</f>
        <v/>
      </c>
      <c r="G24" s="378">
        <f>C24*F24</f>
        <v/>
      </c>
      <c r="H24" s="381" t="n">
        <v>0.4</v>
      </c>
      <c r="I24" s="311">
        <f>G24/(1-H24)*(1+$C$10)</f>
        <v/>
      </c>
      <c r="J24" s="378">
        <f>I24*VLOOKUP($B$10,'Base Costs'!$A$32:$B$37,2,FALSE)</f>
        <v/>
      </c>
      <c r="K24" s="379">
        <f>I24-G24</f>
        <v/>
      </c>
      <c r="L24" s="469" t="n"/>
      <c r="M24" s="469" t="n"/>
      <c r="N24" s="469" t="n"/>
      <c r="Q24" s="1133" t="n"/>
      <c r="R24" s="1133" t="n"/>
    </row>
    <row r="25" ht="15.75" customHeight="1" s="1085">
      <c r="B25" s="978" t="inlineStr">
        <is>
          <t>BIM/REVIT</t>
        </is>
      </c>
      <c r="C25" s="993" t="n">
        <v>1</v>
      </c>
      <c r="D25" s="978" t="inlineStr">
        <is>
          <t>DESIGN</t>
        </is>
      </c>
      <c r="E25" s="994" t="n"/>
      <c r="F25" s="995" t="n">
        <v>50</v>
      </c>
      <c r="G25" s="996">
        <f>C25*F25</f>
        <v/>
      </c>
      <c r="H25" s="997" t="n">
        <v>0.44</v>
      </c>
      <c r="I25" s="998">
        <f>G25/(1-H25)*(1+$C$10)</f>
        <v/>
      </c>
      <c r="J25" s="996">
        <f>I25*VLOOKUP($B$10,'Base Costs'!$A$32:$B$37,2,FALSE)</f>
        <v/>
      </c>
      <c r="K25" s="999">
        <f>I25-G25</f>
        <v/>
      </c>
      <c r="L25" s="1000" t="n"/>
      <c r="M25" s="1000" t="n"/>
      <c r="N25" s="1001" t="inlineStr">
        <is>
          <t>ALWAYS INCLUDE</t>
        </is>
      </c>
      <c r="Q25" s="1133" t="n"/>
      <c r="R25" s="1133" t="n"/>
    </row>
    <row r="26" ht="15.75" customHeight="1" s="1085">
      <c r="A26" s="299" t="n">
        <v>268</v>
      </c>
      <c r="B26" s="269" t="inlineStr">
        <is>
          <t>RACEWAY</t>
        </is>
      </c>
      <c r="C26" s="314" t="n"/>
      <c r="D26" s="269" t="inlineStr">
        <is>
          <t>0-1100MM</t>
        </is>
      </c>
      <c r="E26" s="315" t="n"/>
      <c r="F26" s="380">
        <f>'Base Costs'!AX18</f>
        <v/>
      </c>
      <c r="G26" s="378">
        <f>C26*F26</f>
        <v/>
      </c>
      <c r="H26" s="381" t="n">
        <v>0.4</v>
      </c>
      <c r="I26" s="311">
        <f>G26/(1-H26)*(1+$C$10)</f>
        <v/>
      </c>
      <c r="J26" s="378">
        <f>I26*VLOOKUP($B$10,'Base Costs'!$A$32:$B$37,2,FALSE)</f>
        <v/>
      </c>
      <c r="K26" s="379">
        <f>I26-G26</f>
        <v/>
      </c>
      <c r="L26" s="469" t="n"/>
      <c r="M26" s="469" t="n"/>
      <c r="N26" s="469" t="n"/>
      <c r="Q26" s="1133" t="n"/>
      <c r="R26" s="1133" t="n"/>
    </row>
    <row r="27" ht="15.75" customHeight="1" s="1085">
      <c r="A27" s="299" t="n">
        <v>268</v>
      </c>
      <c r="B27" s="269" t="inlineStr">
        <is>
          <t>RACEWAY</t>
        </is>
      </c>
      <c r="C27" s="314" t="n"/>
      <c r="D27" s="269" t="inlineStr">
        <is>
          <t>1101MM-2300MM</t>
        </is>
      </c>
      <c r="E27" s="315" t="n"/>
      <c r="F27" s="380">
        <f>'Base Costs'!AX19</f>
        <v/>
      </c>
      <c r="G27" s="378">
        <f>C27*F27</f>
        <v/>
      </c>
      <c r="H27" s="381" t="n">
        <v>0.4</v>
      </c>
      <c r="I27" s="311">
        <f>G27/(1-H27)*(1+$C$10)</f>
        <v/>
      </c>
      <c r="J27" s="378">
        <f>I27*VLOOKUP($B$10,'Base Costs'!$A$32:$B$37,2,FALSE)</f>
        <v/>
      </c>
      <c r="K27" s="379">
        <f>I27-G27</f>
        <v/>
      </c>
      <c r="L27" s="469" t="n"/>
      <c r="M27" s="469" t="n"/>
      <c r="N27" s="469" t="n"/>
      <c r="Q27" s="1133" t="n"/>
      <c r="R27" s="1133" t="n"/>
    </row>
    <row r="28" ht="15.75" customHeight="1" s="1085">
      <c r="A28" s="299" t="n">
        <v>268</v>
      </c>
      <c r="B28" s="269" t="inlineStr">
        <is>
          <t>RACEWAY</t>
        </is>
      </c>
      <c r="C28" s="314" t="n"/>
      <c r="D28" s="269" t="inlineStr">
        <is>
          <t>2301MM-3000MM</t>
        </is>
      </c>
      <c r="E28" s="315" t="n"/>
      <c r="F28" s="380">
        <f>'Base Costs'!AX20</f>
        <v/>
      </c>
      <c r="G28" s="378">
        <f>C28*F28</f>
        <v/>
      </c>
      <c r="H28" s="381" t="n">
        <v>0.4</v>
      </c>
      <c r="I28" s="311">
        <f>G28/(1-H28)*(1+$C$10)</f>
        <v/>
      </c>
      <c r="J28" s="378">
        <f>I28*VLOOKUP($B$10,'Base Costs'!$A$32:$B$37,2,FALSE)</f>
        <v/>
      </c>
      <c r="K28" s="379">
        <f>I28-G28</f>
        <v/>
      </c>
      <c r="L28" s="469" t="n"/>
      <c r="M28" s="469" t="n"/>
      <c r="N28" s="469" t="n"/>
      <c r="Q28" s="1133" t="n"/>
      <c r="R28" s="1133" t="n"/>
    </row>
    <row r="29" ht="15.75" customHeight="1" s="1085">
      <c r="A29" s="299" t="n">
        <v>268</v>
      </c>
      <c r="B29" s="269" t="inlineStr">
        <is>
          <t>PEDESTAL LEG</t>
        </is>
      </c>
      <c r="C29" s="314" t="n"/>
      <c r="D29" s="269" t="n"/>
      <c r="E29" s="315" t="n"/>
      <c r="F29" s="380">
        <f>'Base Costs'!AX21</f>
        <v/>
      </c>
      <c r="G29" s="378">
        <f>C29*F29</f>
        <v/>
      </c>
      <c r="H29" s="381" t="n">
        <v>0.4</v>
      </c>
      <c r="I29" s="311">
        <f>G29/(1-H29)*(1+$C$10)</f>
        <v/>
      </c>
      <c r="J29" s="378">
        <f>I29*VLOOKUP($B$10,'Base Costs'!$A$32:$B$37,2,FALSE)</f>
        <v/>
      </c>
      <c r="K29" s="379">
        <f>I29-G29</f>
        <v/>
      </c>
      <c r="L29" s="469" t="n"/>
      <c r="M29" s="469" t="n"/>
      <c r="N29" s="469" t="n"/>
      <c r="Q29" s="1133" t="n"/>
      <c r="R29" s="1133" t="n"/>
    </row>
    <row r="30" ht="15.75" customHeight="1" s="1085">
      <c r="A30" s="299" t="n">
        <v>268</v>
      </c>
      <c r="B30" s="269" t="inlineStr">
        <is>
          <t>POT RACK (TUBULAR)</t>
        </is>
      </c>
      <c r="C30" s="314" t="n"/>
      <c r="D30" s="269" t="inlineStr">
        <is>
          <t>SINGLE SIDED UP TO 1200MM</t>
        </is>
      </c>
      <c r="E30" s="315" t="n"/>
      <c r="F30" s="380">
        <f>'Base Costs'!AX22</f>
        <v/>
      </c>
      <c r="G30" s="378">
        <f>C30*F30</f>
        <v/>
      </c>
      <c r="H30" s="381" t="n">
        <v>0.4</v>
      </c>
      <c r="I30" s="311">
        <f>G30/(1-H30)*(1+$C$10)</f>
        <v/>
      </c>
      <c r="J30" s="378">
        <f>I30*VLOOKUP($B$10,'Base Costs'!$A$32:$B$37,2,FALSE)</f>
        <v/>
      </c>
      <c r="K30" s="379">
        <f>I30-G30</f>
        <v/>
      </c>
      <c r="L30" s="469" t="n"/>
      <c r="M30" s="469" t="n"/>
      <c r="N30" s="469" t="n"/>
      <c r="Q30" s="1133" t="n"/>
      <c r="R30" s="1133" t="n"/>
    </row>
    <row r="31" ht="15.75" customHeight="1" s="1085">
      <c r="A31" s="299" t="n">
        <v>268</v>
      </c>
      <c r="B31" s="269" t="inlineStr">
        <is>
          <t>POT RACK (SOLID)</t>
        </is>
      </c>
      <c r="C31" s="314" t="n"/>
      <c r="D31" s="269" t="inlineStr">
        <is>
          <t>SINGLE SIDED UP TO 1200MM</t>
        </is>
      </c>
      <c r="E31" s="315" t="n"/>
      <c r="F31" s="380">
        <f>'Base Costs'!AX23</f>
        <v/>
      </c>
      <c r="G31" s="378">
        <f>C31*F31</f>
        <v/>
      </c>
      <c r="H31" s="381" t="n">
        <v>0.4</v>
      </c>
      <c r="I31" s="311">
        <f>G31/(1-H31)*(1+$C$10)</f>
        <v/>
      </c>
      <c r="J31" s="378">
        <f>I31*VLOOKUP($B$10,'Base Costs'!$A$32:$B$37,2,FALSE)</f>
        <v/>
      </c>
      <c r="K31" s="379">
        <f>I31-G31</f>
        <v/>
      </c>
      <c r="L31" s="469" t="n"/>
      <c r="M31" s="469" t="n"/>
      <c r="N31" s="469" t="n"/>
      <c r="Q31" s="1133" t="n"/>
      <c r="R31" s="1133" t="n"/>
    </row>
    <row r="32" ht="15.75" customHeight="1" s="1085">
      <c r="A32" s="299" t="n">
        <v>268</v>
      </c>
      <c r="B32" s="269" t="inlineStr">
        <is>
          <t>SALAMANDER SUPPORT</t>
        </is>
      </c>
      <c r="C32" s="314" t="n"/>
      <c r="D32" s="269" t="n"/>
      <c r="E32" s="315" t="n"/>
      <c r="F32" s="380">
        <f>'Base Costs'!AX24</f>
        <v/>
      </c>
      <c r="G32" s="378">
        <f>C32*F32</f>
        <v/>
      </c>
      <c r="H32" s="381" t="n">
        <v>0.4</v>
      </c>
      <c r="I32" s="311">
        <f>G32/(1-H32)*(1+$C$10)</f>
        <v/>
      </c>
      <c r="J32" s="378">
        <f>I32*VLOOKUP($B$10,'Base Costs'!$A$32:$B$37,2,FALSE)</f>
        <v/>
      </c>
      <c r="K32" s="379">
        <f>I32-G32</f>
        <v/>
      </c>
      <c r="L32" s="469" t="n"/>
      <c r="M32" s="469" t="n"/>
      <c r="N32" s="469" t="n"/>
      <c r="Q32" s="1133" t="n"/>
      <c r="R32" s="1133" t="n"/>
    </row>
    <row r="33" ht="15.75" customHeight="1" s="1085">
      <c r="B33" s="190" t="n"/>
      <c r="C33" s="186" t="n"/>
      <c r="D33" s="190" t="n"/>
      <c r="E33" s="190" t="n"/>
      <c r="F33" s="296" t="n"/>
      <c r="G33" s="296" t="n"/>
      <c r="H33" s="297" t="n"/>
      <c r="I33" s="296" t="n"/>
      <c r="J33" s="296" t="n"/>
      <c r="K33" s="183" t="n"/>
      <c r="L33" s="469" t="n"/>
      <c r="M33" s="469" t="n"/>
      <c r="N33" s="469" t="n"/>
      <c r="Q33" s="1133" t="n"/>
      <c r="R33" s="1133" t="n"/>
    </row>
    <row r="34" ht="15.75" customHeight="1" s="1085">
      <c r="B34" s="24" t="inlineStr">
        <is>
          <t>ELECTRICAL</t>
        </is>
      </c>
      <c r="C34" s="192" t="n"/>
      <c r="D34" s="193" t="n"/>
      <c r="E34" s="193" t="n"/>
      <c r="F34" s="298" t="n"/>
      <c r="G34" s="61">
        <f>SUBTOTAL(9,G35:G68)</f>
        <v/>
      </c>
      <c r="H34" s="39">
        <f>IF(G34=0,"-",K34/I34)</f>
        <v/>
      </c>
      <c r="I34" s="61">
        <f>SUBTOTAL(9,I35:I68)</f>
        <v/>
      </c>
      <c r="J34" s="465">
        <f>SUBTOTAL(9,J35:J68)</f>
        <v/>
      </c>
      <c r="K34" s="61">
        <f>SUBTOTAL(9,K35:K68)</f>
        <v/>
      </c>
      <c r="L34" s="815" t="inlineStr">
        <is>
          <t>Size factor</t>
        </is>
      </c>
      <c r="M34" s="815" t="inlineStr">
        <is>
          <t>TOTAL</t>
        </is>
      </c>
      <c r="O34" s="1133" t="n"/>
      <c r="Q34" s="1133" t="n"/>
      <c r="R34" s="1133" t="n"/>
      <c r="S34" s="1139" t="n"/>
      <c r="Y34" s="1129" t="n"/>
    </row>
    <row r="35" ht="15.75" customHeight="1" s="1085">
      <c r="A35" s="299" t="n">
        <v>266</v>
      </c>
      <c r="B35" s="269" t="inlineStr">
        <is>
          <t>MCB</t>
        </is>
      </c>
      <c r="C35" s="314" t="n"/>
      <c r="D35" s="814" t="n"/>
      <c r="E35" s="269" t="n"/>
      <c r="F35" s="380">
        <f>IFERROR((VLOOKUP(D35,'Base Costs'!AU27:AX48,4,FALSE)),0)</f>
        <v/>
      </c>
      <c r="G35" s="378">
        <f>C35*F35</f>
        <v/>
      </c>
      <c r="H35" s="381" t="n">
        <v>0.37</v>
      </c>
      <c r="I35" s="378">
        <f>G35/(1-H35)*(1+$C$10)</f>
        <v/>
      </c>
      <c r="J35" s="378">
        <f>I35*VLOOKUP($B$10,'Base Costs'!$A$32:$B$37,2,FALSE)</f>
        <v/>
      </c>
      <c r="K35" s="379">
        <f>I35-G35</f>
        <v/>
      </c>
      <c r="L35" s="815" t="n"/>
      <c r="M35" s="815" t="n"/>
      <c r="O35" s="1132" t="n"/>
      <c r="Q35" s="1133" t="n"/>
      <c r="R35" s="1133" t="n"/>
      <c r="S35" s="1128" t="n"/>
      <c r="W35" s="819" t="n"/>
      <c r="Y35" s="1128" t="n"/>
      <c r="AC35" s="819" t="n"/>
      <c r="AE35" s="1139" t="n"/>
    </row>
    <row r="36" ht="15.75" customHeight="1" s="1085">
      <c r="A36" s="299" t="n">
        <v>266</v>
      </c>
      <c r="B36" s="269" t="inlineStr">
        <is>
          <t>REMOTE RCO &amp; HOUSING</t>
        </is>
      </c>
      <c r="C36" s="314" t="n"/>
      <c r="D36" s="814" t="n"/>
      <c r="E36" s="269" t="n"/>
      <c r="F36" s="380">
        <f>'Base Costs'!AX50</f>
        <v/>
      </c>
      <c r="G36" s="378">
        <f>C36*F36</f>
        <v/>
      </c>
      <c r="H36" s="381" t="n">
        <v>0.37</v>
      </c>
      <c r="I36" s="378">
        <f>G36/(1-H36)*(1+$C$10)</f>
        <v/>
      </c>
      <c r="J36" s="378">
        <f>I36*VLOOKUP($B$10,'Base Costs'!$A$32:$B$37,2,FALSE)</f>
        <v/>
      </c>
      <c r="K36" s="379">
        <f>I36-G36</f>
        <v/>
      </c>
      <c r="L36" s="815" t="n"/>
      <c r="M36" s="815" t="n"/>
      <c r="O36" s="1132" t="n"/>
      <c r="Q36" s="1133" t="n"/>
      <c r="R36" s="1133" t="n"/>
      <c r="S36" s="1128" t="n"/>
      <c r="W36" s="819" t="n"/>
      <c r="Y36" s="1128" t="n"/>
      <c r="AC36" s="819" t="n"/>
      <c r="AE36" s="1139" t="n"/>
    </row>
    <row r="37" ht="15.75" customHeight="1" s="1085">
      <c r="A37" s="299" t="n">
        <v>266</v>
      </c>
      <c r="B37" s="269" t="n"/>
      <c r="C37" s="314" t="n"/>
      <c r="D37" s="814" t="n"/>
      <c r="E37" s="269" t="n"/>
      <c r="F37" s="380">
        <f>'Base Costs'!AX51</f>
        <v/>
      </c>
      <c r="G37" s="378">
        <f>C37*F37</f>
        <v/>
      </c>
      <c r="H37" s="381" t="n">
        <v>0.37</v>
      </c>
      <c r="I37" s="378">
        <f>G37/(1-H37)*(1+$C$10)</f>
        <v/>
      </c>
      <c r="J37" s="378">
        <f>I37*VLOOKUP($B$10,'Base Costs'!$A$32:$B$37,2,FALSE)</f>
        <v/>
      </c>
      <c r="K37" s="379">
        <f>I37-G37</f>
        <v/>
      </c>
      <c r="L37" s="815" t="n"/>
      <c r="M37" s="815" t="n"/>
      <c r="O37" s="1132" t="n"/>
      <c r="Q37" s="1133" t="n"/>
      <c r="R37" s="1133" t="n"/>
      <c r="S37" s="1128" t="n"/>
      <c r="W37" s="819" t="n"/>
      <c r="Y37" s="1128" t="n"/>
      <c r="AC37" s="819" t="n"/>
      <c r="AE37" s="1139" t="n"/>
    </row>
    <row r="38" ht="15.75" customHeight="1" s="1085">
      <c r="A38" s="299" t="n">
        <v>266</v>
      </c>
      <c r="B38" s="269" t="inlineStr">
        <is>
          <t>SHUNT TRIP + KO</t>
        </is>
      </c>
      <c r="C38" s="314" t="n"/>
      <c r="D38" s="1063" t="n"/>
      <c r="E38" s="269" t="n"/>
      <c r="F38" s="380">
        <f>'Base Costs'!AX52</f>
        <v/>
      </c>
      <c r="G38" s="378">
        <f>C38*F38</f>
        <v/>
      </c>
      <c r="H38" s="381" t="n">
        <v>0.37</v>
      </c>
      <c r="I38" s="378">
        <f>G38/(1-H38)*(1+$C$10)</f>
        <v/>
      </c>
      <c r="J38" s="827">
        <f>I38*VLOOKUP($B$10,'Base Costs'!$A$32:$B$37,2,FALSE)</f>
        <v/>
      </c>
      <c r="K38" s="379">
        <f>I38-G38</f>
        <v/>
      </c>
      <c r="L38" s="815" t="n"/>
      <c r="M38" s="815" t="n"/>
      <c r="N38" s="1086" t="inlineStr">
        <is>
          <t>On Request for Schneider ONLY - Shunt is included in the ABB costs that we curerently use as advised by S.Steers</t>
        </is>
      </c>
      <c r="O38" s="823" t="n"/>
      <c r="P38" s="823" t="n"/>
      <c r="Q38" s="1133" t="n"/>
      <c r="R38" s="1133" t="n"/>
      <c r="S38" s="1128" t="n"/>
      <c r="T38" s="1128" t="n"/>
      <c r="U38" s="1128" t="n"/>
      <c r="V38" s="1128" t="n"/>
      <c r="W38" s="819" t="n"/>
      <c r="Y38" s="1128" t="n"/>
      <c r="Z38" s="1128" t="n"/>
      <c r="AA38" s="1128" t="n"/>
      <c r="AB38" s="1128" t="n"/>
      <c r="AC38" s="819" t="n"/>
      <c r="AE38" s="1139" t="n"/>
    </row>
    <row r="39" ht="15.75" customHeight="1" s="1085">
      <c r="A39" s="299" t="n">
        <v>266</v>
      </c>
      <c r="B39" s="269" t="inlineStr">
        <is>
          <t>ADDITIONAL KO</t>
        </is>
      </c>
      <c r="C39" s="314" t="n"/>
      <c r="D39" s="814" t="n"/>
      <c r="E39" s="269" t="n"/>
      <c r="F39" s="380">
        <f>'Base Costs'!AX53</f>
        <v/>
      </c>
      <c r="G39" s="378">
        <f>C39*F39</f>
        <v/>
      </c>
      <c r="H39" s="381" t="n">
        <v>0.37</v>
      </c>
      <c r="I39" s="378">
        <f>G39/(1-H39)*(1+$C$10)</f>
        <v/>
      </c>
      <c r="J39" s="378">
        <f>I39*VLOOKUP($B$10,'Base Costs'!$A$32:$B$37,2,FALSE)</f>
        <v/>
      </c>
      <c r="K39" s="379">
        <f>I39-G39</f>
        <v/>
      </c>
      <c r="L39" s="815" t="n"/>
      <c r="M39" s="815" t="n"/>
      <c r="O39" s="1132" t="n"/>
      <c r="Q39" s="1133" t="n"/>
      <c r="R39" s="1133" t="n"/>
      <c r="S39" s="1128" t="n"/>
      <c r="W39" s="819" t="n"/>
      <c r="Y39" s="1128" t="n"/>
      <c r="AC39" s="819" t="n"/>
      <c r="AE39" s="1139" t="n"/>
    </row>
    <row r="40" ht="15.75" customHeight="1" s="1085">
      <c r="A40" s="299" t="n">
        <v>266</v>
      </c>
      <c r="B40" s="269" t="inlineStr">
        <is>
          <t>ISO/OUTLET (NO MCB) 01</t>
        </is>
      </c>
      <c r="C40" s="314" t="n"/>
      <c r="D40" s="269" t="n"/>
      <c r="E40" s="269" t="n"/>
      <c r="F40" s="380">
        <f>IFERROR((VLOOKUP(D40,'Base Costs'!$AU$56:$AX$61,4,FALSE)),0)</f>
        <v/>
      </c>
      <c r="G40" s="378">
        <f>C40*F40</f>
        <v/>
      </c>
      <c r="H40" s="381" t="n">
        <v>0.37</v>
      </c>
      <c r="I40" s="378">
        <f>G40/(1-H40)*(1+$C$10)</f>
        <v/>
      </c>
      <c r="J40" s="378">
        <f>IFERROR((I40*VLOOKUP($B$10,'Base Costs'!$A$32:$B$37,2,FALSE)),0)</f>
        <v/>
      </c>
      <c r="K40" s="379">
        <f>I40-G40</f>
        <v/>
      </c>
      <c r="L40" s="815" t="n"/>
      <c r="M40" s="815" t="n"/>
      <c r="O40" s="1132" t="n"/>
      <c r="Q40" s="1133" t="n"/>
      <c r="R40" s="1133" t="n"/>
      <c r="S40" s="1128" t="n"/>
      <c r="W40" s="819" t="n"/>
      <c r="Y40" s="1128" t="n"/>
      <c r="AC40" s="819" t="n"/>
      <c r="AE40" s="1139" t="n"/>
    </row>
    <row r="41" ht="15.75" customHeight="1" s="1085">
      <c r="A41" s="299" t="n">
        <v>266</v>
      </c>
      <c r="B41" s="269" t="inlineStr">
        <is>
          <t>ISO/OUTLET (NO MCB) 02</t>
        </is>
      </c>
      <c r="C41" s="314" t="n"/>
      <c r="D41" s="269" t="n"/>
      <c r="E41" s="269" t="n"/>
      <c r="F41" s="380">
        <f>IFERROR((VLOOKUP(D41,'Base Costs'!$AU$56:$AX$61,4,FALSE)),0)</f>
        <v/>
      </c>
      <c r="G41" s="378">
        <f>C41*F41</f>
        <v/>
      </c>
      <c r="H41" s="381" t="n">
        <v>0.37</v>
      </c>
      <c r="I41" s="378">
        <f>G41/(1-H41)*(1+$C$10)</f>
        <v/>
      </c>
      <c r="J41" s="378">
        <f>IFERROR((I41*VLOOKUP($B$10,'Base Costs'!$A$32:$B$37,2,FALSE)),0)</f>
        <v/>
      </c>
      <c r="K41" s="379">
        <f>I41-G41</f>
        <v/>
      </c>
      <c r="L41" s="1129" t="n"/>
      <c r="M41" s="1129" t="n"/>
      <c r="O41" s="1132" t="n"/>
      <c r="Q41" s="1133" t="n"/>
      <c r="R41" s="1133" t="n"/>
      <c r="Y41" s="1131" t="n"/>
      <c r="AC41" s="821" t="n"/>
      <c r="AE41" s="1139" t="n"/>
    </row>
    <row r="42" ht="15.75" customHeight="1" s="1085">
      <c r="B42" s="269" t="inlineStr">
        <is>
          <t>ISO/OUTLET (NO MCB) 03</t>
        </is>
      </c>
      <c r="C42" s="314" t="n"/>
      <c r="D42" s="269" t="n"/>
      <c r="E42" s="269" t="n"/>
      <c r="F42" s="380">
        <f>IFERROR((VLOOKUP(D42,'Base Costs'!$AU$56:$AX$61,4,FALSE)),0)</f>
        <v/>
      </c>
      <c r="G42" s="378">
        <f>C42*F42</f>
        <v/>
      </c>
      <c r="H42" s="381" t="n">
        <v>0.37</v>
      </c>
      <c r="I42" s="378">
        <f>G42/(1-H42)*(1+$C$10)</f>
        <v/>
      </c>
      <c r="J42" s="378">
        <f>IFERROR((I42*VLOOKUP($B$10,'Base Costs'!$A$32:$B$37,2,FALSE)),0)</f>
        <v/>
      </c>
      <c r="K42" s="379">
        <f>I42-G42</f>
        <v/>
      </c>
      <c r="L42" s="816" t="n"/>
      <c r="M42" s="817" t="n"/>
      <c r="O42" s="1132" t="n"/>
      <c r="P42" s="1132" t="n"/>
      <c r="Q42" s="1133" t="n"/>
      <c r="R42" s="1133" t="n"/>
      <c r="Y42" s="1131" t="n"/>
      <c r="Z42" s="1131" t="n"/>
      <c r="AA42" s="1131" t="n"/>
      <c r="AB42" s="1131" t="n"/>
      <c r="AC42" s="821" t="n"/>
      <c r="AE42" s="1139" t="n"/>
    </row>
    <row r="43" ht="15.75" customHeight="1" s="1085">
      <c r="B43" s="269" t="inlineStr">
        <is>
          <t>ISO/OUTLET (NO MCB) 04</t>
        </is>
      </c>
      <c r="C43" s="314" t="n"/>
      <c r="D43" s="269" t="n"/>
      <c r="E43" s="269" t="n"/>
      <c r="F43" s="380">
        <f>IFERROR((VLOOKUP(D43,'Base Costs'!$AU$56:$AX$61,4,FALSE)),0)</f>
        <v/>
      </c>
      <c r="G43" s="378">
        <f>C43*F43</f>
        <v/>
      </c>
      <c r="H43" s="381" t="n">
        <v>0.37</v>
      </c>
      <c r="I43" s="378">
        <f>G43/(1-H43)*(1+$C$10)</f>
        <v/>
      </c>
      <c r="J43" s="378">
        <f>IFERROR((I43*VLOOKUP($B$10,'Base Costs'!$A$32:$B$37,2,FALSE)),0)</f>
        <v/>
      </c>
      <c r="K43" s="379">
        <f>I43-G43</f>
        <v/>
      </c>
      <c r="L43" s="816" t="n"/>
      <c r="M43" s="817" t="n"/>
      <c r="O43" s="1132" t="n"/>
      <c r="P43" s="1132" t="n"/>
      <c r="Q43" s="1133" t="n"/>
      <c r="R43" s="1133" t="n"/>
      <c r="Y43" s="1131" t="n"/>
      <c r="Z43" s="1131" t="n"/>
      <c r="AA43" s="1131" t="n"/>
      <c r="AB43" s="1131" t="n"/>
      <c r="AC43" s="821" t="n"/>
      <c r="AE43" s="1139" t="n"/>
    </row>
    <row r="44" ht="15.75" customHeight="1" s="1085">
      <c r="B44" s="269" t="inlineStr">
        <is>
          <t>ISO/OUTLET (NO MCB) 05</t>
        </is>
      </c>
      <c r="C44" s="314" t="n"/>
      <c r="D44" s="269" t="n"/>
      <c r="E44" s="269" t="n"/>
      <c r="F44" s="380">
        <f>IFERROR((VLOOKUP(D44,'Base Costs'!$AU$56:$AX$61,4,FALSE)),0)</f>
        <v/>
      </c>
      <c r="G44" s="378">
        <f>C44*F44</f>
        <v/>
      </c>
      <c r="H44" s="381" t="n">
        <v>0.37</v>
      </c>
      <c r="I44" s="378">
        <f>G44/(1-H44)*(1+$C$10)</f>
        <v/>
      </c>
      <c r="J44" s="378">
        <f>IFERROR((I44*VLOOKUP($B$10,'Base Costs'!$A$32:$B$37,2,FALSE)),0)</f>
        <v/>
      </c>
      <c r="K44" s="379">
        <f>I44-G44</f>
        <v/>
      </c>
      <c r="L44" s="816" t="n"/>
      <c r="M44" s="817" t="n"/>
      <c r="O44" s="1132" t="n"/>
      <c r="P44" s="1132" t="n"/>
      <c r="Q44" s="1133" t="n"/>
      <c r="R44" s="1133" t="n"/>
      <c r="Y44" s="1131" t="n"/>
      <c r="Z44" s="1131" t="n"/>
      <c r="AA44" s="1131" t="n"/>
      <c r="AB44" s="1131" t="n"/>
      <c r="AC44" s="821" t="n"/>
      <c r="AE44" s="1139" t="n"/>
    </row>
    <row r="45" ht="15.75" customHeight="1" s="1085">
      <c r="B45" s="269" t="inlineStr">
        <is>
          <t>ISO/OUTLET (NO MCB) 06</t>
        </is>
      </c>
      <c r="C45" s="314" t="n"/>
      <c r="D45" s="269" t="n"/>
      <c r="E45" s="269" t="n"/>
      <c r="F45" s="380">
        <f>IFERROR((VLOOKUP(D45,'Base Costs'!$AU$56:$AX$61,4,FALSE)),0)</f>
        <v/>
      </c>
      <c r="G45" s="378">
        <f>C45*F45</f>
        <v/>
      </c>
      <c r="H45" s="381" t="n">
        <v>0.37</v>
      </c>
      <c r="I45" s="378">
        <f>G45/(1-H45)*(1+$C$10)</f>
        <v/>
      </c>
      <c r="J45" s="378">
        <f>IFERROR((I45*VLOOKUP($B$10,'Base Costs'!$A$32:$B$37,2,FALSE)),0)</f>
        <v/>
      </c>
      <c r="K45" s="379">
        <f>I45-G45</f>
        <v/>
      </c>
      <c r="L45" s="816" t="n"/>
      <c r="M45" s="817" t="n"/>
      <c r="O45" s="1132" t="n"/>
      <c r="P45" s="1132" t="n"/>
      <c r="Q45" s="1133" t="n"/>
      <c r="R45" s="1133" t="n"/>
      <c r="Y45" s="1131" t="n"/>
      <c r="Z45" s="1131" t="n"/>
      <c r="AA45" s="1131" t="n"/>
      <c r="AB45" s="1131" t="n"/>
      <c r="AC45" s="821" t="n"/>
      <c r="AE45" s="1139" t="n"/>
    </row>
    <row r="46" ht="15.75" customHeight="1" s="1085">
      <c r="B46" s="269" t="inlineStr">
        <is>
          <t>ISO/OUTLET (NO MCB) 07</t>
        </is>
      </c>
      <c r="C46" s="314" t="n"/>
      <c r="D46" s="269" t="n"/>
      <c r="E46" s="269" t="n"/>
      <c r="F46" s="380">
        <f>IFERROR((VLOOKUP(D46,'Base Costs'!$AU$56:$AX$61,4,FALSE)),0)</f>
        <v/>
      </c>
      <c r="G46" s="378">
        <f>C46*F46</f>
        <v/>
      </c>
      <c r="H46" s="381" t="n">
        <v>0.37</v>
      </c>
      <c r="I46" s="378">
        <f>G46/(1-H46)*(1+$C$10)</f>
        <v/>
      </c>
      <c r="J46" s="378">
        <f>IFERROR((I46*VLOOKUP($B$10,'Base Costs'!$A$32:$B$37,2,FALSE)),0)</f>
        <v/>
      </c>
      <c r="K46" s="379">
        <f>I46-G46</f>
        <v/>
      </c>
      <c r="L46" s="816" t="n"/>
      <c r="M46" s="817" t="n"/>
      <c r="O46" s="1132" t="n"/>
      <c r="P46" s="1132" t="n"/>
      <c r="Q46" s="1133" t="n"/>
      <c r="R46" s="1133" t="n"/>
      <c r="Y46" s="1131" t="n"/>
      <c r="Z46" s="1131" t="n"/>
      <c r="AA46" s="1131" t="n"/>
      <c r="AB46" s="1131" t="n"/>
      <c r="AC46" s="821" t="n"/>
      <c r="AE46" s="1139" t="n"/>
    </row>
    <row r="47" ht="15.75" customHeight="1" s="1085">
      <c r="B47" s="269" t="inlineStr">
        <is>
          <t>ISO/OUTLET (NO MCB) 08</t>
        </is>
      </c>
      <c r="C47" s="314" t="n"/>
      <c r="D47" s="269" t="n"/>
      <c r="E47" s="269" t="n"/>
      <c r="F47" s="380">
        <f>IFERROR((VLOOKUP(D47,'Base Costs'!$AU$56:$AX$61,4,FALSE)),0)</f>
        <v/>
      </c>
      <c r="G47" s="378">
        <f>C47*F47</f>
        <v/>
      </c>
      <c r="H47" s="381" t="n">
        <v>0.37</v>
      </c>
      <c r="I47" s="378">
        <f>G47/(1-H47)*(1+$C$10)</f>
        <v/>
      </c>
      <c r="J47" s="378">
        <f>IFERROR((I47*VLOOKUP($B$10,'Base Costs'!$A$32:$B$37,2,FALSE)),0)</f>
        <v/>
      </c>
      <c r="K47" s="379">
        <f>I47-G47</f>
        <v/>
      </c>
      <c r="L47" s="1129" t="n"/>
      <c r="M47" s="1129" t="n"/>
      <c r="O47" s="1132" t="n"/>
      <c r="P47" s="1132" t="n"/>
      <c r="Q47" s="1133" t="n"/>
      <c r="R47" s="1133" t="n"/>
      <c r="Y47" s="1131" t="n"/>
      <c r="Z47" s="1131" t="n"/>
      <c r="AA47" s="1131" t="n"/>
      <c r="AB47" s="1131" t="n"/>
      <c r="AC47" s="821" t="n"/>
      <c r="AE47" s="1139" t="n"/>
    </row>
    <row r="48" ht="15.75" customHeight="1" s="1085">
      <c r="B48" s="269" t="n"/>
      <c r="C48" s="314" t="n"/>
      <c r="D48" s="269" t="n"/>
      <c r="E48" s="269" t="n"/>
      <c r="F48" s="380" t="n"/>
      <c r="G48" s="378" t="n"/>
      <c r="H48" s="381" t="n"/>
      <c r="I48" s="378" t="n"/>
      <c r="J48" s="378" t="n"/>
      <c r="K48" s="379" t="n"/>
      <c r="L48" s="1129" t="n"/>
      <c r="M48" s="1129" t="n"/>
      <c r="O48" s="1132" t="n"/>
      <c r="P48" s="1132" t="n"/>
      <c r="Q48" s="1133" t="n"/>
      <c r="R48" s="1133" t="n"/>
      <c r="Y48" s="1131" t="n"/>
      <c r="Z48" s="1131" t="n"/>
      <c r="AA48" s="1131" t="n"/>
      <c r="AB48" s="1131" t="n"/>
      <c r="AC48" s="821" t="n"/>
      <c r="AE48" s="1139" t="n"/>
    </row>
    <row r="49" ht="15.75" customHeight="1" s="1085">
      <c r="A49" s="299" t="n">
        <v>266</v>
      </c>
      <c r="B49" s="269" t="inlineStr">
        <is>
          <t>ISO/ OUTLET (MCB) 01</t>
        </is>
      </c>
      <c r="C49" s="314" t="n"/>
      <c r="D49" s="269" t="n"/>
      <c r="E49" s="269" t="n"/>
      <c r="F49" s="380">
        <f>IFERROR((VLOOKUP(D49,'Base Costs'!$AU$65:$AX$72,4,FALSE)),0)</f>
        <v/>
      </c>
      <c r="G49" s="378">
        <f>C49*F49</f>
        <v/>
      </c>
      <c r="H49" s="381" t="n">
        <v>0.37</v>
      </c>
      <c r="I49" s="378">
        <f>G49/(1-H49)*(1+$C$10)</f>
        <v/>
      </c>
      <c r="J49" s="378">
        <f>IFERROR((I49*VLOOKUP($B$10,'Base Costs'!$A$32:$B$37,2,FALSE)),0)</f>
        <v/>
      </c>
      <c r="K49" s="379">
        <f>I49-G49</f>
        <v/>
      </c>
      <c r="L49" s="816">
        <f>IFERROR((VLOOKUP(D49,'Base Costs'!$AU$65:$BA$72,8,FALSE)),0)</f>
        <v/>
      </c>
      <c r="M49" s="817">
        <f>L49*C49</f>
        <v/>
      </c>
      <c r="N49" s="469" t="n"/>
      <c r="O49" s="1132" t="n"/>
      <c r="Q49" s="1133" t="n"/>
      <c r="R49" s="1133" t="n"/>
      <c r="Y49" s="1131" t="n"/>
      <c r="AC49" s="821" t="n"/>
    </row>
    <row r="50" ht="15.75" customHeight="1" s="1085">
      <c r="B50" s="269" t="inlineStr">
        <is>
          <t>ISO/ OUTLET (MCB) 02</t>
        </is>
      </c>
      <c r="C50" s="314" t="n"/>
      <c r="D50" s="269" t="n"/>
      <c r="E50" s="269" t="n"/>
      <c r="F50" s="380">
        <f>IFERROR((VLOOKUP(D50,'Base Costs'!$AU$65:$AX$72,4,FALSE)),0)</f>
        <v/>
      </c>
      <c r="G50" s="378">
        <f>C50*F50</f>
        <v/>
      </c>
      <c r="H50" s="381" t="n">
        <v>0.37</v>
      </c>
      <c r="I50" s="378">
        <f>G50/(1-H50)*(1+$C$10)</f>
        <v/>
      </c>
      <c r="J50" s="378">
        <f>IFERROR((I50*VLOOKUP($B$10,'Base Costs'!$A$32:$B$37,2,FALSE)),0)</f>
        <v/>
      </c>
      <c r="K50" s="379">
        <f>I50-G50</f>
        <v/>
      </c>
      <c r="L50" s="816">
        <f>IFERROR((VLOOKUP(D50,'Base Costs'!$AU$65:$BA$72,8,FALSE)),0)</f>
        <v/>
      </c>
      <c r="M50" s="817">
        <f>L50*C50</f>
        <v/>
      </c>
      <c r="N50" s="469" t="n"/>
      <c r="O50" s="1132" t="n"/>
      <c r="P50" s="1132" t="n"/>
      <c r="Q50" s="1133" t="n"/>
      <c r="R50" s="1133" t="n"/>
      <c r="Y50" s="1131" t="n"/>
      <c r="Z50" s="1131" t="n"/>
      <c r="AA50" s="1131" t="n"/>
      <c r="AB50" s="1131" t="n"/>
      <c r="AC50" s="821" t="n"/>
    </row>
    <row r="51" ht="15.75" customHeight="1" s="1085">
      <c r="B51" s="269" t="inlineStr">
        <is>
          <t>ISO/ OUTLET (MCB) 03</t>
        </is>
      </c>
      <c r="C51" s="314" t="n"/>
      <c r="D51" s="269" t="n"/>
      <c r="E51" s="269" t="n"/>
      <c r="F51" s="380">
        <f>IFERROR((VLOOKUP(D51,'Base Costs'!$AU$65:$AX$72,4,FALSE)),0)</f>
        <v/>
      </c>
      <c r="G51" s="378">
        <f>C51*F51</f>
        <v/>
      </c>
      <c r="H51" s="381" t="n">
        <v>0.37</v>
      </c>
      <c r="I51" s="378">
        <f>G51/(1-H51)*(1+$C$10)</f>
        <v/>
      </c>
      <c r="J51" s="378">
        <f>IFERROR((I51*VLOOKUP($B$10,'Base Costs'!$A$32:$B$37,2,FALSE)),0)</f>
        <v/>
      </c>
      <c r="K51" s="379">
        <f>I51-G51</f>
        <v/>
      </c>
      <c r="L51" s="816">
        <f>IFERROR((VLOOKUP(D51,'Base Costs'!$AU$65:$BA$72,8,FALSE)),0)</f>
        <v/>
      </c>
      <c r="M51" s="817">
        <f>L51*C51</f>
        <v/>
      </c>
      <c r="N51" s="469" t="n"/>
      <c r="O51" s="1132" t="n"/>
      <c r="P51" s="1132" t="n"/>
      <c r="Q51" s="1133" t="n"/>
      <c r="R51" s="1133" t="n"/>
      <c r="Y51" s="1131" t="n"/>
      <c r="Z51" s="1131" t="n"/>
      <c r="AA51" s="1131" t="n"/>
      <c r="AB51" s="1131" t="n"/>
      <c r="AC51" s="821" t="n"/>
    </row>
    <row r="52" ht="15.75" customHeight="1" s="1085">
      <c r="B52" s="269" t="inlineStr">
        <is>
          <t>ISO/ OUTLET (MCB) 04</t>
        </is>
      </c>
      <c r="C52" s="314" t="n"/>
      <c r="D52" s="269" t="n"/>
      <c r="E52" s="269" t="n"/>
      <c r="F52" s="380">
        <f>IFERROR((VLOOKUP(D52,'Base Costs'!$AU$65:$AX$72,4,FALSE)),0)</f>
        <v/>
      </c>
      <c r="G52" s="378">
        <f>C52*F52</f>
        <v/>
      </c>
      <c r="H52" s="381" t="n">
        <v>0.37</v>
      </c>
      <c r="I52" s="378">
        <f>G52/(1-H52)*(1+$C$10)</f>
        <v/>
      </c>
      <c r="J52" s="378">
        <f>IFERROR((I52*VLOOKUP($B$10,'Base Costs'!$A$32:$B$37,2,FALSE)),0)</f>
        <v/>
      </c>
      <c r="K52" s="379">
        <f>I52-G52</f>
        <v/>
      </c>
      <c r="L52" s="816">
        <f>IFERROR((VLOOKUP(D52,'Base Costs'!$AU$65:$BA$72,8,FALSE)),0)</f>
        <v/>
      </c>
      <c r="M52" s="817">
        <f>L52*C52</f>
        <v/>
      </c>
      <c r="N52" s="469" t="n"/>
      <c r="O52" s="1132" t="n"/>
      <c r="P52" s="1132" t="n"/>
      <c r="Q52" s="1133" t="n"/>
      <c r="R52" s="1133" t="n"/>
      <c r="Y52" s="1131" t="n"/>
      <c r="Z52" s="1131" t="n"/>
      <c r="AA52" s="1131" t="n"/>
      <c r="AB52" s="1131" t="n"/>
      <c r="AC52" s="821" t="n"/>
    </row>
    <row r="53" ht="15.75" customHeight="1" s="1085">
      <c r="B53" s="269" t="inlineStr">
        <is>
          <t>ISO/ OUTLET (MCB) 05</t>
        </is>
      </c>
      <c r="C53" s="314" t="n"/>
      <c r="D53" s="269" t="n"/>
      <c r="E53" s="269" t="n"/>
      <c r="F53" s="380">
        <f>IFERROR((VLOOKUP(D53,'Base Costs'!$AU$65:$AX$72,4,FALSE)),0)</f>
        <v/>
      </c>
      <c r="G53" s="378">
        <f>C53*F53</f>
        <v/>
      </c>
      <c r="H53" s="381" t="n">
        <v>0.37</v>
      </c>
      <c r="I53" s="378">
        <f>G53/(1-H53)*(1+$C$10)</f>
        <v/>
      </c>
      <c r="J53" s="378">
        <f>IFERROR((I53*VLOOKUP($B$10,'Base Costs'!$A$32:$B$37,2,FALSE)),0)</f>
        <v/>
      </c>
      <c r="K53" s="379">
        <f>I53-G53</f>
        <v/>
      </c>
      <c r="L53" s="816">
        <f>IFERROR((VLOOKUP(D53,'Base Costs'!$AU$65:$BA$72,8,FALSE)),0)</f>
        <v/>
      </c>
      <c r="M53" s="817">
        <f>L53*C53</f>
        <v/>
      </c>
      <c r="N53" s="469" t="n"/>
      <c r="O53" s="1132" t="n"/>
      <c r="P53" s="1132" t="n"/>
      <c r="Q53" s="1133" t="n"/>
      <c r="R53" s="1133" t="n"/>
      <c r="Y53" s="1131" t="n"/>
      <c r="Z53" s="1131" t="n"/>
      <c r="AA53" s="1131" t="n"/>
      <c r="AB53" s="1131" t="n"/>
      <c r="AC53" s="821" t="n"/>
    </row>
    <row r="54" ht="15.75" customHeight="1" s="1085">
      <c r="B54" s="269" t="inlineStr">
        <is>
          <t>ISO/ OUTLET (MCB) 06</t>
        </is>
      </c>
      <c r="C54" s="314" t="n"/>
      <c r="D54" s="269" t="n"/>
      <c r="E54" s="269" t="n"/>
      <c r="F54" s="380">
        <f>IFERROR((VLOOKUP(D54,'Base Costs'!$AU$65:$AX$72,4,FALSE)),0)</f>
        <v/>
      </c>
      <c r="G54" s="378">
        <f>C54*F54</f>
        <v/>
      </c>
      <c r="H54" s="381" t="n">
        <v>0.37</v>
      </c>
      <c r="I54" s="378">
        <f>G54/(1-H54)*(1+$C$10)</f>
        <v/>
      </c>
      <c r="J54" s="378">
        <f>IFERROR((I54*VLOOKUP($B$10,'Base Costs'!$A$32:$B$37,2,FALSE)),0)</f>
        <v/>
      </c>
      <c r="K54" s="379">
        <f>I54-G54</f>
        <v/>
      </c>
      <c r="L54" s="816">
        <f>IFERROR((VLOOKUP(D54,'Base Costs'!$AU$65:$BA$72,8,FALSE)),0)</f>
        <v/>
      </c>
      <c r="M54" s="817">
        <f>L54*C54</f>
        <v/>
      </c>
      <c r="N54" s="469" t="n"/>
      <c r="O54" s="1132" t="n"/>
      <c r="P54" s="1132" t="n"/>
      <c r="Q54" s="1133" t="n"/>
      <c r="R54" s="1133" t="n"/>
      <c r="Y54" s="1131" t="n"/>
      <c r="Z54" s="1131" t="n"/>
      <c r="AA54" s="1131" t="n"/>
      <c r="AB54" s="1131" t="n"/>
      <c r="AC54" s="821" t="n"/>
    </row>
    <row r="55" ht="15.75" customHeight="1" s="1085">
      <c r="B55" s="269" t="inlineStr">
        <is>
          <t>ISO/ OUTLET (MCB) 07</t>
        </is>
      </c>
      <c r="C55" s="314" t="n"/>
      <c r="D55" s="269" t="n"/>
      <c r="E55" s="269" t="n"/>
      <c r="F55" s="380">
        <f>IFERROR((VLOOKUP(D55,'Base Costs'!$AU$65:$AX$72,4,FALSE)),0)</f>
        <v/>
      </c>
      <c r="G55" s="378">
        <f>C55*F55</f>
        <v/>
      </c>
      <c r="H55" s="381" t="n">
        <v>0.37</v>
      </c>
      <c r="I55" s="378">
        <f>G55/(1-H55)*(1+$C$10)</f>
        <v/>
      </c>
      <c r="J55" s="378">
        <f>IFERROR((I55*VLOOKUP($B$10,'Base Costs'!$A$32:$B$37,2,FALSE)),0)</f>
        <v/>
      </c>
      <c r="K55" s="379">
        <f>I55-G55</f>
        <v/>
      </c>
      <c r="L55" s="816">
        <f>IFERROR((VLOOKUP(D55,'Base Costs'!$AU$65:$BA$72,8,FALSE)),0)</f>
        <v/>
      </c>
      <c r="M55" s="817">
        <f>L55*C55</f>
        <v/>
      </c>
      <c r="N55" s="469" t="n"/>
      <c r="O55" s="1132" t="n"/>
      <c r="P55" s="1132" t="n"/>
      <c r="Q55" s="1133" t="n"/>
      <c r="R55" s="1133" t="n"/>
      <c r="Y55" s="1131" t="n"/>
      <c r="Z55" s="1131" t="n"/>
      <c r="AA55" s="1131" t="n"/>
      <c r="AB55" s="1131" t="n"/>
      <c r="AC55" s="821" t="n"/>
    </row>
    <row r="56" ht="15.75" customHeight="1" s="1085">
      <c r="A56" s="299" t="n">
        <v>266</v>
      </c>
      <c r="B56" s="269" t="inlineStr">
        <is>
          <t>ISO/ OUTLET (MCB) 08</t>
        </is>
      </c>
      <c r="C56" s="314" t="n"/>
      <c r="D56" s="269" t="n"/>
      <c r="E56" s="269" t="n"/>
      <c r="F56" s="380">
        <f>IFERROR((VLOOKUP(D56,'Base Costs'!$AU$65:$AX$72,4,FALSE)),0)</f>
        <v/>
      </c>
      <c r="G56" s="378">
        <f>C56*F56</f>
        <v/>
      </c>
      <c r="H56" s="381" t="n">
        <v>0.37</v>
      </c>
      <c r="I56" s="378">
        <f>G56/(1-H56)*(1+$C$10)</f>
        <v/>
      </c>
      <c r="J56" s="378">
        <f>IFERROR((I56*VLOOKUP($B$10,'Base Costs'!$A$32:$B$37,2,FALSE)),0)</f>
        <v/>
      </c>
      <c r="K56" s="379">
        <f>I56-G56</f>
        <v/>
      </c>
      <c r="L56" s="816">
        <f>IFERROR((VLOOKUP(D56,'Base Costs'!$AU$65:$BA$72,8,FALSE)),0)</f>
        <v/>
      </c>
      <c r="M56" s="817">
        <f>L56*C56</f>
        <v/>
      </c>
      <c r="N56" s="469" t="n"/>
      <c r="O56" s="1132" t="n"/>
      <c r="Q56" s="1133" t="n"/>
      <c r="R56" s="1133" t="n"/>
      <c r="Y56" s="1139" t="n"/>
    </row>
    <row r="57" ht="15.75" customHeight="1" s="1085">
      <c r="A57" s="299" t="n">
        <v>266</v>
      </c>
      <c r="B57" s="269" t="n"/>
      <c r="C57" s="314" t="n"/>
      <c r="D57" s="269" t="n"/>
      <c r="E57" s="269" t="n"/>
      <c r="F57" s="380">
        <f>'Base Costs'!AX77</f>
        <v/>
      </c>
      <c r="G57" s="378">
        <f>C57*F57</f>
        <v/>
      </c>
      <c r="H57" s="381" t="n">
        <v>0.37</v>
      </c>
      <c r="I57" s="378">
        <f>G57/(1-H57)*(1+$C$10)</f>
        <v/>
      </c>
      <c r="J57" s="378">
        <f>I57*VLOOKUP($B$10,'Base Costs'!$A$32:$B$37,2,FALSE)</f>
        <v/>
      </c>
      <c r="K57" s="379">
        <f>I57-G57</f>
        <v/>
      </c>
      <c r="L57" s="469" t="n"/>
      <c r="M57" s="469" t="n"/>
      <c r="N57" s="469" t="n"/>
      <c r="O57" s="1132" t="n"/>
      <c r="Q57" s="1133" t="n"/>
      <c r="R57" s="1133" t="n"/>
      <c r="Y57" s="1139" t="n"/>
    </row>
    <row r="58" ht="15.75" customHeight="1" s="1085">
      <c r="A58" s="299" t="n">
        <v>266</v>
      </c>
      <c r="B58" s="269" t="n"/>
      <c r="C58" s="314" t="n"/>
      <c r="D58" s="269" t="n"/>
      <c r="E58" s="269" t="n"/>
      <c r="F58" s="380">
        <f>'Base Costs'!AX78</f>
        <v/>
      </c>
      <c r="G58" s="378">
        <f>C58*F58</f>
        <v/>
      </c>
      <c r="H58" s="381" t="n">
        <v>0.37</v>
      </c>
      <c r="I58" s="378">
        <f>G58/(1-H58)*(1+$C$10)</f>
        <v/>
      </c>
      <c r="J58" s="378">
        <f>I58*VLOOKUP($B$10,'Base Costs'!$A$32:$B$37,2,FALSE)</f>
        <v/>
      </c>
      <c r="K58" s="379">
        <f>I58-G58</f>
        <v/>
      </c>
      <c r="L58" s="469" t="n"/>
      <c r="M58" s="469" t="n"/>
      <c r="N58" s="469" t="n"/>
      <c r="O58" s="1132" t="n"/>
      <c r="Q58" s="1133" t="n"/>
      <c r="R58" s="1133" t="n"/>
      <c r="Y58" s="1139" t="n"/>
    </row>
    <row r="59" ht="15.75" customHeight="1" s="1085">
      <c r="A59" s="299" t="n">
        <v>266</v>
      </c>
      <c r="B59" s="269" t="n"/>
      <c r="C59" s="314" t="n"/>
      <c r="D59" s="269" t="n"/>
      <c r="E59" s="269" t="n"/>
      <c r="F59" s="380">
        <f>'Base Costs'!AX79</f>
        <v/>
      </c>
      <c r="G59" s="378">
        <f>C59*F59</f>
        <v/>
      </c>
      <c r="H59" s="381" t="n">
        <v>0.37</v>
      </c>
      <c r="I59" s="378">
        <f>G59/(1-H59)*(1+$C$10)</f>
        <v/>
      </c>
      <c r="J59" s="378">
        <f>I59*VLOOKUP($B$10,'Base Costs'!$A$32:$B$37,2,FALSE)</f>
        <v/>
      </c>
      <c r="K59" s="379">
        <f>I59-G59</f>
        <v/>
      </c>
      <c r="L59" s="469" t="n"/>
      <c r="M59" s="469" t="n"/>
      <c r="N59" s="469" t="n"/>
      <c r="O59" s="1132" t="n"/>
      <c r="Q59" s="1133" t="n"/>
      <c r="R59" s="1133" t="n"/>
      <c r="AC59" s="822" t="n"/>
    </row>
    <row r="60" ht="15.75" customHeight="1" s="1085">
      <c r="A60" s="299" t="n">
        <v>266</v>
      </c>
      <c r="B60" s="269" t="n"/>
      <c r="C60" s="314" t="n"/>
      <c r="D60" s="269" t="n"/>
      <c r="E60" s="269" t="n"/>
      <c r="F60" s="380">
        <f>'Base Costs'!AX80</f>
        <v/>
      </c>
      <c r="G60" s="378">
        <f>C60*F60</f>
        <v/>
      </c>
      <c r="H60" s="381" t="n">
        <v>0.37</v>
      </c>
      <c r="I60" s="378">
        <f>G60/(1-H60)*(1+$C$10)</f>
        <v/>
      </c>
      <c r="J60" s="378">
        <f>I60*VLOOKUP($B$10,'Base Costs'!$A$32:$B$37,2,FALSE)</f>
        <v/>
      </c>
      <c r="K60" s="379">
        <f>I60-G60</f>
        <v/>
      </c>
      <c r="L60" s="469" t="n"/>
      <c r="M60" s="469" t="n"/>
      <c r="N60" s="469" t="n"/>
      <c r="O60" s="1132" t="n"/>
      <c r="Q60" s="1133" t="n"/>
      <c r="R60" s="1133" t="n"/>
    </row>
    <row r="61" ht="15.75" customHeight="1" s="1085">
      <c r="A61" s="299" t="n">
        <v>266</v>
      </c>
      <c r="B61" s="269" t="n"/>
      <c r="C61" s="314" t="n"/>
      <c r="D61" s="269" t="n"/>
      <c r="E61" s="269" t="n"/>
      <c r="F61" s="380">
        <f>'Base Costs'!AX81</f>
        <v/>
      </c>
      <c r="G61" s="378">
        <f>C61*F61</f>
        <v/>
      </c>
      <c r="H61" s="381" t="n">
        <v>0.37</v>
      </c>
      <c r="I61" s="378">
        <f>G61/(1-H61)*(1+$C$10)</f>
        <v/>
      </c>
      <c r="J61" s="378">
        <f>I61*VLOOKUP($B$10,'Base Costs'!$A$32:$B$37,2,FALSE)</f>
        <v/>
      </c>
      <c r="K61" s="379">
        <f>I61-G61</f>
        <v/>
      </c>
      <c r="L61" s="469" t="n"/>
      <c r="M61" s="469" t="n"/>
      <c r="N61" s="469" t="n"/>
      <c r="O61" s="1132" t="n"/>
      <c r="Q61" s="1133" t="n"/>
      <c r="R61" s="1133" t="n"/>
    </row>
    <row r="62" ht="15.75" customHeight="1" s="1085">
      <c r="A62" s="299" t="n">
        <v>266</v>
      </c>
      <c r="B62" s="269" t="n"/>
      <c r="C62" s="314" t="n"/>
      <c r="D62" s="269" t="n"/>
      <c r="E62" s="269" t="n"/>
      <c r="F62" s="380">
        <f>'Base Costs'!AX82</f>
        <v/>
      </c>
      <c r="G62" s="378">
        <f>C62*F62</f>
        <v/>
      </c>
      <c r="H62" s="381" t="n">
        <v>0.37</v>
      </c>
      <c r="I62" s="378">
        <f>G62/(1-H62)*(1+$C$10)</f>
        <v/>
      </c>
      <c r="J62" s="378">
        <f>I62*VLOOKUP($B$10,'Base Costs'!$A$32:$B$37,2,FALSE)</f>
        <v/>
      </c>
      <c r="K62" s="379">
        <f>I62-G62</f>
        <v/>
      </c>
      <c r="L62" s="469" t="n"/>
      <c r="M62" s="469" t="n"/>
      <c r="N62" s="469" t="n"/>
      <c r="O62" s="1132" t="n"/>
      <c r="Q62" s="1133" t="n"/>
      <c r="R62" s="1133" t="n"/>
    </row>
    <row r="63" ht="15.75" customHeight="1" s="1085">
      <c r="A63" s="299" t="n">
        <v>266</v>
      </c>
      <c r="B63" s="269" t="n"/>
      <c r="C63" s="314" t="n"/>
      <c r="D63" s="269" t="n"/>
      <c r="E63" s="269" t="n"/>
      <c r="F63" s="380">
        <f>'Base Costs'!AX83</f>
        <v/>
      </c>
      <c r="G63" s="378">
        <f>C63*F63</f>
        <v/>
      </c>
      <c r="H63" s="381" t="n">
        <v>0.37</v>
      </c>
      <c r="I63" s="378">
        <f>G63/(1-H63)*(1+$C$10)</f>
        <v/>
      </c>
      <c r="J63" s="378">
        <f>I63*VLOOKUP($B$10,'Base Costs'!$A$32:$B$37,2,FALSE)</f>
        <v/>
      </c>
      <c r="K63" s="379">
        <f>I63-G63</f>
        <v/>
      </c>
      <c r="L63" s="469" t="n"/>
      <c r="M63" s="469" t="n"/>
      <c r="N63" s="469" t="n"/>
      <c r="O63" s="1132" t="n"/>
      <c r="Q63" s="1133" t="n"/>
      <c r="R63" s="1133" t="n"/>
    </row>
    <row r="64" ht="15.75" customHeight="1" s="1085">
      <c r="A64" s="299" t="n">
        <v>266</v>
      </c>
      <c r="B64" s="269" t="n"/>
      <c r="C64" s="314" t="n"/>
      <c r="D64" s="269" t="n"/>
      <c r="E64" s="269" t="n"/>
      <c r="F64" s="380">
        <f>'Base Costs'!AX84</f>
        <v/>
      </c>
      <c r="G64" s="378">
        <f>C64*F64</f>
        <v/>
      </c>
      <c r="H64" s="381" t="n">
        <v>0.37</v>
      </c>
      <c r="I64" s="378">
        <f>G64/(1-H64)*(1+$C$10)</f>
        <v/>
      </c>
      <c r="J64" s="378">
        <f>I64*VLOOKUP($B$10,'Base Costs'!$A$32:$B$37,2,FALSE)</f>
        <v/>
      </c>
      <c r="K64" s="379">
        <f>I64-G64</f>
        <v/>
      </c>
      <c r="L64" s="469" t="n"/>
      <c r="M64" s="469" t="n"/>
      <c r="N64" s="469" t="n"/>
      <c r="O64" s="1132" t="n"/>
      <c r="Q64" s="1133" t="n"/>
      <c r="R64" s="1133" t="n"/>
    </row>
    <row r="65" ht="15.75" customHeight="1" s="1085">
      <c r="A65" s="299" t="n">
        <v>266</v>
      </c>
      <c r="B65" s="269" t="inlineStr">
        <is>
          <t>RING MAIN</t>
        </is>
      </c>
      <c r="C65" s="314" t="n"/>
      <c r="D65" s="269" t="inlineStr">
        <is>
          <t>INC 2NO SSO</t>
        </is>
      </c>
      <c r="E65" s="269" t="n"/>
      <c r="F65" s="380">
        <f>'Base Costs'!AX85</f>
        <v/>
      </c>
      <c r="G65" s="378">
        <f>C65*F65</f>
        <v/>
      </c>
      <c r="H65" s="381" t="n">
        <v>0.37</v>
      </c>
      <c r="I65" s="378">
        <f>G65/(1-H65)*(1+$C$10)</f>
        <v/>
      </c>
      <c r="J65" s="378">
        <f>I65*VLOOKUP($B$10,'Base Costs'!$A$32:$B$37,2,FALSE)</f>
        <v/>
      </c>
      <c r="K65" s="379">
        <f>I65-G65</f>
        <v/>
      </c>
      <c r="L65" s="469" t="n"/>
      <c r="M65" s="469" t="n"/>
      <c r="N65" s="469" t="n"/>
      <c r="O65" s="1132" t="n"/>
      <c r="Q65" s="1133" t="n"/>
      <c r="R65" s="1133" t="n"/>
    </row>
    <row r="66" ht="15.75" customHeight="1" s="1085">
      <c r="A66" s="299" t="n">
        <v>266</v>
      </c>
      <c r="B66" s="269" t="inlineStr">
        <is>
          <t>ADDITIONAL SSO</t>
        </is>
      </c>
      <c r="C66" s="314" t="n"/>
      <c r="D66" s="269" t="n"/>
      <c r="E66" s="269" t="n"/>
      <c r="F66" s="380">
        <f>'Base Costs'!AX86</f>
        <v/>
      </c>
      <c r="G66" s="378">
        <f>C66*F66</f>
        <v/>
      </c>
      <c r="H66" s="381" t="n">
        <v>0.37</v>
      </c>
      <c r="I66" s="378">
        <f>G66/(1-H66)*(1+$C$10)</f>
        <v/>
      </c>
      <c r="J66" s="378">
        <f>I66*VLOOKUP($B$10,'Base Costs'!$A$32:$B$37,2,FALSE)</f>
        <v/>
      </c>
      <c r="K66" s="379">
        <f>I66-G66</f>
        <v/>
      </c>
      <c r="L66" s="469" t="n"/>
      <c r="M66" s="469" t="n"/>
      <c r="N66" s="469" t="n"/>
      <c r="O66" s="1132" t="n"/>
      <c r="Q66" s="1133" t="n"/>
      <c r="R66" s="1133" t="n"/>
    </row>
    <row r="67" ht="15.75" customHeight="1" s="1085">
      <c r="A67" s="299" t="n">
        <v>266</v>
      </c>
      <c r="B67" s="269" t="inlineStr">
        <is>
          <t>BS 6173</t>
        </is>
      </c>
      <c r="C67" s="314" t="n"/>
      <c r="D67" s="269" t="inlineStr">
        <is>
          <t>GAS INTERLOCK EX-WORKS</t>
        </is>
      </c>
      <c r="E67" s="269" t="n"/>
      <c r="F67" s="380">
        <f>'Base Costs'!AX87</f>
        <v/>
      </c>
      <c r="G67" s="378">
        <f>C67*F67</f>
        <v/>
      </c>
      <c r="H67" s="381" t="n">
        <v>0.37</v>
      </c>
      <c r="I67" s="378">
        <f>G67/(1-H67)*(1+$C$10)</f>
        <v/>
      </c>
      <c r="J67" s="378">
        <f>I67*VLOOKUP($B$10,'Base Costs'!$A$32:$B$37,2,FALSE)</f>
        <v/>
      </c>
      <c r="K67" s="379">
        <f>I67-G67</f>
        <v/>
      </c>
      <c r="L67" s="469" t="n"/>
      <c r="M67" s="469" t="n"/>
      <c r="N67" s="469" t="n"/>
      <c r="O67" s="1132" t="n"/>
      <c r="Q67" s="1133" t="n"/>
      <c r="R67" s="1133" t="n"/>
    </row>
    <row r="68" ht="15.75" customHeight="1" s="1085">
      <c r="A68" s="299" t="n">
        <v>266</v>
      </c>
      <c r="B68" s="269" t="inlineStr">
        <is>
          <t>RING MAIN</t>
        </is>
      </c>
      <c r="C68" s="314" t="n"/>
      <c r="D68" s="269" t="inlineStr">
        <is>
          <t>INC 2NO SSO WITH MCB</t>
        </is>
      </c>
      <c r="E68" s="269" t="n"/>
      <c r="F68" s="380">
        <f>'Base Costs'!AX88</f>
        <v/>
      </c>
      <c r="G68" s="378">
        <f>C68*F68</f>
        <v/>
      </c>
      <c r="H68" s="381" t="n">
        <v>0.37</v>
      </c>
      <c r="I68" s="378">
        <f>G68/(1-H68)*(1+$C$10)</f>
        <v/>
      </c>
      <c r="J68" s="378">
        <f>I68*VLOOKUP($B$10,'Base Costs'!$A$32:$B$37,2,FALSE)</f>
        <v/>
      </c>
      <c r="K68" s="379">
        <f>I68-G68</f>
        <v/>
      </c>
      <c r="L68" s="469" t="n"/>
      <c r="M68" s="469" t="n"/>
      <c r="N68" s="469" t="n"/>
      <c r="O68" s="1132" t="n"/>
      <c r="Q68" s="1133" t="n"/>
      <c r="R68" s="1133" t="n"/>
    </row>
    <row r="69" ht="15.75" customHeight="1" s="1085">
      <c r="B69" s="190" t="n"/>
      <c r="C69" s="186" t="n"/>
      <c r="D69" s="190" t="n"/>
      <c r="E69" s="190" t="n"/>
      <c r="F69" s="190" t="n"/>
      <c r="G69" s="296" t="n"/>
      <c r="H69" s="297" t="n"/>
      <c r="I69" s="296" t="n"/>
      <c r="J69" s="296" t="n"/>
      <c r="K69" s="183" t="n"/>
      <c r="L69" s="469" t="n"/>
      <c r="M69" s="469" t="n"/>
      <c r="N69" s="469" t="n"/>
      <c r="Q69" s="1133" t="n"/>
      <c r="R69" s="1133" t="n"/>
    </row>
    <row r="70" ht="15.75" customHeight="1" s="1085">
      <c r="B70" s="24" t="inlineStr">
        <is>
          <t>GAS (MF MECH)</t>
        </is>
      </c>
      <c r="C70" s="192" t="n"/>
      <c r="D70" s="193" t="n"/>
      <c r="E70" s="193" t="n"/>
      <c r="F70" s="193" t="n"/>
      <c r="G70" s="61">
        <f>SUBTOTAL(9,G71:G82)</f>
        <v/>
      </c>
      <c r="H70" s="39">
        <f>IF(G70=0,"-",K70/I70)</f>
        <v/>
      </c>
      <c r="I70" s="61">
        <f>SUBTOTAL(9,I71:I82)</f>
        <v/>
      </c>
      <c r="J70" s="465">
        <f>SUBTOTAL(9,J71:J82)</f>
        <v/>
      </c>
      <c r="K70" s="61">
        <f>SUBTOTAL(9,K71:K82)</f>
        <v/>
      </c>
      <c r="L70" s="469" t="n"/>
      <c r="M70" s="469" t="n"/>
      <c r="N70" s="469" t="n"/>
      <c r="Q70" s="1133" t="n"/>
      <c r="R70" s="1133" t="n"/>
    </row>
    <row r="71" ht="15.75" customHeight="1" s="1085">
      <c r="A71" s="299" t="n">
        <v>269</v>
      </c>
      <c r="B71" s="269" t="inlineStr">
        <is>
          <t>GAS MANIFOLD</t>
        </is>
      </c>
      <c r="C71" s="314" t="n"/>
      <c r="D71" s="269" t="inlineStr">
        <is>
          <t>50MM UP TO 6M</t>
        </is>
      </c>
      <c r="E71" s="269" t="n"/>
      <c r="F71" s="380">
        <f>'Base Costs'!AX90</f>
        <v/>
      </c>
      <c r="G71" s="378">
        <f>C71*F71</f>
        <v/>
      </c>
      <c r="H71" s="381" t="n">
        <v>0.37</v>
      </c>
      <c r="I71" s="378">
        <f>G71/(1-H71)*(1+$C$10)</f>
        <v/>
      </c>
      <c r="J71" s="378">
        <f>I71*VLOOKUP($B$10,'Base Costs'!$A$32:$B$37,2,FALSE)</f>
        <v/>
      </c>
      <c r="K71" s="379">
        <f>I71-G71</f>
        <v/>
      </c>
      <c r="L71" s="469" t="n"/>
      <c r="M71" s="469" t="n"/>
      <c r="N71" s="469" t="n"/>
      <c r="Q71" s="1133" t="n"/>
      <c r="R71" s="1133" t="n"/>
    </row>
    <row r="72" ht="15.75" customHeight="1" s="1085">
      <c r="A72" s="299" t="n">
        <v>269</v>
      </c>
      <c r="B72" s="269" t="inlineStr">
        <is>
          <t>GAS MANIFOLD</t>
        </is>
      </c>
      <c r="C72" s="314" t="n"/>
      <c r="D72" s="269" t="inlineStr">
        <is>
          <t>40MM UP TO 6M</t>
        </is>
      </c>
      <c r="E72" s="269" t="n"/>
      <c r="F72" s="380">
        <f>'Base Costs'!AX91</f>
        <v/>
      </c>
      <c r="G72" s="378">
        <f>C72*F72</f>
        <v/>
      </c>
      <c r="H72" s="381" t="n">
        <v>0.37</v>
      </c>
      <c r="I72" s="378">
        <f>G72/(1-H72)*(1+$C$10)</f>
        <v/>
      </c>
      <c r="J72" s="378">
        <f>I72*VLOOKUP($B$10,'Base Costs'!$A$32:$B$37,2,FALSE)</f>
        <v/>
      </c>
      <c r="K72" s="379">
        <f>I72-G72</f>
        <v/>
      </c>
      <c r="L72" s="469" t="n"/>
      <c r="M72" s="469" t="n"/>
      <c r="N72" s="469" t="n"/>
      <c r="Q72" s="1133" t="n"/>
      <c r="R72" s="1133" t="n"/>
    </row>
    <row r="73" ht="15.75" customHeight="1" s="1085">
      <c r="A73" s="299" t="n">
        <v>269</v>
      </c>
      <c r="B73" s="269" t="inlineStr">
        <is>
          <t>GAS MANIFOLD</t>
        </is>
      </c>
      <c r="C73" s="314" t="n"/>
      <c r="D73" s="269" t="inlineStr">
        <is>
          <t>32MM UP TO 6M</t>
        </is>
      </c>
      <c r="E73" s="269" t="n"/>
      <c r="F73" s="380">
        <f>'Base Costs'!AX92</f>
        <v/>
      </c>
      <c r="G73" s="378">
        <f>C73*F73</f>
        <v/>
      </c>
      <c r="H73" s="381" t="n">
        <v>0.37</v>
      </c>
      <c r="I73" s="378">
        <f>G73/(1-H73)*(1+$C$10)</f>
        <v/>
      </c>
      <c r="J73" s="378">
        <f>I73*VLOOKUP($B$10,'Base Costs'!$A$32:$B$37,2,FALSE)</f>
        <v/>
      </c>
      <c r="K73" s="379">
        <f>I73-G73</f>
        <v/>
      </c>
      <c r="L73" s="469" t="n"/>
      <c r="M73" s="469" t="n"/>
      <c r="N73" s="469" t="n"/>
      <c r="Q73" s="1133" t="n"/>
      <c r="R73" s="1133" t="n"/>
    </row>
    <row r="74" ht="15.75" customHeight="1" s="1085">
      <c r="A74" s="299" t="n">
        <v>269</v>
      </c>
      <c r="B74" s="269" t="inlineStr">
        <is>
          <t>GAS MANIFOLD</t>
        </is>
      </c>
      <c r="C74" s="314" t="n"/>
      <c r="D74" s="269" t="inlineStr">
        <is>
          <t>25MM UP TO 6M</t>
        </is>
      </c>
      <c r="E74" s="269" t="n"/>
      <c r="F74" s="380">
        <f>'Base Costs'!AX93</f>
        <v/>
      </c>
      <c r="G74" s="378">
        <f>C74*F74</f>
        <v/>
      </c>
      <c r="H74" s="381" t="n">
        <v>0.37</v>
      </c>
      <c r="I74" s="378">
        <f>G74/(1-H74)*(1+$C$10)</f>
        <v/>
      </c>
      <c r="J74" s="378">
        <f>I74*VLOOKUP($B$10,'Base Costs'!$A$32:$B$37,2,FALSE)</f>
        <v/>
      </c>
      <c r="K74" s="379">
        <f>I74-G74</f>
        <v/>
      </c>
      <c r="L74" s="469" t="n"/>
      <c r="M74" s="469" t="n"/>
      <c r="N74" s="469" t="n"/>
      <c r="Q74" s="1133" t="n"/>
      <c r="R74" s="1133" t="n"/>
    </row>
    <row r="75" ht="15.75" customHeight="1" s="1085">
      <c r="A75" s="299" t="n">
        <v>269</v>
      </c>
      <c r="B75" s="269" t="inlineStr">
        <is>
          <t>GAS CONNECTION</t>
        </is>
      </c>
      <c r="C75" s="314" t="n"/>
      <c r="D75" s="269" t="inlineStr">
        <is>
          <t>15MM</t>
        </is>
      </c>
      <c r="E75" s="269" t="n"/>
      <c r="F75" s="380">
        <f>'Base Costs'!AX94</f>
        <v/>
      </c>
      <c r="G75" s="378">
        <f>C75*F75</f>
        <v/>
      </c>
      <c r="H75" s="381" t="n">
        <v>0.37</v>
      </c>
      <c r="I75" s="378">
        <f>G75/(1-H75)*(1+$C$10)</f>
        <v/>
      </c>
      <c r="J75" s="378">
        <f>I75*VLOOKUP($B$10,'Base Costs'!$A$32:$B$37,2,FALSE)</f>
        <v/>
      </c>
      <c r="K75" s="379">
        <f>I75-G75</f>
        <v/>
      </c>
      <c r="L75" s="469" t="n"/>
      <c r="M75" s="469" t="n"/>
      <c r="N75" s="469" t="n"/>
      <c r="Q75" s="1133" t="n"/>
      <c r="R75" s="1133" t="n"/>
    </row>
    <row r="76" ht="15.75" customHeight="1" s="1085">
      <c r="A76" s="299" t="n">
        <v>269</v>
      </c>
      <c r="B76" s="269" t="inlineStr">
        <is>
          <t>GAS CONNECTION</t>
        </is>
      </c>
      <c r="C76" s="314" t="n"/>
      <c r="D76" s="269" t="inlineStr">
        <is>
          <t>20MM</t>
        </is>
      </c>
      <c r="E76" s="269" t="n"/>
      <c r="F76" s="380">
        <f>'Base Costs'!AX95</f>
        <v/>
      </c>
      <c r="G76" s="378">
        <f>C76*F76</f>
        <v/>
      </c>
      <c r="H76" s="381" t="n">
        <v>0.37</v>
      </c>
      <c r="I76" s="378">
        <f>G76/(1-H76)*(1+$C$10)</f>
        <v/>
      </c>
      <c r="J76" s="378">
        <f>I76*VLOOKUP($B$10,'Base Costs'!$A$32:$B$37,2,FALSE)</f>
        <v/>
      </c>
      <c r="K76" s="379">
        <f>I76-G76</f>
        <v/>
      </c>
      <c r="L76" s="469" t="n"/>
      <c r="M76" s="469" t="n"/>
      <c r="N76" s="469" t="n"/>
      <c r="Q76" s="1133" t="n"/>
      <c r="R76" s="1133" t="n"/>
    </row>
    <row r="77" ht="15.75" customHeight="1" s="1085">
      <c r="A77" s="299" t="n">
        <v>269</v>
      </c>
      <c r="B77" s="269" t="inlineStr">
        <is>
          <t>GAS CONNECTION</t>
        </is>
      </c>
      <c r="C77" s="314" t="n"/>
      <c r="D77" s="269" t="inlineStr">
        <is>
          <t>25MM</t>
        </is>
      </c>
      <c r="E77" s="269" t="n"/>
      <c r="F77" s="380">
        <f>'Base Costs'!AX96</f>
        <v/>
      </c>
      <c r="G77" s="378">
        <f>C77*F77</f>
        <v/>
      </c>
      <c r="H77" s="381" t="n">
        <v>0.37</v>
      </c>
      <c r="I77" s="378">
        <f>G77/(1-H77)*(1+$C$10)</f>
        <v/>
      </c>
      <c r="J77" s="378">
        <f>I77*VLOOKUP($B$10,'Base Costs'!$A$32:$B$37,2,FALSE)</f>
        <v/>
      </c>
      <c r="K77" s="379">
        <f>I77-G77</f>
        <v/>
      </c>
      <c r="L77" s="469" t="n"/>
      <c r="M77" s="469" t="n"/>
      <c r="N77" s="469" t="n"/>
      <c r="Q77" s="1133" t="n"/>
      <c r="R77" s="1133" t="n"/>
    </row>
    <row r="78" ht="15.75" customHeight="1" s="1085">
      <c r="A78" s="299" t="n">
        <v>269</v>
      </c>
      <c r="B78" s="269" t="inlineStr">
        <is>
          <t>GAS CONNECTION</t>
        </is>
      </c>
      <c r="C78" s="314" t="n"/>
      <c r="D78" s="269" t="inlineStr">
        <is>
          <t>32MM</t>
        </is>
      </c>
      <c r="E78" s="269" t="n"/>
      <c r="F78" s="380">
        <f>'Base Costs'!AX97</f>
        <v/>
      </c>
      <c r="G78" s="378">
        <f>C78*F78</f>
        <v/>
      </c>
      <c r="H78" s="381" t="n">
        <v>0.37</v>
      </c>
      <c r="I78" s="378">
        <f>G78/(1-H78)*(1+$C$10)</f>
        <v/>
      </c>
      <c r="J78" s="378">
        <f>I78*VLOOKUP($B$10,'Base Costs'!$A$32:$B$37,2,FALSE)</f>
        <v/>
      </c>
      <c r="K78" s="379">
        <f>I78-G78</f>
        <v/>
      </c>
      <c r="L78" s="469" t="n"/>
      <c r="M78" s="469" t="n"/>
      <c r="N78" s="469" t="n"/>
      <c r="Q78" s="1133" t="n"/>
      <c r="R78" s="1133" t="n"/>
    </row>
    <row r="79" ht="15.75" customHeight="1" s="1085">
      <c r="A79" s="299" t="n">
        <v>269</v>
      </c>
      <c r="B79" s="269" t="inlineStr">
        <is>
          <t>GAS SOLONOID VALVE</t>
        </is>
      </c>
      <c r="C79" s="314" t="n"/>
      <c r="D79" s="269" t="inlineStr">
        <is>
          <t>25MM</t>
        </is>
      </c>
      <c r="E79" s="269" t="n"/>
      <c r="F79" s="380">
        <f>'Base Costs'!AX98</f>
        <v/>
      </c>
      <c r="G79" s="378">
        <f>C79*F79</f>
        <v/>
      </c>
      <c r="H79" s="381" t="n">
        <v>0.37</v>
      </c>
      <c r="I79" s="378">
        <f>G79/(1-H79)*(1+$C$10)</f>
        <v/>
      </c>
      <c r="J79" s="378">
        <f>I79*VLOOKUP($B$10,'Base Costs'!$A$32:$B$37,2,FALSE)</f>
        <v/>
      </c>
      <c r="K79" s="379">
        <f>I79-G79</f>
        <v/>
      </c>
      <c r="L79" s="469" t="n"/>
      <c r="M79" s="469" t="n"/>
      <c r="N79" s="469" t="n"/>
      <c r="Q79" s="1133" t="n"/>
      <c r="R79" s="1133" t="n"/>
    </row>
    <row r="80" ht="15.75" customHeight="1" s="1085">
      <c r="A80" s="299" t="n">
        <v>269</v>
      </c>
      <c r="B80" s="269" t="inlineStr">
        <is>
          <t>GAS SOLONOID VALVE</t>
        </is>
      </c>
      <c r="C80" s="314" t="n"/>
      <c r="D80" s="269" t="inlineStr">
        <is>
          <t>32MM</t>
        </is>
      </c>
      <c r="E80" s="269" t="n"/>
      <c r="F80" s="380">
        <f>'Base Costs'!AX99</f>
        <v/>
      </c>
      <c r="G80" s="378">
        <f>C80*F80</f>
        <v/>
      </c>
      <c r="H80" s="381" t="n">
        <v>0.37</v>
      </c>
      <c r="I80" s="378">
        <f>G80/(1-H80)*(1+$C$10)</f>
        <v/>
      </c>
      <c r="J80" s="378">
        <f>I80*VLOOKUP($B$10,'Base Costs'!$A$32:$B$37,2,FALSE)</f>
        <v/>
      </c>
      <c r="K80" s="379">
        <f>I80-G80</f>
        <v/>
      </c>
      <c r="L80" s="469" t="n"/>
      <c r="M80" s="469" t="n"/>
      <c r="N80" s="469" t="n"/>
      <c r="Q80" s="1133" t="n"/>
      <c r="R80" s="1133" t="n"/>
    </row>
    <row r="81" ht="15.75" customHeight="1" s="1085">
      <c r="A81" s="299" t="n">
        <v>269</v>
      </c>
      <c r="B81" s="269" t="inlineStr">
        <is>
          <t>GAS SOLONOD VALVE</t>
        </is>
      </c>
      <c r="C81" s="314" t="n"/>
      <c r="D81" s="269" t="inlineStr">
        <is>
          <t>40MM</t>
        </is>
      </c>
      <c r="E81" s="269" t="n"/>
      <c r="F81" s="380">
        <f>'Base Costs'!AX100</f>
        <v/>
      </c>
      <c r="G81" s="378">
        <f>C81*F81</f>
        <v/>
      </c>
      <c r="H81" s="381" t="n">
        <v>0.37</v>
      </c>
      <c r="I81" s="378">
        <f>G81/(1-H81)*(1+$C$10)</f>
        <v/>
      </c>
      <c r="J81" s="378">
        <f>I81*VLOOKUP($B$10,'Base Costs'!$A$32:$B$37,2,FALSE)</f>
        <v/>
      </c>
      <c r="K81" s="379">
        <f>I81-G81</f>
        <v/>
      </c>
      <c r="L81" s="469" t="n"/>
      <c r="M81" s="469" t="n"/>
      <c r="N81" s="469" t="n"/>
      <c r="Q81" s="1133" t="n"/>
      <c r="R81" s="1133" t="n"/>
    </row>
    <row r="82" ht="15.75" customHeight="1" s="1085">
      <c r="A82" s="299" t="n">
        <v>269</v>
      </c>
      <c r="B82" s="269" t="inlineStr">
        <is>
          <t>GAS SOLONOID VALVE</t>
        </is>
      </c>
      <c r="C82" s="314" t="n"/>
      <c r="D82" s="269" t="inlineStr">
        <is>
          <t xml:space="preserve">50MM  </t>
        </is>
      </c>
      <c r="E82" s="269" t="n"/>
      <c r="F82" s="380">
        <f>'Base Costs'!AX101</f>
        <v/>
      </c>
      <c r="G82" s="378">
        <f>C82*F82</f>
        <v/>
      </c>
      <c r="H82" s="381" t="n">
        <v>0.37</v>
      </c>
      <c r="I82" s="378">
        <f>G82/(1-H82)*(1+$C$10)</f>
        <v/>
      </c>
      <c r="J82" s="378">
        <f>I82*VLOOKUP($B$10,'Base Costs'!$A$32:$B$37,2,FALSE)</f>
        <v/>
      </c>
      <c r="K82" s="379">
        <f>I82-G82</f>
        <v/>
      </c>
      <c r="L82" s="469" t="n"/>
      <c r="M82" s="469" t="n"/>
      <c r="N82" s="469" t="n"/>
      <c r="Q82" s="1133" t="n"/>
      <c r="R82" s="1133" t="n"/>
    </row>
    <row r="83" ht="15.75" customHeight="1" s="1085">
      <c r="C83" s="1138" t="n"/>
      <c r="F83" s="183" t="n"/>
      <c r="G83" s="183" t="n"/>
      <c r="H83" s="174" t="n"/>
      <c r="I83" s="183" t="n"/>
      <c r="J83" s="183" t="n"/>
      <c r="K83" s="183" t="n"/>
      <c r="Q83" s="1133" t="n"/>
      <c r="R83" s="1133" t="n"/>
    </row>
    <row r="84" ht="15.75" customHeight="1" s="1085">
      <c r="B84" s="24" t="inlineStr">
        <is>
          <t>WATER  (MF MECH)</t>
        </is>
      </c>
      <c r="C84" s="192" t="n"/>
      <c r="D84" s="194" t="n"/>
      <c r="E84" s="193" t="n"/>
      <c r="F84" s="298" t="n"/>
      <c r="G84" s="61">
        <f>SUBTOTAL(9,G85:G93)</f>
        <v/>
      </c>
      <c r="H84" s="39">
        <f>IF(G84=0,"-",K84/I84)</f>
        <v/>
      </c>
      <c r="I84" s="61">
        <f>SUBTOTAL(9,I85:I93)</f>
        <v/>
      </c>
      <c r="J84" s="465">
        <f>SUBTOTAL(9,J85:J93)</f>
        <v/>
      </c>
      <c r="K84" s="61">
        <f>SUBTOTAL(9,K85:K93)</f>
        <v/>
      </c>
      <c r="L84" s="469" t="n"/>
      <c r="M84" s="469" t="n"/>
      <c r="N84" s="469" t="n"/>
      <c r="Q84" s="1133" t="n"/>
      <c r="R84" s="1133" t="n"/>
    </row>
    <row r="85" ht="15.75" customHeight="1" s="1085">
      <c r="A85" s="299" t="n">
        <v>269</v>
      </c>
      <c r="B85" s="269" t="inlineStr">
        <is>
          <t>CWS MANIFOLD</t>
        </is>
      </c>
      <c r="C85" s="314" t="n"/>
      <c r="D85" s="269" t="inlineStr">
        <is>
          <t>28MM UP TO 6M</t>
        </is>
      </c>
      <c r="E85" s="269" t="n"/>
      <c r="F85" s="380">
        <f>'Base Costs'!AX103</f>
        <v/>
      </c>
      <c r="G85" s="378">
        <f>C85*F85</f>
        <v/>
      </c>
      <c r="H85" s="381" t="n">
        <v>0.37</v>
      </c>
      <c r="I85" s="378">
        <f>G85/(1-H85)*(1+$C$10)</f>
        <v/>
      </c>
      <c r="J85" s="378">
        <f>I85*VLOOKUP($B$10,'Base Costs'!$A$32:$B$37,2,FALSE)</f>
        <v/>
      </c>
      <c r="K85" s="379">
        <f>I85-G85</f>
        <v/>
      </c>
      <c r="L85" s="469" t="n"/>
      <c r="M85" s="469" t="n"/>
      <c r="N85" s="469" t="n"/>
      <c r="Q85" s="1133" t="n"/>
      <c r="R85" s="1133" t="n"/>
    </row>
    <row r="86" ht="15.75" customHeight="1" s="1085">
      <c r="A86" s="299" t="n">
        <v>269</v>
      </c>
      <c r="B86" s="269" t="inlineStr">
        <is>
          <t>CWS MANIFOLD</t>
        </is>
      </c>
      <c r="C86" s="314" t="n"/>
      <c r="D86" s="269" t="inlineStr">
        <is>
          <t>22MM UP TO 6M</t>
        </is>
      </c>
      <c r="E86" s="269" t="n"/>
      <c r="F86" s="380">
        <f>'Base Costs'!AX104</f>
        <v/>
      </c>
      <c r="G86" s="378">
        <f>C86*F86</f>
        <v/>
      </c>
      <c r="H86" s="381" t="n">
        <v>0.37</v>
      </c>
      <c r="I86" s="378">
        <f>G86/(1-H86)*(1+$C$10)</f>
        <v/>
      </c>
      <c r="J86" s="378">
        <f>I86*VLOOKUP($B$10,'Base Costs'!$A$32:$B$37,2,FALSE)</f>
        <v/>
      </c>
      <c r="K86" s="379">
        <f>I86-G86</f>
        <v/>
      </c>
      <c r="L86" s="469" t="n"/>
      <c r="M86" s="469" t="n"/>
      <c r="N86" s="469" t="n"/>
      <c r="Q86" s="1133" t="n"/>
      <c r="R86" s="1133" t="n"/>
    </row>
    <row r="87" ht="15.75" customHeight="1" s="1085">
      <c r="A87" s="299" t="n">
        <v>269</v>
      </c>
      <c r="B87" s="269" t="inlineStr">
        <is>
          <t>CWS MANIFOLD</t>
        </is>
      </c>
      <c r="C87" s="314" t="n"/>
      <c r="D87" s="269" t="inlineStr">
        <is>
          <t>15MM UP TO 6M</t>
        </is>
      </c>
      <c r="E87" s="269" t="n"/>
      <c r="F87" s="380">
        <f>'Base Costs'!AX105</f>
        <v/>
      </c>
      <c r="G87" s="378">
        <f>C87*F87</f>
        <v/>
      </c>
      <c r="H87" s="381" t="n">
        <v>0.37</v>
      </c>
      <c r="I87" s="378">
        <f>G87/(1-H87)*(1+$C$10)</f>
        <v/>
      </c>
      <c r="J87" s="378">
        <f>I87*VLOOKUP($B$10,'Base Costs'!$A$32:$B$37,2,FALSE)</f>
        <v/>
      </c>
      <c r="K87" s="379">
        <f>I87-G87</f>
        <v/>
      </c>
      <c r="L87" s="469" t="n"/>
      <c r="M87" s="469" t="n"/>
      <c r="N87" s="469" t="n"/>
      <c r="Q87" s="1133" t="n"/>
      <c r="R87" s="1133" t="n"/>
    </row>
    <row r="88" ht="15.75" customHeight="1" s="1085">
      <c r="A88" s="299" t="n">
        <v>269</v>
      </c>
      <c r="B88" s="269" t="inlineStr">
        <is>
          <t>HWS MANIFOLD</t>
        </is>
      </c>
      <c r="C88" s="314" t="n"/>
      <c r="D88" s="269" t="inlineStr">
        <is>
          <t>22/15MM UP TO 6M</t>
        </is>
      </c>
      <c r="E88" s="269" t="n"/>
      <c r="F88" s="380">
        <f>'Base Costs'!AX106</f>
        <v/>
      </c>
      <c r="G88" s="378">
        <f>C88*F88</f>
        <v/>
      </c>
      <c r="H88" s="381" t="n">
        <v>0.37</v>
      </c>
      <c r="I88" s="378">
        <f>G88/(1-H88)*(1+$C$10)</f>
        <v/>
      </c>
      <c r="J88" s="378">
        <f>I88*VLOOKUP($B$10,'Base Costs'!$A$32:$B$37,2,FALSE)</f>
        <v/>
      </c>
      <c r="K88" s="379">
        <f>I88-G88</f>
        <v/>
      </c>
      <c r="L88" s="469" t="n"/>
      <c r="M88" s="469" t="n"/>
      <c r="N88" s="469" t="n"/>
      <c r="Q88" s="1133" t="n"/>
      <c r="R88" s="1133" t="n"/>
    </row>
    <row r="89" ht="15.75" customHeight="1" s="1085">
      <c r="A89" s="299" t="n">
        <v>269</v>
      </c>
      <c r="B89" s="269" t="inlineStr">
        <is>
          <t>WATER CONNECTION</t>
        </is>
      </c>
      <c r="C89" s="314" t="n"/>
      <c r="D89" s="269" t="inlineStr">
        <is>
          <t xml:space="preserve">15MM </t>
        </is>
      </c>
      <c r="E89" s="269" t="n"/>
      <c r="F89" s="380">
        <f>'Base Costs'!AX107</f>
        <v/>
      </c>
      <c r="G89" s="378">
        <f>C89*F89</f>
        <v/>
      </c>
      <c r="H89" s="381" t="n">
        <v>0.37</v>
      </c>
      <c r="I89" s="378">
        <f>G89/(1-H89)*(1+$C$10)</f>
        <v/>
      </c>
      <c r="J89" s="378">
        <f>I89*VLOOKUP($B$10,'Base Costs'!$A$32:$B$37,2,FALSE)</f>
        <v/>
      </c>
      <c r="K89" s="379">
        <f>I89-G89</f>
        <v/>
      </c>
      <c r="L89" s="469" t="n"/>
      <c r="M89" s="469" t="n"/>
      <c r="N89" s="469" t="n"/>
      <c r="Q89" s="1133" t="n"/>
      <c r="R89" s="1133" t="n"/>
    </row>
    <row r="90" ht="15.75" customHeight="1" s="1085">
      <c r="A90" s="299" t="n">
        <v>269</v>
      </c>
      <c r="B90" s="269" t="inlineStr">
        <is>
          <t>WATER CONNECTION</t>
        </is>
      </c>
      <c r="C90" s="314" t="n"/>
      <c r="D90" s="269" t="inlineStr">
        <is>
          <t xml:space="preserve">22MM </t>
        </is>
      </c>
      <c r="E90" s="269" t="n"/>
      <c r="F90" s="380">
        <f>'Base Costs'!AX108</f>
        <v/>
      </c>
      <c r="G90" s="378">
        <f>C90*F90</f>
        <v/>
      </c>
      <c r="H90" s="381" t="n">
        <v>0.37</v>
      </c>
      <c r="I90" s="378">
        <f>G90/(1-H90)*(1+$C$10)</f>
        <v/>
      </c>
      <c r="J90" s="378">
        <f>I90*VLOOKUP($B$10,'Base Costs'!$A$32:$B$37,2,FALSE)</f>
        <v/>
      </c>
      <c r="K90" s="379">
        <f>I90-G90</f>
        <v/>
      </c>
      <c r="L90" s="469" t="n"/>
      <c r="M90" s="469" t="n"/>
      <c r="N90" s="469" t="n"/>
      <c r="Q90" s="1133" t="n"/>
      <c r="R90" s="1133" t="n"/>
    </row>
    <row r="91" ht="15.75" customHeight="1" s="1085">
      <c r="A91" s="299" t="n">
        <v>269</v>
      </c>
      <c r="B91" s="269" t="inlineStr">
        <is>
          <t>WATER CONNECTION</t>
        </is>
      </c>
      <c r="C91" s="314" t="n"/>
      <c r="D91" s="269" t="inlineStr">
        <is>
          <t xml:space="preserve">28MM </t>
        </is>
      </c>
      <c r="E91" s="269" t="n"/>
      <c r="F91" s="380">
        <f>'Base Costs'!AX109</f>
        <v/>
      </c>
      <c r="G91" s="378">
        <f>C91*F91</f>
        <v/>
      </c>
      <c r="H91" s="381" t="n">
        <v>0.37</v>
      </c>
      <c r="I91" s="378">
        <f>G91/(1-H91)*(1+$C$10)</f>
        <v/>
      </c>
      <c r="J91" s="378">
        <f>I91*VLOOKUP($B$10,'Base Costs'!$A$32:$B$37,2,FALSE)</f>
        <v/>
      </c>
      <c r="K91" s="379">
        <f>I91-G91</f>
        <v/>
      </c>
      <c r="L91" s="469" t="n"/>
      <c r="M91" s="469" t="n"/>
      <c r="N91" s="469" t="n"/>
      <c r="Q91" s="1133" t="n"/>
      <c r="R91" s="1133" t="n"/>
    </row>
    <row r="92" ht="15.75" customHeight="1" s="1085">
      <c r="A92" s="299" t="n">
        <v>269</v>
      </c>
      <c r="B92" s="269" t="inlineStr">
        <is>
          <t>INSULATION</t>
        </is>
      </c>
      <c r="C92" s="314" t="n"/>
      <c r="D92" s="269" t="inlineStr">
        <is>
          <t>PER METRE</t>
        </is>
      </c>
      <c r="E92" s="269" t="n"/>
      <c r="F92" s="380">
        <f>'Base Costs'!AX110</f>
        <v/>
      </c>
      <c r="G92" s="378">
        <f>C92*F92</f>
        <v/>
      </c>
      <c r="H92" s="381" t="n">
        <v>0.37</v>
      </c>
      <c r="I92" s="378">
        <f>G92/(1-H92)*(1+$C$10)</f>
        <v/>
      </c>
      <c r="J92" s="378">
        <f>I92*VLOOKUP($B$10,'Base Costs'!$A$32:$B$37,2,FALSE)</f>
        <v/>
      </c>
      <c r="K92" s="379">
        <f>I92-G92</f>
        <v/>
      </c>
      <c r="L92" s="469" t="n"/>
      <c r="M92" s="469" t="n"/>
      <c r="N92" s="469" t="n"/>
      <c r="Q92" s="1133" t="n"/>
      <c r="R92" s="1133" t="n"/>
    </row>
    <row r="93" ht="15.75" customHeight="1" s="1085">
      <c r="A93" s="299" t="n">
        <v>269</v>
      </c>
      <c r="B93" s="269" t="inlineStr">
        <is>
          <t>TAPS (FAUCETS)</t>
        </is>
      </c>
      <c r="C93" s="314" t="n"/>
      <c r="D93" s="269" t="inlineStr">
        <is>
          <t>MECSERFLEX B-594</t>
        </is>
      </c>
      <c r="E93" s="269" t="n"/>
      <c r="F93" s="380">
        <f>'Base Costs'!AX111</f>
        <v/>
      </c>
      <c r="G93" s="378">
        <f>C93*F93</f>
        <v/>
      </c>
      <c r="H93" s="381" t="n">
        <v>0.37</v>
      </c>
      <c r="I93" s="378">
        <f>G93/(1-H93)*(1+$C$10)</f>
        <v/>
      </c>
      <c r="J93" s="378">
        <f>I93*VLOOKUP($B$10,'Base Costs'!$A$32:$B$37,2,FALSE)</f>
        <v/>
      </c>
      <c r="K93" s="379">
        <f>I93-G93</f>
        <v/>
      </c>
      <c r="L93" s="469" t="n"/>
      <c r="M93" s="469" t="n"/>
      <c r="N93" s="469" t="n"/>
      <c r="Q93" s="1133" t="n"/>
      <c r="R93" s="1133" t="n"/>
    </row>
    <row r="94" ht="15.75" customHeight="1" s="1085">
      <c r="B94" s="190" t="n"/>
      <c r="C94" s="186" t="n"/>
      <c r="D94" s="190" t="n"/>
      <c r="E94" s="190" t="n"/>
      <c r="F94" s="195" t="n"/>
      <c r="G94" s="169" t="n"/>
      <c r="H94" s="196" t="n"/>
      <c r="I94" s="169" t="n"/>
      <c r="J94" s="169" t="n"/>
      <c r="L94" s="469" t="n"/>
      <c r="M94" s="469" t="n"/>
      <c r="N94" s="469" t="n"/>
      <c r="Q94" s="1133" t="n"/>
      <c r="R94" s="1133" t="n"/>
    </row>
    <row r="95" ht="15.75" customHeight="1" s="1085">
      <c r="B95" s="24" t="inlineStr">
        <is>
          <t>DELIVERY &amp; INSTALLATION</t>
        </is>
      </c>
      <c r="C95" s="24" t="n"/>
      <c r="D95" s="24" t="n"/>
      <c r="E95" s="24" t="n"/>
      <c r="F95" s="24" t="n"/>
      <c r="G95" s="61">
        <f>SUBTOTAL(9,G96:G102)</f>
        <v/>
      </c>
      <c r="H95" s="39">
        <f>IF(G95=0,"-",K95/I95)</f>
        <v/>
      </c>
      <c r="I95" s="61">
        <f>SUBTOTAL(9,I96:I102)</f>
        <v/>
      </c>
      <c r="J95" s="465">
        <f>SUBTOTAL(9,J96:J102)</f>
        <v/>
      </c>
      <c r="K95" s="61">
        <f>SUBTOTAL(9,K96:K102)</f>
        <v/>
      </c>
      <c r="L95" s="469" t="n"/>
      <c r="M95" s="469" t="n"/>
      <c r="N95" s="469" t="n"/>
      <c r="Q95" s="1133" t="n"/>
      <c r="R95" s="1133" t="n"/>
    </row>
    <row r="96" ht="15.75" customHeight="1" s="1085">
      <c r="A96" s="299" t="n">
        <v>220</v>
      </c>
      <c r="B96" s="589" t="inlineStr">
        <is>
          <t>DELIVERY x 1.5 for multple loads</t>
        </is>
      </c>
      <c r="C96" s="314" t="n"/>
      <c r="D96" s="269" t="n"/>
      <c r="E96" s="269" t="n"/>
      <c r="F96" s="380">
        <f>'Base Costs'!AX113</f>
        <v/>
      </c>
      <c r="G96" s="378">
        <f>C96*F96</f>
        <v/>
      </c>
      <c r="H96" s="381" t="n">
        <v>0.33</v>
      </c>
      <c r="I96" s="378">
        <f>G96/(1-H96)*(1+$C$10)</f>
        <v/>
      </c>
      <c r="J96" s="378">
        <f>I96*VLOOKUP($B$10,'Base Costs'!$A$32:$B$37,2,FALSE)</f>
        <v/>
      </c>
      <c r="K96" s="379">
        <f>I96-G96</f>
        <v/>
      </c>
      <c r="L96" s="469" t="n"/>
      <c r="M96" s="469" t="n"/>
      <c r="N96" s="469" t="n"/>
      <c r="Q96" s="1133" t="n"/>
      <c r="R96" s="1133" t="n"/>
    </row>
    <row r="97" ht="15.75" customHeight="1" s="1085">
      <c r="A97" s="299" t="n">
        <v>222</v>
      </c>
      <c r="B97" s="269" t="inlineStr">
        <is>
          <t>DELIVERY C/W CANOPY</t>
        </is>
      </c>
      <c r="C97" s="314" t="n"/>
      <c r="D97" s="316" t="inlineStr">
        <is>
          <t>SELECT LOCATION…</t>
        </is>
      </c>
      <c r="E97" s="270" t="n"/>
      <c r="F97" s="380">
        <f>VLOOKUP(D97,'Base Costs'!E4:G213,2,FALSE)</f>
        <v/>
      </c>
      <c r="G97" s="378">
        <f>C97*F97</f>
        <v/>
      </c>
      <c r="H97" s="381" t="n">
        <v>0.33</v>
      </c>
      <c r="I97" s="378">
        <f>G97/(1-H97)*(1+$C$10)</f>
        <v/>
      </c>
      <c r="J97" s="378">
        <f>I97*VLOOKUP($B$10,'Base Costs'!$A$32:$B$37,2,FALSE)</f>
        <v/>
      </c>
      <c r="K97" s="379">
        <f>I97-G97</f>
        <v/>
      </c>
      <c r="L97" s="469" t="n"/>
      <c r="M97" s="469" t="n"/>
      <c r="N97" s="469" t="n"/>
      <c r="Q97" s="1133" t="n"/>
      <c r="R97" s="1133" t="n"/>
    </row>
    <row r="98" ht="15.75" customHeight="1" s="1085">
      <c r="A98" s="299" t="n">
        <v>265</v>
      </c>
      <c r="B98" s="269" t="inlineStr">
        <is>
          <t>INSTALLATION</t>
        </is>
      </c>
      <c r="C98" s="314" t="n"/>
      <c r="D98" s="269" t="inlineStr">
        <is>
          <t>CARCASS</t>
        </is>
      </c>
      <c r="E98" s="269" t="n"/>
      <c r="F98" s="380" t="n">
        <v>610</v>
      </c>
      <c r="G98" s="378">
        <f>C98*F98</f>
        <v/>
      </c>
      <c r="H98" s="381" t="n">
        <v>0.4</v>
      </c>
      <c r="I98" s="378">
        <f>G98/(1-H98)*(1+$C$10)</f>
        <v/>
      </c>
      <c r="J98" s="378">
        <f>I98*VLOOKUP($B$10,'Base Costs'!$A$32:$B$37,2,FALSE)</f>
        <v/>
      </c>
      <c r="K98" s="379">
        <f>I98-G98</f>
        <v/>
      </c>
      <c r="L98" s="469" t="n"/>
      <c r="M98" s="469" t="n"/>
      <c r="N98" s="469" t="n"/>
      <c r="Q98" s="1133" t="n"/>
      <c r="R98" s="1133" t="n"/>
    </row>
    <row r="99" ht="15.75" customHeight="1" s="1085">
      <c r="A99" s="299" t="n">
        <v>267</v>
      </c>
      <c r="B99" s="269" t="inlineStr">
        <is>
          <t>INSTALLATION</t>
        </is>
      </c>
      <c r="C99" s="314" t="n"/>
      <c r="D99" s="1135" t="inlineStr">
        <is>
          <t>M&amp;E SERVICES/Pre Commission from Service</t>
        </is>
      </c>
      <c r="F99" s="380" t="n">
        <v>610</v>
      </c>
      <c r="G99" s="378">
        <f>C99*F99</f>
        <v/>
      </c>
      <c r="H99" s="381" t="n">
        <v>0.4</v>
      </c>
      <c r="I99" s="378">
        <f>G99/(1-H99)*(1+$C$10)</f>
        <v/>
      </c>
      <c r="J99" s="378">
        <f>I99*VLOOKUP($B$10,'Base Costs'!$A$32:$B$37,2,FALSE)</f>
        <v/>
      </c>
      <c r="K99" s="379">
        <f>I99-G99</f>
        <v/>
      </c>
      <c r="L99" s="469" t="n"/>
      <c r="M99" s="469" t="n"/>
      <c r="N99" s="469" t="n"/>
      <c r="Q99" s="1133" t="n"/>
      <c r="R99" s="1133" t="n"/>
    </row>
    <row r="100" ht="15.75" customHeight="1" s="1085">
      <c r="A100" s="299" t="n">
        <v>253</v>
      </c>
      <c r="B100" s="269" t="inlineStr">
        <is>
          <t>OVERNIGHT</t>
        </is>
      </c>
      <c r="C100" s="314" t="n"/>
      <c r="D100" s="269" t="n"/>
      <c r="E100" s="269" t="n"/>
      <c r="F100" s="380">
        <f>'Base Costs'!AX117</f>
        <v/>
      </c>
      <c r="G100" s="378">
        <f>C100*F100</f>
        <v/>
      </c>
      <c r="H100" s="381" t="n">
        <v>0.33</v>
      </c>
      <c r="I100" s="378">
        <f>G100/(1-H100)*(1+$C$10)</f>
        <v/>
      </c>
      <c r="J100" s="378">
        <f>I100*VLOOKUP($B$10,'Base Costs'!$A$32:$B$37,2,FALSE)</f>
        <v/>
      </c>
      <c r="K100" s="379">
        <f>I100-G100</f>
        <v/>
      </c>
      <c r="L100" s="469" t="n"/>
      <c r="M100" s="469" t="n"/>
      <c r="N100" s="469" t="n"/>
      <c r="Q100" s="1133" t="n"/>
      <c r="R100" s="1133" t="n"/>
    </row>
    <row r="101" ht="15.75" customHeight="1" s="1085">
      <c r="A101" s="299" t="n">
        <v>102</v>
      </c>
      <c r="B101" s="269" t="inlineStr">
        <is>
          <t xml:space="preserve">CONSUMABLES </t>
        </is>
      </c>
      <c r="C101" s="314" t="n"/>
      <c r="D101" s="269" t="n"/>
      <c r="E101" s="269" t="n"/>
      <c r="F101" s="380">
        <f>'Base Costs'!AX118</f>
        <v/>
      </c>
      <c r="G101" s="378">
        <f>C101*F101</f>
        <v/>
      </c>
      <c r="H101" s="381" t="n">
        <v>0.33</v>
      </c>
      <c r="I101" s="378">
        <f>G101/(1-H101)*(1+$C$10)</f>
        <v/>
      </c>
      <c r="J101" s="378">
        <f>I101*VLOOKUP($B$10,'Base Costs'!$A$32:$B$37,2,FALSE)</f>
        <v/>
      </c>
      <c r="K101" s="379">
        <f>I101-G101</f>
        <v/>
      </c>
      <c r="L101" s="469" t="n"/>
      <c r="M101" s="469" t="n"/>
      <c r="N101" s="469" t="n"/>
      <c r="Q101" s="1133" t="n"/>
      <c r="R101" s="1133" t="n"/>
    </row>
    <row r="102" ht="15.75" customHeight="1" s="1085">
      <c r="A102" s="299" t="n">
        <v>280</v>
      </c>
      <c r="B102" s="269" t="inlineStr">
        <is>
          <t>SITE LIVE TEST</t>
        </is>
      </c>
      <c r="C102" s="314" t="n"/>
      <c r="D102" s="269" t="inlineStr">
        <is>
          <t>OPTION</t>
        </is>
      </c>
      <c r="E102" s="315" t="n"/>
      <c r="F102" s="380" t="n">
        <v>604</v>
      </c>
      <c r="G102" s="378">
        <f>C102*F102</f>
        <v/>
      </c>
      <c r="H102" s="381" t="n">
        <v>0.33</v>
      </c>
      <c r="I102" s="378">
        <f>G102/(1-H102)*(1+$C$10)</f>
        <v/>
      </c>
      <c r="J102" s="378">
        <f>I102*VLOOKUP($B$10,'Base Costs'!$A$32:$B$37,2,FALSE)</f>
        <v/>
      </c>
      <c r="K102" s="379">
        <f>I102-G102</f>
        <v/>
      </c>
      <c r="L102" s="469" t="n"/>
      <c r="M102" s="469" t="n"/>
      <c r="N102" s="469" t="n"/>
      <c r="Q102" s="1133" t="n"/>
      <c r="R102" s="1133" t="n"/>
    </row>
    <row r="103" ht="15.75" customHeight="1" s="1085">
      <c r="B103" s="190" t="n"/>
      <c r="C103" s="186" t="n"/>
      <c r="D103" s="190" t="n"/>
      <c r="E103" s="190" t="n"/>
      <c r="F103" s="169" t="n"/>
      <c r="G103" s="169" t="n"/>
      <c r="H103" s="191" t="n"/>
      <c r="I103" s="169" t="n"/>
      <c r="J103" s="169" t="n"/>
      <c r="K103" s="183" t="n"/>
      <c r="L103" s="469" t="n"/>
      <c r="M103" s="469" t="n"/>
      <c r="N103" s="469" t="n"/>
      <c r="O103" s="184" t="n"/>
      <c r="P103" s="184" t="n"/>
    </row>
    <row r="104" ht="15.75" customHeight="1" s="1085">
      <c r="B104" s="197" t="inlineStr">
        <is>
          <t>Office Use Only</t>
        </is>
      </c>
      <c r="C104" s="198" t="n"/>
      <c r="D104" s="199" t="n"/>
      <c r="E104" s="199" t="n"/>
      <c r="F104" s="198" t="n"/>
      <c r="G104" s="200" t="n"/>
      <c r="H104" s="198" t="n"/>
      <c r="I104" s="198" t="n"/>
      <c r="J104" s="198" t="n"/>
      <c r="K104" s="198" t="n"/>
      <c r="L104" s="469" t="n"/>
      <c r="M104" s="469" t="n"/>
      <c r="N104" s="469" t="n"/>
      <c r="O104" s="1129" t="n"/>
    </row>
    <row r="105" ht="15.75" customHeight="1" s="1085">
      <c r="A105" s="299" t="n">
        <v>268</v>
      </c>
      <c r="B105" s="577" t="inlineStr">
        <is>
          <t>Carcass Total</t>
        </is>
      </c>
      <c r="C105" s="901">
        <f>$J$13+$J$98+$J$101</f>
        <v/>
      </c>
      <c r="D105" s="202" t="n"/>
      <c r="E105" s="204" t="n"/>
      <c r="F105" s="202" t="n"/>
      <c r="G105" s="209" t="n"/>
      <c r="H105" s="203" t="n"/>
      <c r="I105" s="203" t="n"/>
      <c r="J105" s="203" t="n"/>
      <c r="K105" s="205" t="n"/>
    </row>
    <row r="106" ht="15.75" customHeight="1" s="1085">
      <c r="A106" s="299" t="n">
        <v>270</v>
      </c>
      <c r="B106" s="577" t="inlineStr">
        <is>
          <t>Services Total</t>
        </is>
      </c>
      <c r="C106" s="901">
        <f>$J$34+$J$70+$J$84+$J$99</f>
        <v/>
      </c>
      <c r="D106" s="202" t="n"/>
      <c r="E106" s="204" t="n"/>
      <c r="F106" s="202" t="n"/>
      <c r="G106" s="209" t="n"/>
      <c r="H106" s="203" t="n"/>
      <c r="I106" s="203" t="n"/>
      <c r="J106" s="203" t="n"/>
      <c r="K106" s="205" t="n"/>
    </row>
    <row r="107" ht="15.75" customHeight="1" s="1085">
      <c r="A107" s="299" t="n">
        <v>266</v>
      </c>
      <c r="B107" s="577" t="inlineStr">
        <is>
          <t>Delivery Total</t>
        </is>
      </c>
      <c r="C107" s="577">
        <f>J96+J97+J100</f>
        <v/>
      </c>
      <c r="D107" s="202" t="n"/>
      <c r="E107" s="204" t="n"/>
      <c r="F107" s="202" t="n"/>
      <c r="G107" s="209" t="n"/>
      <c r="H107" s="203" t="n"/>
      <c r="I107" s="203" t="n"/>
      <c r="J107" s="203" t="n"/>
      <c r="K107" s="209" t="n"/>
    </row>
    <row r="108" ht="15.75" customHeight="1" s="1085" thickBot="1">
      <c r="A108" s="299" t="n">
        <v>269</v>
      </c>
      <c r="B108" s="579" t="inlineStr">
        <is>
          <t>TOTAL (rounded)</t>
        </is>
      </c>
      <c r="C108" s="901">
        <f>C105+C106+C107</f>
        <v/>
      </c>
      <c r="D108" s="202" t="n"/>
      <c r="E108" s="204" t="n"/>
      <c r="F108" s="202" t="n"/>
      <c r="G108" s="209" t="n"/>
      <c r="H108" s="206" t="n"/>
      <c r="I108" s="203" t="n"/>
      <c r="J108" s="203" t="n"/>
      <c r="K108" s="209" t="n"/>
    </row>
    <row r="109" ht="15.75" customHeight="1" s="1085" thickBot="1">
      <c r="A109" s="299" t="n">
        <v>280</v>
      </c>
      <c r="B109" s="580" t="inlineStr">
        <is>
          <t>Include live test</t>
        </is>
      </c>
      <c r="C109" s="902">
        <f>C108+J102</f>
        <v/>
      </c>
      <c r="D109" s="202" t="n"/>
      <c r="E109" s="202" t="n"/>
      <c r="F109" s="202" t="n"/>
      <c r="G109" s="207" t="n"/>
      <c r="H109" s="209" t="n"/>
      <c r="I109" s="203" t="n"/>
      <c r="J109" s="203" t="n"/>
      <c r="K109" s="205" t="n"/>
    </row>
    <row r="110" ht="15.75" customHeight="1" s="1085">
      <c r="B110" s="202" t="n"/>
      <c r="C110" s="202" t="n"/>
      <c r="D110" s="202" t="n"/>
      <c r="E110" s="202" t="n"/>
      <c r="F110" s="202" t="n"/>
      <c r="G110" s="207" t="n"/>
      <c r="H110" s="209" t="n"/>
      <c r="I110" s="203" t="n"/>
      <c r="J110" s="203" t="n"/>
      <c r="K110" s="205" t="n"/>
    </row>
    <row r="111" ht="15.75" customHeight="1" s="1085">
      <c r="D111" s="208" t="n"/>
    </row>
    <row r="112" ht="15.75" customHeight="1" s="1085">
      <c r="D112" s="201" t="n"/>
    </row>
    <row r="113" ht="15.75" customHeight="1" s="1085">
      <c r="D113" s="208" t="n"/>
    </row>
    <row r="114" ht="15.75" customHeight="1" s="1085">
      <c r="D114" s="208" t="n"/>
    </row>
    <row r="115" ht="15.75" customHeight="1" s="1085">
      <c r="D115" s="201" t="n"/>
    </row>
    <row r="116" ht="15.75" customHeight="1" s="1085">
      <c r="B116" s="172" t="n"/>
      <c r="C116" s="172" t="n"/>
      <c r="D116" s="172" t="n"/>
    </row>
    <row r="117" ht="15.75" customHeight="1" s="1085">
      <c r="B117" s="172" t="n"/>
      <c r="C117" s="172" t="n"/>
      <c r="D117" s="172" t="n"/>
    </row>
  </sheetData>
  <mergeCells count="49">
    <mergeCell ref="Q13:R13"/>
    <mergeCell ref="C6:D6"/>
    <mergeCell ref="Y36:AB36"/>
    <mergeCell ref="Y49:AB49"/>
    <mergeCell ref="O68:P68"/>
    <mergeCell ref="O34:P34"/>
    <mergeCell ref="B1:D1"/>
    <mergeCell ref="S36:V36"/>
    <mergeCell ref="D99:E99"/>
    <mergeCell ref="F8:H8"/>
    <mergeCell ref="S35:V35"/>
    <mergeCell ref="N8:P8"/>
    <mergeCell ref="O39:P39"/>
    <mergeCell ref="O36:P36"/>
    <mergeCell ref="C4:D4"/>
    <mergeCell ref="Y41:AB41"/>
    <mergeCell ref="E10:F10"/>
    <mergeCell ref="O49:P49"/>
    <mergeCell ref="O65:P65"/>
    <mergeCell ref="O63:P63"/>
    <mergeCell ref="I4:K4"/>
    <mergeCell ref="O41:P41"/>
    <mergeCell ref="O35:P35"/>
    <mergeCell ref="O57:P57"/>
    <mergeCell ref="O59:P59"/>
    <mergeCell ref="K8:L8"/>
    <mergeCell ref="S39:V39"/>
    <mergeCell ref="Y39:AB39"/>
    <mergeCell ref="O40:P40"/>
    <mergeCell ref="Y35:AB35"/>
    <mergeCell ref="F4:H4"/>
    <mergeCell ref="O62:P62"/>
    <mergeCell ref="O56:P56"/>
    <mergeCell ref="O61:P61"/>
    <mergeCell ref="O58:P58"/>
    <mergeCell ref="C8:D8"/>
    <mergeCell ref="I6:K6"/>
    <mergeCell ref="O64:P64"/>
    <mergeCell ref="O60:P60"/>
    <mergeCell ref="F6:H6"/>
    <mergeCell ref="S37:V37"/>
    <mergeCell ref="O67:P67"/>
    <mergeCell ref="S40:V40"/>
    <mergeCell ref="Y40:AB40"/>
    <mergeCell ref="Y34:AB34"/>
    <mergeCell ref="O66:P66"/>
    <mergeCell ref="S34:V34"/>
    <mergeCell ref="O37:P37"/>
    <mergeCell ref="Y37:AB37"/>
  </mergeCells>
  <conditionalFormatting sqref="B10">
    <cfRule type="expression" priority="121" dxfId="680">
      <formula>B10="CURRENCY"</formula>
    </cfRule>
    <cfRule type="containsText" priority="114" operator="containsText" dxfId="680" text="SELECT">
      <formula>NOT(ISERROR(SEARCH("SELECT",B10)))</formula>
    </cfRule>
  </conditionalFormatting>
  <conditionalFormatting sqref="B14:B40">
    <cfRule type="expression" priority="33" dxfId="633">
      <formula>$C14&gt;0</formula>
    </cfRule>
  </conditionalFormatting>
  <conditionalFormatting sqref="B35 B41:B56">
    <cfRule type="expression" priority="5157" dxfId="633">
      <formula>$D35&gt;0</formula>
    </cfRule>
  </conditionalFormatting>
  <conditionalFormatting sqref="B57:B68">
    <cfRule type="expression" priority="64" dxfId="633">
      <formula>$C57&gt;0</formula>
    </cfRule>
  </conditionalFormatting>
  <conditionalFormatting sqref="B71:B82">
    <cfRule type="expression" priority="61" dxfId="633">
      <formula>$C71&gt;0</formula>
    </cfRule>
  </conditionalFormatting>
  <conditionalFormatting sqref="B85:B93">
    <cfRule type="expression" priority="60" dxfId="633">
      <formula>$C85&gt;0</formula>
    </cfRule>
  </conditionalFormatting>
  <conditionalFormatting sqref="B96:B102">
    <cfRule type="expression" priority="58" dxfId="633">
      <formula>$C96&gt;0</formula>
    </cfRule>
  </conditionalFormatting>
  <conditionalFormatting sqref="C14:C32 C71:C82 C85:C93">
    <cfRule type="cellIs" priority="127" operator="equal" dxfId="164">
      <formula>0</formula>
    </cfRule>
  </conditionalFormatting>
  <conditionalFormatting sqref="C35:C68">
    <cfRule type="cellIs" priority="21" operator="equal" dxfId="164">
      <formula>0</formula>
    </cfRule>
  </conditionalFormatting>
  <conditionalFormatting sqref="C96:C102">
    <cfRule type="cellIs" priority="57" operator="equal" dxfId="164">
      <formula>0</formula>
    </cfRule>
  </conditionalFormatting>
  <conditionalFormatting sqref="C10:D10">
    <cfRule type="cellIs" priority="107" operator="greaterThan" dxfId="552">
      <formula>0</formula>
    </cfRule>
    <cfRule type="cellIs" priority="106" operator="lessThan" dxfId="207">
      <formula>0</formula>
    </cfRule>
  </conditionalFormatting>
  <conditionalFormatting sqref="F14:F68">
    <cfRule type="expression" priority="1" dxfId="10537">
      <formula>C14&gt;0</formula>
    </cfRule>
  </conditionalFormatting>
  <conditionalFormatting sqref="F35:F64">
    <cfRule type="expression" priority="2" dxfId="10537">
      <formula>D35&gt;0</formula>
    </cfRule>
  </conditionalFormatting>
  <conditionalFormatting sqref="F71:F82">
    <cfRule type="expression" priority="99" dxfId="10537">
      <formula>C71&gt;0</formula>
    </cfRule>
  </conditionalFormatting>
  <conditionalFormatting sqref="F85:F93">
    <cfRule type="expression" priority="94" dxfId="10537">
      <formula>C85&gt;0</formula>
    </cfRule>
  </conditionalFormatting>
  <conditionalFormatting sqref="F96:F102">
    <cfRule type="expression" priority="97" dxfId="10537">
      <formula>C96&gt;0</formula>
    </cfRule>
  </conditionalFormatting>
  <conditionalFormatting sqref="G14:G32">
    <cfRule type="cellIs" priority="93" operator="greaterThan" dxfId="141">
      <formula>0</formula>
    </cfRule>
  </conditionalFormatting>
  <conditionalFormatting sqref="G35:G68">
    <cfRule type="cellIs" priority="3" operator="greaterThan" dxfId="141">
      <formula>0</formula>
    </cfRule>
  </conditionalFormatting>
  <conditionalFormatting sqref="G71:G82 G85:G93 G96:G102">
    <cfRule type="cellIs" priority="92" operator="greaterThan" dxfId="141">
      <formula>0</formula>
    </cfRule>
  </conditionalFormatting>
  <conditionalFormatting sqref="H14:H32">
    <cfRule type="expression" priority="286" dxfId="175">
      <formula>$C$10&lt;0</formula>
    </cfRule>
    <cfRule type="expression" priority="285" dxfId="552">
      <formula>$C$10&gt;0</formula>
    </cfRule>
  </conditionalFormatting>
  <conditionalFormatting sqref="H35:H68">
    <cfRule type="expression" priority="17" dxfId="552">
      <formula>$C$10&gt;0</formula>
    </cfRule>
  </conditionalFormatting>
  <conditionalFormatting sqref="H35:H82">
    <cfRule type="expression" priority="72" dxfId="175">
      <formula>$C$10&lt;0</formula>
    </cfRule>
  </conditionalFormatting>
  <conditionalFormatting sqref="H40:H68">
    <cfRule type="expression" priority="18" dxfId="175">
      <formula>$C$10&lt;0</formula>
    </cfRule>
  </conditionalFormatting>
  <conditionalFormatting sqref="H71:H82">
    <cfRule type="expression" priority="71" dxfId="552">
      <formula>$C$10&gt;0</formula>
    </cfRule>
  </conditionalFormatting>
  <conditionalFormatting sqref="H85:H93">
    <cfRule type="expression" priority="68" dxfId="175">
      <formula>$C$10&lt;0</formula>
    </cfRule>
    <cfRule type="expression" priority="67" dxfId="552">
      <formula>$C$10&gt;0</formula>
    </cfRule>
  </conditionalFormatting>
  <conditionalFormatting sqref="H96:H102">
    <cfRule type="expression" priority="66" dxfId="175">
      <formula>$C$10&lt;0</formula>
    </cfRule>
    <cfRule type="expression" priority="65" dxfId="552">
      <formula>$C$10&gt;0</formula>
    </cfRule>
  </conditionalFormatting>
  <conditionalFormatting sqref="J1:J7 J9:J33">
    <cfRule type="expression" priority="281" dxfId="2">
      <formula>$B$10="EURO"</formula>
    </cfRule>
    <cfRule type="expression" priority="282" dxfId="3">
      <formula>$B$10="USD"</formula>
    </cfRule>
    <cfRule type="expression" priority="283" dxfId="4">
      <formula>$B$10="PLN"</formula>
    </cfRule>
    <cfRule type="expression" priority="284" dxfId="0">
      <formula>$B$10="CZK"</formula>
    </cfRule>
  </conditionalFormatting>
  <conditionalFormatting sqref="J35:J69">
    <cfRule type="expression" priority="13" dxfId="2">
      <formula>$B$10="EURO"</formula>
    </cfRule>
  </conditionalFormatting>
  <conditionalFormatting sqref="J35:J1048576">
    <cfRule type="expression" priority="15" dxfId="4">
      <formula>$B$10="PLN"</formula>
    </cfRule>
    <cfRule type="expression" priority="14" dxfId="3">
      <formula>$B$10="USD"</formula>
    </cfRule>
    <cfRule type="expression" priority="16" dxfId="0">
      <formula>$B$10="CZK"</formula>
    </cfRule>
  </conditionalFormatting>
  <conditionalFormatting sqref="J71:J83 J85:J94 J96:J1048576">
    <cfRule type="expression" priority="88" dxfId="2">
      <formula>$B$10="EURO"</formula>
    </cfRule>
  </conditionalFormatting>
  <conditionalFormatting sqref="J14:K68">
    <cfRule type="cellIs" priority="12" operator="greaterThan" dxfId="141">
      <formula>0</formula>
    </cfRule>
  </conditionalFormatting>
  <conditionalFormatting sqref="J71:K82 J85:K93 J96:K102">
    <cfRule type="cellIs" priority="87" operator="greaterThan" dxfId="141">
      <formula>0</formula>
    </cfRule>
  </conditionalFormatting>
  <printOptions horizontalCentered="1"/>
  <pageMargins left="0.5118110236220472" right="0.3543307086614174" top="0.2755905511811024" bottom="0.1574803149606299" header="0.3149606299212598" footer="0.1181102362204725"/>
  <pageSetup orientation="landscape" paperSize="8" scale="55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 codeName="Sheet15">
    <tabColor theme="8" tint="0.7999816888943144"/>
    <outlinePr summaryBelow="1" summaryRight="1"/>
    <pageSetUpPr fitToPage="1"/>
  </sheetPr>
  <dimension ref="A1:Q103"/>
  <sheetViews>
    <sheetView topLeftCell="A57" zoomScale="85" zoomScaleNormal="85" workbookViewId="0">
      <selection activeCell="R83" sqref="R83"/>
    </sheetView>
  </sheetViews>
  <sheetFormatPr baseColWidth="10" defaultColWidth="8.83203125" defaultRowHeight="15.75" customHeight="1"/>
  <cols>
    <col width="2.5" customWidth="1" style="299" min="1" max="1"/>
    <col width="30.6640625" customWidth="1" style="1129" min="2" max="2"/>
    <col width="11.83203125" customWidth="1" style="1129" min="3" max="3"/>
    <col width="28.83203125" customWidth="1" style="1129" min="4" max="4"/>
    <col width="11.1640625" customWidth="1" style="1129" min="5" max="5"/>
    <col width="12.6640625" customWidth="1" style="1137" min="6" max="6"/>
    <col width="13" customWidth="1" style="1137" min="7" max="7"/>
    <col width="12.1640625" customWidth="1" style="1138" min="8" max="8"/>
    <col hidden="1" width="14.6640625" customWidth="1" style="1137" min="9" max="9"/>
    <col width="14.6640625" customWidth="1" style="1137" min="10" max="10"/>
    <col width="12.83203125" customWidth="1" style="1137" min="11" max="11"/>
    <col width="13.5" customWidth="1" style="1086" min="12" max="12"/>
    <col width="15.83203125" customWidth="1" style="1133" min="13" max="13"/>
    <col width="12.5" customWidth="1" style="1133" min="14" max="14"/>
    <col width="33.33203125" customWidth="1" style="1129" min="15" max="15"/>
    <col width="16.6640625" customWidth="1" style="1129" min="16" max="16"/>
    <col width="9.1640625" customWidth="1" style="1139" min="17" max="17"/>
    <col width="8.83203125" customWidth="1" style="1129" min="18" max="18"/>
    <col width="8.83203125" customWidth="1" style="1129" min="19" max="16384"/>
  </cols>
  <sheetData>
    <row r="1" ht="19" customHeight="1" s="1085">
      <c r="B1" s="1145" t="inlineStr">
        <is>
          <t xml:space="preserve">SERVICE DISTRIBUTION UNIT COST </t>
        </is>
      </c>
      <c r="E1" s="160" t="n"/>
      <c r="F1" s="161" t="n"/>
      <c r="G1" s="162" t="n"/>
      <c r="H1" s="163" t="n"/>
      <c r="I1" s="161" t="n"/>
      <c r="J1" s="161" t="n"/>
      <c r="K1" s="586">
        <f>CONTRACT!K1</f>
        <v/>
      </c>
    </row>
    <row r="2" ht="15.75" customHeight="1" s="1085">
      <c r="B2" s="167" t="n"/>
      <c r="C2" s="167" t="n"/>
      <c r="D2" s="167" t="n"/>
      <c r="E2" s="168" t="n"/>
      <c r="F2" s="169" t="n"/>
      <c r="G2" s="169" t="n"/>
      <c r="H2" s="170" t="n"/>
      <c r="O2" s="1139" t="n"/>
      <c r="Q2" s="1129" t="n"/>
    </row>
    <row r="3" ht="15.75" customHeight="1" s="1085">
      <c r="C3" s="172" t="n"/>
      <c r="D3" s="173" t="n"/>
      <c r="F3" s="174" t="n"/>
      <c r="G3" s="1138" t="n"/>
      <c r="H3" s="175" t="n"/>
      <c r="I3" s="1138" t="n"/>
      <c r="J3" s="1138" t="n"/>
      <c r="O3" s="1139" t="n"/>
      <c r="Q3" s="1129" t="n"/>
    </row>
    <row r="4" ht="15.75" customHeight="1" s="1085">
      <c r="B4" s="176" t="inlineStr">
        <is>
          <t>Job No.</t>
        </is>
      </c>
      <c r="C4" s="1130">
        <f>IF(CANOPY!C3="","",CANOPY!C3)</f>
        <v/>
      </c>
      <c r="F4" s="177" t="inlineStr">
        <is>
          <t>Project Name</t>
        </is>
      </c>
      <c r="G4" s="1142">
        <f>IF(CANOPY!G3="","",CANOPY!G3)</f>
        <v/>
      </c>
      <c r="I4" s="1138" t="n"/>
      <c r="O4" s="1139" t="n"/>
      <c r="Q4" s="1129" t="n"/>
    </row>
    <row r="5" ht="15.75" customHeight="1" s="1085">
      <c r="C5" s="51" t="n"/>
      <c r="D5" s="51" t="n"/>
      <c r="E5" s="178" t="n"/>
      <c r="F5" s="179" t="n"/>
      <c r="G5" s="359" t="n"/>
      <c r="H5" s="359" t="n"/>
      <c r="I5" s="1138" t="n"/>
      <c r="J5" s="1138" t="n"/>
      <c r="K5" s="175" t="n"/>
      <c r="O5" s="1139" t="n"/>
      <c r="Q5" s="1129" t="n"/>
    </row>
    <row r="6" ht="15.75" customHeight="1" s="1085">
      <c r="B6" s="176" t="inlineStr">
        <is>
          <t>Customer</t>
        </is>
      </c>
      <c r="C6" s="1130">
        <f>IF(CANOPY!C5="","",CANOPY!C5)</f>
        <v/>
      </c>
      <c r="E6" s="173" t="n"/>
      <c r="F6" s="177" t="inlineStr">
        <is>
          <t>Location</t>
        </is>
      </c>
      <c r="G6" s="1142">
        <f>IF(CANOPY!G5="","",CANOPY!G5)</f>
        <v/>
      </c>
      <c r="I6" s="1138" t="n"/>
      <c r="O6" s="1139" t="n"/>
      <c r="Q6" s="1129" t="n"/>
    </row>
    <row r="7" ht="15.75" customHeight="1" s="1085">
      <c r="B7" s="176" t="n"/>
      <c r="C7" s="176" t="n"/>
      <c r="D7" s="180" t="n"/>
      <c r="E7" s="180" t="n"/>
      <c r="F7" s="179" t="n"/>
      <c r="G7" s="359" t="n"/>
      <c r="H7" s="470" t="n"/>
      <c r="I7" s="1138" t="n"/>
      <c r="J7" s="1138" t="n"/>
      <c r="K7" s="1138" t="n"/>
      <c r="L7" s="112" t="n"/>
      <c r="O7" s="1139" t="n"/>
      <c r="Q7" s="1129" t="n"/>
    </row>
    <row r="8" ht="15.75" customHeight="1" s="1085">
      <c r="B8" s="80" t="inlineStr">
        <is>
          <t>Sales Manager / Estimator initials</t>
        </is>
      </c>
      <c r="C8" s="1146" t="n"/>
      <c r="E8" s="180" t="n"/>
      <c r="F8" s="181" t="inlineStr">
        <is>
          <t>Date</t>
        </is>
      </c>
      <c r="G8" s="1136">
        <f>IF(CANOPY!G7="","",CANOPY!G7)</f>
        <v/>
      </c>
      <c r="J8" s="187" t="inlineStr">
        <is>
          <t>Revision No</t>
        </is>
      </c>
      <c r="K8" s="591" t="n"/>
      <c r="L8" s="467" t="n"/>
      <c r="O8" s="1139" t="n"/>
      <c r="Q8" s="1129" t="n"/>
    </row>
    <row r="9" ht="15.75" customHeight="1" s="1085">
      <c r="D9" s="182" t="n"/>
      <c r="E9" s="178" t="n"/>
      <c r="F9" s="1138" t="n"/>
      <c r="G9" s="1138" t="n"/>
      <c r="H9" s="175" t="n"/>
      <c r="I9" s="170" t="n"/>
      <c r="J9" s="170" t="n"/>
      <c r="L9" s="467" t="n"/>
      <c r="O9" s="1139" t="n"/>
      <c r="Q9" s="1129" t="n"/>
    </row>
    <row r="10" ht="15.75" customFormat="1" customHeight="1" s="173">
      <c r="A10" s="300" t="n"/>
      <c r="B10" s="38" t="inlineStr">
        <is>
          <t>CURRENCY</t>
        </is>
      </c>
      <c r="C10" s="373" t="n"/>
      <c r="D10" s="377">
        <f>IF(C10=0,0,(SUBTOTAL(9,I13:I88)/(1-C10))-I10)</f>
        <v/>
      </c>
      <c r="G10" s="25">
        <f>SUBTOTAL(9,G14:G88)</f>
        <v/>
      </c>
      <c r="H10" s="15">
        <f>IF(K10=0,"-",K10/I10)</f>
        <v/>
      </c>
      <c r="I10" s="25">
        <f>SUBTOTAL(9,I14:I88)</f>
        <v/>
      </c>
      <c r="J10" s="464">
        <f>SUBTOTAL(9,J14:J88)</f>
        <v/>
      </c>
      <c r="K10" s="25">
        <f>SUBTOTAL(9,K14:K88)</f>
        <v/>
      </c>
      <c r="L10" s="468" t="n"/>
      <c r="M10" s="1133" t="n"/>
      <c r="N10" s="1133" t="n"/>
      <c r="O10" s="1128" t="n"/>
    </row>
    <row r="11" ht="15.75" customFormat="1" customHeight="1" s="173">
      <c r="A11" s="300" t="n"/>
      <c r="B11" s="375" t="inlineStr">
        <is>
          <t>CURRENCY</t>
        </is>
      </c>
      <c r="C11" s="375" t="inlineStr">
        <is>
          <t>%</t>
        </is>
      </c>
      <c r="D11" s="375" t="inlineStr">
        <is>
          <t>COMMISSION</t>
        </is>
      </c>
      <c r="E11" s="375" t="n"/>
      <c r="F11" s="375" t="inlineStr">
        <is>
          <t>COST</t>
        </is>
      </c>
      <c r="G11" s="375" t="inlineStr">
        <is>
          <t>TOTAL COST</t>
        </is>
      </c>
      <c r="H11" s="375" t="inlineStr">
        <is>
          <t>GP</t>
        </is>
      </c>
      <c r="I11" s="375" t="inlineStr">
        <is>
          <t>SELL</t>
        </is>
      </c>
      <c r="J11" s="375" t="inlineStr">
        <is>
          <t>SELL</t>
        </is>
      </c>
      <c r="K11" s="375" t="inlineStr">
        <is>
          <t>PROFIT</t>
        </is>
      </c>
      <c r="L11" s="1086" t="n"/>
      <c r="M11" s="1133" t="n"/>
      <c r="N11" s="1133" t="n"/>
      <c r="Q11" s="1128" t="n"/>
    </row>
    <row r="12" ht="15.75" customFormat="1" customHeight="1" s="173">
      <c r="A12" s="300" t="n"/>
      <c r="B12" s="176" t="n"/>
      <c r="C12" s="176" t="n"/>
      <c r="D12" s="176" t="n"/>
      <c r="E12" s="176" t="n"/>
      <c r="F12" s="187" t="n"/>
      <c r="G12" s="187" t="n"/>
      <c r="H12" s="187" t="n"/>
      <c r="I12" s="187" t="n"/>
      <c r="J12" s="187" t="n"/>
      <c r="K12" s="1137" t="n"/>
      <c r="L12" s="469" t="n"/>
      <c r="M12" s="1133" t="n"/>
      <c r="N12" s="1133" t="n"/>
      <c r="Q12" s="1128" t="n"/>
    </row>
    <row r="13" ht="15.75" customHeight="1" s="1085">
      <c r="B13" s="24" t="inlineStr">
        <is>
          <t>CARCASS</t>
        </is>
      </c>
      <c r="C13" s="188" t="inlineStr">
        <is>
          <t>QTY</t>
        </is>
      </c>
      <c r="D13" s="24" t="inlineStr">
        <is>
          <t>SIZE</t>
        </is>
      </c>
      <c r="E13" s="188" t="inlineStr">
        <is>
          <t>HRS</t>
        </is>
      </c>
      <c r="F13" s="189" t="n"/>
      <c r="G13" s="61">
        <f>SUBTOTAL(9,G14:G31)</f>
        <v/>
      </c>
      <c r="H13" s="145">
        <f>IF(G13=0,"-",K13/I13)</f>
        <v/>
      </c>
      <c r="I13" s="61">
        <f>SUBTOTAL(9,I14:I31)</f>
        <v/>
      </c>
      <c r="J13" s="465">
        <f>SUBTOTAL(9,J14:J31)</f>
        <v/>
      </c>
      <c r="K13" s="61">
        <f>SUBTOTAL(9,K14:K31)</f>
        <v/>
      </c>
      <c r="L13" s="469" t="n"/>
      <c r="O13" s="1133" t="n"/>
      <c r="P13" s="1133" t="n"/>
    </row>
    <row r="14" ht="15.75" customHeight="1" s="1085">
      <c r="A14" s="299" t="n">
        <v>270</v>
      </c>
      <c r="B14" s="269" t="inlineStr">
        <is>
          <t>RISER ELECTRICAL INC MCB</t>
        </is>
      </c>
      <c r="C14" s="314" t="n"/>
      <c r="D14" s="269" t="inlineStr">
        <is>
          <t>800X300X2100</t>
        </is>
      </c>
      <c r="E14" s="315" t="n">
        <v>15</v>
      </c>
      <c r="F14" s="380">
        <f>'Base Costs'!AX6</f>
        <v/>
      </c>
      <c r="G14" s="378">
        <f>C14*F14</f>
        <v/>
      </c>
      <c r="H14" s="381" t="n">
        <v>0.44</v>
      </c>
      <c r="I14" s="311">
        <f>G14/(1-H14)*(1+$C$10)</f>
        <v/>
      </c>
      <c r="J14" s="378">
        <f>I14*VLOOKUP($B$10,'Base Costs'!$A$32:$B$37,2,FALSE)</f>
        <v/>
      </c>
      <c r="K14" s="379">
        <f>I14-G14</f>
        <v/>
      </c>
      <c r="L14" s="469" t="n"/>
      <c r="O14" s="1133" t="n"/>
      <c r="P14" s="1133" t="n"/>
    </row>
    <row r="15" ht="15.75" customHeight="1" s="1085">
      <c r="A15" s="299" t="n">
        <v>270</v>
      </c>
      <c r="B15" s="269" t="inlineStr">
        <is>
          <t>RISER ELECTRICAL INC MCB</t>
        </is>
      </c>
      <c r="C15" s="314" t="n"/>
      <c r="D15" s="269" t="inlineStr">
        <is>
          <t>800X300X3000</t>
        </is>
      </c>
      <c r="E15" s="315" t="n">
        <v>15</v>
      </c>
      <c r="F15" s="380">
        <f>'Base Costs'!AX7</f>
        <v/>
      </c>
      <c r="G15" s="378">
        <f>C15*F15</f>
        <v/>
      </c>
      <c r="H15" s="381" t="n">
        <v>0.44</v>
      </c>
      <c r="I15" s="311">
        <f>G15/(1-H15)*(1+$C$10)</f>
        <v/>
      </c>
      <c r="J15" s="378">
        <f>I15*VLOOKUP($B$10,'Base Costs'!$A$32:$B$37,2,FALSE)</f>
        <v/>
      </c>
      <c r="K15" s="379">
        <f>I15-G15</f>
        <v/>
      </c>
      <c r="L15" s="469" t="n"/>
      <c r="O15" s="1133" t="n"/>
      <c r="P15" s="1133" t="n"/>
    </row>
    <row r="16" ht="15.75" customHeight="1" s="1085">
      <c r="A16" s="299" t="n">
        <v>270</v>
      </c>
      <c r="B16" s="269" t="inlineStr">
        <is>
          <t>RISER ISOLATORS ONLY</t>
        </is>
      </c>
      <c r="C16" s="314" t="n"/>
      <c r="D16" s="269" t="inlineStr">
        <is>
          <t>400X300X1200</t>
        </is>
      </c>
      <c r="E16" s="315" t="n">
        <v>12</v>
      </c>
      <c r="F16" s="380">
        <f>'Base Costs'!AX8</f>
        <v/>
      </c>
      <c r="G16" s="378">
        <f>C16*F16</f>
        <v/>
      </c>
      <c r="H16" s="381" t="n">
        <v>0.44</v>
      </c>
      <c r="I16" s="311">
        <f>G16/(1-H16)*(1+$C$10)</f>
        <v/>
      </c>
      <c r="J16" s="378">
        <f>I16*VLOOKUP($B$10,'Base Costs'!$A$32:$B$37,2,FALSE)</f>
        <v/>
      </c>
      <c r="K16" s="379">
        <f>I16-G16</f>
        <v/>
      </c>
      <c r="L16" s="469" t="n"/>
      <c r="O16" s="1133" t="n"/>
      <c r="P16" s="1133" t="n"/>
    </row>
    <row r="17" ht="15.75" customHeight="1" s="1085">
      <c r="A17" s="299" t="n">
        <v>270</v>
      </c>
      <c r="B17" s="269" t="inlineStr">
        <is>
          <t>RISER ISOLATORS ONLY</t>
        </is>
      </c>
      <c r="C17" s="314" t="n"/>
      <c r="D17" s="269" t="inlineStr">
        <is>
          <t>400X300X2100</t>
        </is>
      </c>
      <c r="E17" s="315" t="n">
        <v>13</v>
      </c>
      <c r="F17" s="380">
        <f>'Base Costs'!AX9</f>
        <v/>
      </c>
      <c r="G17" s="378">
        <f>C17*F17</f>
        <v/>
      </c>
      <c r="H17" s="381" t="n">
        <v>0.44</v>
      </c>
      <c r="I17" s="311">
        <f>G17/(1-H17)*(1+$C$10)</f>
        <v/>
      </c>
      <c r="J17" s="378">
        <f>I17*VLOOKUP($B$10,'Base Costs'!$A$32:$B$37,2,FALSE)</f>
        <v/>
      </c>
      <c r="K17" s="379">
        <f>I17-G17</f>
        <v/>
      </c>
      <c r="L17" s="469" t="n"/>
      <c r="O17" s="1133" t="n"/>
      <c r="P17" s="1133" t="n"/>
    </row>
    <row r="18" ht="15.75" customHeight="1" s="1085">
      <c r="A18" s="299" t="n">
        <v>270</v>
      </c>
      <c r="B18" s="269" t="inlineStr">
        <is>
          <t>RISER ISOLATORS ONLY</t>
        </is>
      </c>
      <c r="C18" s="314" t="n"/>
      <c r="D18" s="269" t="inlineStr">
        <is>
          <t>400X300X3000</t>
        </is>
      </c>
      <c r="E18" s="315" t="n">
        <v>13</v>
      </c>
      <c r="F18" s="380">
        <f>'Base Costs'!AX10</f>
        <v/>
      </c>
      <c r="G18" s="378">
        <f>C18*F18</f>
        <v/>
      </c>
      <c r="H18" s="381" t="n">
        <v>0.44</v>
      </c>
      <c r="I18" s="311">
        <f>G18/(1-H18)*(1+$C$10)</f>
        <v/>
      </c>
      <c r="J18" s="378">
        <f>I18*VLOOKUP($B$10,'Base Costs'!$A$32:$B$37,2,FALSE)</f>
        <v/>
      </c>
      <c r="K18" s="379">
        <f>I18-G18</f>
        <v/>
      </c>
      <c r="L18" s="469" t="n"/>
      <c r="O18" s="1133" t="n"/>
      <c r="P18" s="1133" t="n"/>
    </row>
    <row r="19" ht="15.75" customHeight="1" s="1085">
      <c r="A19" s="299" t="n">
        <v>270</v>
      </c>
      <c r="B19" s="269" t="inlineStr">
        <is>
          <t>RISER MECHANICAL</t>
        </is>
      </c>
      <c r="C19" s="314" t="n"/>
      <c r="D19" s="269" t="inlineStr">
        <is>
          <t>400X300X1200</t>
        </is>
      </c>
      <c r="E19" s="315" t="n">
        <v>9</v>
      </c>
      <c r="F19" s="380">
        <f>'Base Costs'!AX11</f>
        <v/>
      </c>
      <c r="G19" s="378">
        <f>C19*F19</f>
        <v/>
      </c>
      <c r="H19" s="381" t="n">
        <v>0.44</v>
      </c>
      <c r="I19" s="311">
        <f>G19/(1-H19)*(1+$C$10)</f>
        <v/>
      </c>
      <c r="J19" s="378">
        <f>I19*VLOOKUP($B$10,'Base Costs'!$A$32:$B$37,2,FALSE)</f>
        <v/>
      </c>
      <c r="K19" s="379">
        <f>I19-G19</f>
        <v/>
      </c>
      <c r="L19" s="469" t="n"/>
      <c r="O19" s="1133" t="n"/>
      <c r="P19" s="1133" t="n"/>
    </row>
    <row r="20" ht="15.75" customHeight="1" s="1085">
      <c r="A20" s="299" t="n">
        <v>270</v>
      </c>
      <c r="B20" s="269" t="inlineStr">
        <is>
          <t>RISER MECHANICAL</t>
        </is>
      </c>
      <c r="C20" s="314" t="n"/>
      <c r="D20" s="269" t="inlineStr">
        <is>
          <t>400X300X2100</t>
        </is>
      </c>
      <c r="E20" s="315" t="n">
        <v>10</v>
      </c>
      <c r="F20" s="380">
        <f>'Base Costs'!AX12</f>
        <v/>
      </c>
      <c r="G20" s="378">
        <f>C20*F20</f>
        <v/>
      </c>
      <c r="H20" s="381" t="n">
        <v>0.44</v>
      </c>
      <c r="I20" s="311">
        <f>G20/(1-H20)*(1+$C$10)</f>
        <v/>
      </c>
      <c r="J20" s="378">
        <f>I20*VLOOKUP($B$10,'Base Costs'!$A$32:$B$37,2,FALSE)</f>
        <v/>
      </c>
      <c r="K20" s="379">
        <f>I20-G20</f>
        <v/>
      </c>
      <c r="L20" s="469" t="n"/>
      <c r="O20" s="1133" t="n"/>
      <c r="P20" s="1133" t="n"/>
    </row>
    <row r="21" ht="15.75" customHeight="1" s="1085">
      <c r="A21" s="299" t="n">
        <v>270</v>
      </c>
      <c r="B21" s="269" t="inlineStr">
        <is>
          <t>RISER MECHANICAL</t>
        </is>
      </c>
      <c r="C21" s="314" t="n"/>
      <c r="D21" s="269" t="inlineStr">
        <is>
          <t>400X300X3000</t>
        </is>
      </c>
      <c r="E21" s="315" t="n">
        <v>10</v>
      </c>
      <c r="F21" s="380">
        <f>'Base Costs'!AX13</f>
        <v/>
      </c>
      <c r="G21" s="378">
        <f>C21*F21</f>
        <v/>
      </c>
      <c r="H21" s="381" t="n">
        <v>0.44</v>
      </c>
      <c r="I21" s="311">
        <f>G21/(1-H21)*(1+$C$10)</f>
        <v/>
      </c>
      <c r="J21" s="378">
        <f>I21*VLOOKUP($B$10,'Base Costs'!$A$32:$B$37,2,FALSE)</f>
        <v/>
      </c>
      <c r="K21" s="379">
        <f>I21-G21</f>
        <v/>
      </c>
      <c r="L21" s="469" t="n"/>
      <c r="O21" s="1133" t="n"/>
      <c r="P21" s="1133" t="n"/>
    </row>
    <row r="22" ht="15.75" customHeight="1" s="1085">
      <c r="A22" s="299" t="n">
        <v>270</v>
      </c>
      <c r="B22" s="269" t="inlineStr">
        <is>
          <t>RISER COMBINED M&amp;E</t>
        </is>
      </c>
      <c r="C22" s="314" t="n"/>
      <c r="D22" s="269" t="inlineStr">
        <is>
          <t>1200X300X1200</t>
        </is>
      </c>
      <c r="E22" s="315" t="n">
        <v>12</v>
      </c>
      <c r="F22" s="380">
        <f>'Base Costs'!AX14</f>
        <v/>
      </c>
      <c r="G22" s="378">
        <f>C22*F22</f>
        <v/>
      </c>
      <c r="H22" s="381" t="n">
        <v>0.44</v>
      </c>
      <c r="I22" s="311">
        <f>G22/(1-H22)*(1+$C$10)</f>
        <v/>
      </c>
      <c r="J22" s="378">
        <f>I22*VLOOKUP($B$10,'Base Costs'!$A$32:$B$37,2,FALSE)</f>
        <v/>
      </c>
      <c r="K22" s="379">
        <f>I22-G22</f>
        <v/>
      </c>
      <c r="L22" s="469" t="n"/>
      <c r="O22" s="1133" t="n"/>
      <c r="P22" s="1133" t="n"/>
    </row>
    <row r="23" ht="15.75" customHeight="1" s="1085">
      <c r="A23" s="299" t="n">
        <v>270</v>
      </c>
      <c r="B23" s="269" t="inlineStr">
        <is>
          <t>RISER COMBINED M&amp;E</t>
        </is>
      </c>
      <c r="C23" s="314" t="n"/>
      <c r="D23" s="269" t="inlineStr">
        <is>
          <t>1200X300X2100</t>
        </is>
      </c>
      <c r="E23" s="315" t="n">
        <v>13</v>
      </c>
      <c r="F23" s="380">
        <f>'Base Costs'!AX15</f>
        <v/>
      </c>
      <c r="G23" s="378">
        <f>C23*F23</f>
        <v/>
      </c>
      <c r="H23" s="381" t="n">
        <v>0.44</v>
      </c>
      <c r="I23" s="311">
        <f>G23/(1-H23)*(1+$C$10)</f>
        <v/>
      </c>
      <c r="J23" s="378">
        <f>I23*VLOOKUP($B$10,'Base Costs'!$A$32:$B$37,2,FALSE)</f>
        <v/>
      </c>
      <c r="K23" s="379">
        <f>I23-G23</f>
        <v/>
      </c>
      <c r="L23" s="469" t="n"/>
      <c r="O23" s="1133" t="n"/>
      <c r="P23" s="1133" t="n"/>
    </row>
    <row r="24" ht="15.75" customHeight="1" s="1085">
      <c r="A24" s="299" t="n">
        <v>270</v>
      </c>
      <c r="B24" s="269" t="inlineStr">
        <is>
          <t>RISER COMBINED M&amp;E</t>
        </is>
      </c>
      <c r="C24" s="314" t="n"/>
      <c r="D24" s="269" t="inlineStr">
        <is>
          <t>1200X300X3000</t>
        </is>
      </c>
      <c r="E24" s="315" t="n">
        <v>13</v>
      </c>
      <c r="F24" s="380">
        <f>'Base Costs'!AX16</f>
        <v/>
      </c>
      <c r="G24" s="378">
        <f>C24*F24</f>
        <v/>
      </c>
      <c r="H24" s="381" t="n">
        <v>0.44</v>
      </c>
      <c r="I24" s="311">
        <f>G24/(1-H24)*(1+$C$10)</f>
        <v/>
      </c>
      <c r="J24" s="378">
        <f>I24*VLOOKUP($B$10,'Base Costs'!$A$32:$B$37,2,FALSE)</f>
        <v/>
      </c>
      <c r="K24" s="379">
        <f>I24-G24</f>
        <v/>
      </c>
      <c r="L24" s="469" t="n"/>
      <c r="O24" s="1133" t="n"/>
      <c r="P24" s="1133" t="n"/>
    </row>
    <row r="25" ht="15.75" customHeight="1" s="1085">
      <c r="A25" s="299" t="n">
        <v>268</v>
      </c>
      <c r="B25" s="269" t="inlineStr">
        <is>
          <t>RACEWAY</t>
        </is>
      </c>
      <c r="C25" s="314" t="n"/>
      <c r="D25" s="269" t="inlineStr">
        <is>
          <t>0-1100MM</t>
        </is>
      </c>
      <c r="E25" s="315" t="n">
        <v>12</v>
      </c>
      <c r="F25" s="380">
        <f>'Base Costs'!AX18</f>
        <v/>
      </c>
      <c r="G25" s="378">
        <f>C25*F25</f>
        <v/>
      </c>
      <c r="H25" s="381" t="n">
        <v>0.44</v>
      </c>
      <c r="I25" s="311">
        <f>G25/(1-H25)*(1+$C$10)</f>
        <v/>
      </c>
      <c r="J25" s="378">
        <f>I25*VLOOKUP($B$10,'Base Costs'!$A$32:$B$37,2,FALSE)</f>
        <v/>
      </c>
      <c r="K25" s="379">
        <f>I25-G25</f>
        <v/>
      </c>
      <c r="L25" s="469" t="n"/>
      <c r="O25" s="1133" t="n"/>
      <c r="P25" s="1133" t="n"/>
    </row>
    <row r="26" ht="15.75" customHeight="1" s="1085">
      <c r="A26" s="299" t="n">
        <v>268</v>
      </c>
      <c r="B26" s="269" t="inlineStr">
        <is>
          <t>RACEWAY</t>
        </is>
      </c>
      <c r="C26" s="314" t="n"/>
      <c r="D26" s="269" t="inlineStr">
        <is>
          <t>1101MM-2300MM</t>
        </is>
      </c>
      <c r="E26" s="315" t="n">
        <v>14</v>
      </c>
      <c r="F26" s="380">
        <f>'Base Costs'!AX19</f>
        <v/>
      </c>
      <c r="G26" s="378">
        <f>C26*F26</f>
        <v/>
      </c>
      <c r="H26" s="381" t="n">
        <v>0.44</v>
      </c>
      <c r="I26" s="311">
        <f>G26/(1-H26)*(1+$C$10)</f>
        <v/>
      </c>
      <c r="J26" s="378">
        <f>I26*VLOOKUP($B$10,'Base Costs'!$A$32:$B$37,2,FALSE)</f>
        <v/>
      </c>
      <c r="K26" s="379">
        <f>I26-G26</f>
        <v/>
      </c>
      <c r="L26" s="469" t="n"/>
      <c r="O26" s="1133" t="n"/>
      <c r="P26" s="1133" t="n"/>
    </row>
    <row r="27" ht="15.75" customHeight="1" s="1085">
      <c r="A27" s="299" t="n">
        <v>268</v>
      </c>
      <c r="B27" s="269" t="inlineStr">
        <is>
          <t>RACEWAY</t>
        </is>
      </c>
      <c r="C27" s="314" t="n"/>
      <c r="D27" s="269" t="inlineStr">
        <is>
          <t>2301MM-3000MM</t>
        </is>
      </c>
      <c r="E27" s="315" t="n">
        <v>16</v>
      </c>
      <c r="F27" s="380">
        <f>'Base Costs'!AX20</f>
        <v/>
      </c>
      <c r="G27" s="378">
        <f>C27*F27</f>
        <v/>
      </c>
      <c r="H27" s="381" t="n">
        <v>0.44</v>
      </c>
      <c r="I27" s="311">
        <f>G27/(1-H27)*(1+$C$10)</f>
        <v/>
      </c>
      <c r="J27" s="378">
        <f>I27*VLOOKUP($B$10,'Base Costs'!$A$32:$B$37,2,FALSE)</f>
        <v/>
      </c>
      <c r="K27" s="379">
        <f>I27-G27</f>
        <v/>
      </c>
      <c r="L27" s="469" t="n"/>
      <c r="O27" s="1133" t="n"/>
      <c r="P27" s="1133" t="n"/>
    </row>
    <row r="28" ht="15.75" customHeight="1" s="1085">
      <c r="A28" s="299" t="n">
        <v>268</v>
      </c>
      <c r="B28" s="269" t="inlineStr">
        <is>
          <t>PEDESTAL LEG</t>
        </is>
      </c>
      <c r="C28" s="314" t="n"/>
      <c r="D28" s="269" t="n"/>
      <c r="E28" s="315" t="n">
        <v>3</v>
      </c>
      <c r="F28" s="380">
        <f>'Base Costs'!AX21</f>
        <v/>
      </c>
      <c r="G28" s="378">
        <f>C28*F28</f>
        <v/>
      </c>
      <c r="H28" s="381" t="n">
        <v>0.44</v>
      </c>
      <c r="I28" s="311">
        <f>G28/(1-H28)*(1+$C$10)</f>
        <v/>
      </c>
      <c r="J28" s="378">
        <f>I28*VLOOKUP($B$10,'Base Costs'!$A$32:$B$37,2,FALSE)</f>
        <v/>
      </c>
      <c r="K28" s="379">
        <f>I28-G28</f>
        <v/>
      </c>
      <c r="L28" s="469" t="n"/>
      <c r="O28" s="1133" t="n"/>
      <c r="P28" s="1133" t="n"/>
    </row>
    <row r="29" ht="15.75" customHeight="1" s="1085">
      <c r="A29" s="299" t="n">
        <v>268</v>
      </c>
      <c r="B29" s="269" t="inlineStr">
        <is>
          <t>POT RACK (TUBULAR)</t>
        </is>
      </c>
      <c r="C29" s="314" t="n"/>
      <c r="D29" s="269" t="inlineStr">
        <is>
          <t>SINGLE SIDED UP TO 1200MM</t>
        </is>
      </c>
      <c r="E29" s="315" t="n">
        <v>6</v>
      </c>
      <c r="F29" s="380">
        <f>'Base Costs'!AX22</f>
        <v/>
      </c>
      <c r="G29" s="378">
        <f>C29*F29</f>
        <v/>
      </c>
      <c r="H29" s="381" t="n">
        <v>0.44</v>
      </c>
      <c r="I29" s="311">
        <f>G29/(1-H29)*(1+$C$10)</f>
        <v/>
      </c>
      <c r="J29" s="378">
        <f>I29*VLOOKUP($B$10,'Base Costs'!$A$32:$B$37,2,FALSE)</f>
        <v/>
      </c>
      <c r="K29" s="379">
        <f>I29-G29</f>
        <v/>
      </c>
      <c r="L29" s="469" t="n"/>
      <c r="O29" s="1133" t="n"/>
      <c r="P29" s="1133" t="n"/>
    </row>
    <row r="30" ht="15.75" customHeight="1" s="1085">
      <c r="A30" s="299" t="n">
        <v>268</v>
      </c>
      <c r="B30" s="269" t="inlineStr">
        <is>
          <t>POT RACK (SOLID)</t>
        </is>
      </c>
      <c r="C30" s="314" t="n"/>
      <c r="D30" s="269" t="inlineStr">
        <is>
          <t>SINGLE SIDED UP TO 1200MM</t>
        </is>
      </c>
      <c r="E30" s="315" t="n">
        <v>3</v>
      </c>
      <c r="F30" s="380">
        <f>'Base Costs'!AX23</f>
        <v/>
      </c>
      <c r="G30" s="378">
        <f>C30*F30</f>
        <v/>
      </c>
      <c r="H30" s="381" t="n">
        <v>0.44</v>
      </c>
      <c r="I30" s="311">
        <f>G30/(1-H30)*(1+$C$10)</f>
        <v/>
      </c>
      <c r="J30" s="378">
        <f>I30*VLOOKUP($B$10,'Base Costs'!$A$32:$B$37,2,FALSE)</f>
        <v/>
      </c>
      <c r="K30" s="379">
        <f>I30-G30</f>
        <v/>
      </c>
      <c r="L30" s="469" t="n"/>
      <c r="O30" s="1133" t="n"/>
      <c r="P30" s="1133" t="n"/>
    </row>
    <row r="31" ht="15.75" customHeight="1" s="1085">
      <c r="A31" s="299" t="n">
        <v>268</v>
      </c>
      <c r="B31" s="269" t="inlineStr">
        <is>
          <t>SALAMANDER SUPPORT</t>
        </is>
      </c>
      <c r="C31" s="314" t="n"/>
      <c r="D31" s="269" t="n"/>
      <c r="E31" s="315" t="n">
        <v>3</v>
      </c>
      <c r="F31" s="380">
        <f>'Base Costs'!AX24</f>
        <v/>
      </c>
      <c r="G31" s="378">
        <f>C31*F31</f>
        <v/>
      </c>
      <c r="H31" s="381" t="n">
        <v>0.44</v>
      </c>
      <c r="I31" s="311">
        <f>G31/(1-H31)*(1+$C$10)</f>
        <v/>
      </c>
      <c r="J31" s="378">
        <f>I31*VLOOKUP($B$10,'Base Costs'!$A$32:$B$37,2,FALSE)</f>
        <v/>
      </c>
      <c r="K31" s="379">
        <f>I31-G31</f>
        <v/>
      </c>
      <c r="L31" s="469" t="n"/>
      <c r="O31" s="1133" t="n"/>
      <c r="P31" s="1133" t="n"/>
    </row>
    <row r="32" ht="15.75" customHeight="1" s="1085">
      <c r="B32" s="190" t="n"/>
      <c r="C32" s="186" t="n"/>
      <c r="D32" s="190" t="n"/>
      <c r="E32" s="190" t="n"/>
      <c r="F32" s="296" t="n"/>
      <c r="G32" s="296" t="n"/>
      <c r="H32" s="297" t="n"/>
      <c r="I32" s="296" t="n"/>
      <c r="J32" s="296" t="n"/>
      <c r="K32" s="183" t="n"/>
      <c r="L32" s="469" t="n"/>
      <c r="O32" s="1133" t="n"/>
      <c r="P32" s="1133" t="n"/>
    </row>
    <row r="33" ht="15.75" customHeight="1" s="1085" thickBot="1">
      <c r="B33" s="24" t="inlineStr">
        <is>
          <t>ELECTRICAL</t>
        </is>
      </c>
      <c r="C33" s="192" t="n"/>
      <c r="D33" s="193" t="n"/>
      <c r="E33" s="193" t="n"/>
      <c r="F33" s="298" t="n"/>
      <c r="G33" s="61">
        <f>SUBTOTAL(9,G34:G54)</f>
        <v/>
      </c>
      <c r="H33" s="39">
        <f>IF(G33=0,"-",K33/I33)</f>
        <v/>
      </c>
      <c r="I33" s="61">
        <f>SUBTOTAL(9,I34:I54)</f>
        <v/>
      </c>
      <c r="J33" s="465">
        <f>SUBTOTAL(9,J34:J54)</f>
        <v/>
      </c>
      <c r="K33" s="61">
        <f>SUBTOTAL(9,K34:K54)</f>
        <v/>
      </c>
      <c r="L33" s="469" t="n"/>
      <c r="O33" s="1133" t="n"/>
      <c r="P33" s="1133" t="n"/>
    </row>
    <row r="34" ht="15.75" customHeight="1" s="1085" thickBot="1">
      <c r="A34" s="299" t="n">
        <v>266</v>
      </c>
      <c r="B34" s="269" t="inlineStr">
        <is>
          <t>MCB 8 WAY</t>
        </is>
      </c>
      <c r="C34" s="314" t="n"/>
      <c r="D34" s="269" t="inlineStr">
        <is>
          <t>125AMP</t>
        </is>
      </c>
      <c r="E34" s="269" t="n"/>
      <c r="F34" s="380">
        <f>'Base Costs'!AX27</f>
        <v/>
      </c>
      <c r="G34" s="378">
        <f>C34*F34</f>
        <v/>
      </c>
      <c r="H34" s="381" t="n">
        <v>0.37</v>
      </c>
      <c r="I34" s="378">
        <f>G34/(1-H34)*(1+$C$10)</f>
        <v/>
      </c>
      <c r="J34" s="378">
        <f>I34*VLOOKUP($B$10,'Base Costs'!$A$32:$B$37,2,FALSE)</f>
        <v/>
      </c>
      <c r="K34" s="379">
        <f>I34-G34</f>
        <v/>
      </c>
      <c r="L34" s="469" t="n"/>
      <c r="M34" s="1143" t="inlineStr">
        <is>
          <t>3ph</t>
        </is>
      </c>
      <c r="N34" s="1144" t="n"/>
      <c r="O34" s="1133" t="n"/>
      <c r="P34" s="1133" t="n"/>
    </row>
    <row r="35" ht="15.75" customHeight="1" s="1085">
      <c r="A35" s="299" t="n">
        <v>266</v>
      </c>
      <c r="B35" s="269" t="inlineStr">
        <is>
          <t>MCB 8 WAY</t>
        </is>
      </c>
      <c r="C35" s="314" t="n"/>
      <c r="D35" s="269" t="inlineStr">
        <is>
          <t>225AMP</t>
        </is>
      </c>
      <c r="E35" s="269" t="n"/>
      <c r="F35" s="380">
        <f>'Base Costs'!AX50</f>
        <v/>
      </c>
      <c r="G35" s="378">
        <f>C35*F35</f>
        <v/>
      </c>
      <c r="H35" s="381" t="n">
        <v>0.37</v>
      </c>
      <c r="I35" s="378">
        <f>G35/(1-H35)*(1+$C$10)</f>
        <v/>
      </c>
      <c r="J35" s="378">
        <f>I35*VLOOKUP($B$10,'Base Costs'!$A$32:$B$37,2,FALSE)</f>
        <v/>
      </c>
      <c r="K35" s="379">
        <f>I35-G35</f>
        <v/>
      </c>
      <c r="L35" s="469" t="n"/>
      <c r="M35" s="570" t="inlineStr">
        <is>
          <t>KW</t>
        </is>
      </c>
      <c r="N35" s="571" t="n"/>
      <c r="O35" s="1133" t="n"/>
      <c r="P35" s="1133" t="n"/>
    </row>
    <row r="36" ht="15.75" customHeight="1" s="1085" thickBot="1">
      <c r="A36" s="299" t="n">
        <v>266</v>
      </c>
      <c r="B36" s="269" t="inlineStr">
        <is>
          <t>MCB 12WAY</t>
        </is>
      </c>
      <c r="C36" s="314" t="n"/>
      <c r="D36" s="269" t="inlineStr">
        <is>
          <t>225AMP</t>
        </is>
      </c>
      <c r="E36" s="269" t="n"/>
      <c r="F36" s="380">
        <f>'Base Costs'!AX51</f>
        <v/>
      </c>
      <c r="G36" s="378">
        <f>C36*F36</f>
        <v/>
      </c>
      <c r="H36" s="381" t="n">
        <v>0.37</v>
      </c>
      <c r="I36" s="378">
        <f>G36/(1-H36)*(1+$C$10)</f>
        <v/>
      </c>
      <c r="J36" s="378">
        <f>I36*VLOOKUP($B$10,'Base Costs'!$A$32:$B$37,2,FALSE)</f>
        <v/>
      </c>
      <c r="K36" s="379">
        <f>I36-G36</f>
        <v/>
      </c>
      <c r="L36" s="469" t="n"/>
      <c r="M36" s="572" t="inlineStr">
        <is>
          <t xml:space="preserve">V </t>
        </is>
      </c>
      <c r="N36" s="574" t="n">
        <v>400</v>
      </c>
      <c r="O36" s="1133" t="n"/>
      <c r="P36" s="1133" t="n"/>
    </row>
    <row r="37" ht="15.75" customHeight="1" s="1085" thickBot="1">
      <c r="A37" s="299" t="n">
        <v>266</v>
      </c>
      <c r="B37" s="269" t="inlineStr">
        <is>
          <t>SHUNT TRIP + KO</t>
        </is>
      </c>
      <c r="C37" s="314" t="n"/>
      <c r="D37" s="269" t="n"/>
      <c r="E37" s="269" t="n"/>
      <c r="F37" s="380">
        <f>'Base Costs'!AX52</f>
        <v/>
      </c>
      <c r="G37" s="378">
        <f>C37*F37</f>
        <v/>
      </c>
      <c r="H37" s="381" t="n">
        <v>0.37</v>
      </c>
      <c r="I37" s="378">
        <f>G37/(1-H37)*(1+$C$10)</f>
        <v/>
      </c>
      <c r="J37" s="378">
        <f>I37*VLOOKUP($B$10,'Base Costs'!$A$32:$B$37,2,FALSE)</f>
        <v/>
      </c>
      <c r="K37" s="379">
        <f>I37-G37</f>
        <v/>
      </c>
      <c r="L37" s="469" t="n"/>
      <c r="M37" s="573" t="inlineStr">
        <is>
          <t>Amp</t>
        </is>
      </c>
      <c r="N37" s="575">
        <f>IF((N36)="","0",((N35*1000)/(1.73205080756*N36)))</f>
        <v/>
      </c>
      <c r="O37" s="1133" t="n"/>
      <c r="P37" s="1133" t="n"/>
    </row>
    <row r="38" ht="15.75" customHeight="1" s="1085">
      <c r="A38" s="299" t="n">
        <v>266</v>
      </c>
      <c r="B38" s="269" t="inlineStr">
        <is>
          <t>ADDITIONAL KO</t>
        </is>
      </c>
      <c r="C38" s="314" t="n"/>
      <c r="D38" s="269" t="n"/>
      <c r="E38" s="269" t="n"/>
      <c r="F38" s="380">
        <f>'Base Costs'!AX53</f>
        <v/>
      </c>
      <c r="G38" s="378">
        <f>C38*F38</f>
        <v/>
      </c>
      <c r="H38" s="381" t="n">
        <v>0.37</v>
      </c>
      <c r="I38" s="378">
        <f>G38/(1-H38)*(1+$C$10)</f>
        <v/>
      </c>
      <c r="J38" s="378">
        <f>I38*VLOOKUP($B$10,'Base Costs'!$A$32:$B$37,2,FALSE)</f>
        <v/>
      </c>
      <c r="K38" s="379">
        <f>I38-G38</f>
        <v/>
      </c>
      <c r="L38" s="469" t="n"/>
      <c r="O38" s="1133" t="n"/>
      <c r="P38" s="1133" t="n"/>
    </row>
    <row r="39" ht="15.75" customHeight="1" s="1085">
      <c r="A39" s="299" t="n">
        <v>266</v>
      </c>
      <c r="B39" s="269" t="inlineStr">
        <is>
          <t>1-PHASE ISOLATOR/OUTLET</t>
        </is>
      </c>
      <c r="C39" s="314" t="n"/>
      <c r="D39" s="269" t="inlineStr">
        <is>
          <t>16AMP WITHOUT MCB</t>
        </is>
      </c>
      <c r="E39" s="269" t="n"/>
      <c r="F39" s="380">
        <f>'Base Costs'!AX54</f>
        <v/>
      </c>
      <c r="G39" s="378">
        <f>C39*F39</f>
        <v/>
      </c>
      <c r="H39" s="381" t="n">
        <v>0.37</v>
      </c>
      <c r="I39" s="378">
        <f>G39/(1-H39)*(1+$C$10)</f>
        <v/>
      </c>
      <c r="J39" s="378">
        <f>I39*VLOOKUP($B$10,'Base Costs'!$A$32:$B$37,2,FALSE)</f>
        <v/>
      </c>
      <c r="K39" s="379">
        <f>I39-G39</f>
        <v/>
      </c>
      <c r="L39" s="469" t="n"/>
      <c r="O39" s="1133" t="n"/>
      <c r="P39" s="1133" t="n"/>
    </row>
    <row r="40" ht="15.75" customHeight="1" s="1085">
      <c r="A40" s="299" t="n">
        <v>266</v>
      </c>
      <c r="B40" s="269" t="inlineStr">
        <is>
          <t>1-PHASE ISOLATOR/OUTLET</t>
        </is>
      </c>
      <c r="C40" s="314" t="n"/>
      <c r="D40" s="269" t="inlineStr">
        <is>
          <t>32AMP WITHOUT MCB</t>
        </is>
      </c>
      <c r="E40" s="269" t="n"/>
      <c r="F40" s="380">
        <f>'Base Costs'!AX63</f>
        <v/>
      </c>
      <c r="G40" s="378">
        <f>C40*F40</f>
        <v/>
      </c>
      <c r="H40" s="381" t="n">
        <v>0.37</v>
      </c>
      <c r="I40" s="378">
        <f>G40/(1-H40)*(1+$C$10)</f>
        <v/>
      </c>
      <c r="J40" s="378">
        <f>I40*VLOOKUP($B$10,'Base Costs'!$A$32:$B$37,2,FALSE)</f>
        <v/>
      </c>
      <c r="K40" s="379">
        <f>I40-G40</f>
        <v/>
      </c>
      <c r="L40" s="469" t="n"/>
      <c r="O40" s="1133" t="n"/>
      <c r="P40" s="1133" t="n"/>
    </row>
    <row r="41" ht="15.75" customHeight="1" s="1085">
      <c r="A41" s="299" t="n">
        <v>266</v>
      </c>
      <c r="B41" s="269" t="inlineStr">
        <is>
          <t>3-PHASE ISOLATOR/OUTLET</t>
        </is>
      </c>
      <c r="C41" s="314" t="n"/>
      <c r="D41" s="269" t="inlineStr">
        <is>
          <t>16AMP WTHOUT MCB</t>
        </is>
      </c>
      <c r="E41" s="269" t="n"/>
      <c r="F41" s="380">
        <f>'Base Costs'!AX75</f>
        <v/>
      </c>
      <c r="G41" s="378">
        <f>C41*F41</f>
        <v/>
      </c>
      <c r="H41" s="381" t="n">
        <v>0.37</v>
      </c>
      <c r="I41" s="378">
        <f>G41/(1-H41)*(1+$C$10)</f>
        <v/>
      </c>
      <c r="J41" s="378">
        <f>I41*VLOOKUP($B$10,'Base Costs'!$A$32:$B$37,2,FALSE)</f>
        <v/>
      </c>
      <c r="K41" s="379">
        <f>I41-G41</f>
        <v/>
      </c>
      <c r="L41" s="469" t="n"/>
      <c r="O41" s="1133" t="n"/>
      <c r="P41" s="1133" t="n"/>
    </row>
    <row r="42" ht="15.75" customHeight="1" s="1085">
      <c r="A42" s="299" t="n">
        <v>266</v>
      </c>
      <c r="B42" s="269" t="inlineStr">
        <is>
          <t>3-PHASE ISOLATOR/OUTLET</t>
        </is>
      </c>
      <c r="C42" s="314" t="n"/>
      <c r="D42" s="269" t="inlineStr">
        <is>
          <t>32AMP WITHOUT MCB</t>
        </is>
      </c>
      <c r="E42" s="269" t="n"/>
      <c r="F42" s="380">
        <f>'Base Costs'!AX76</f>
        <v/>
      </c>
      <c r="G42" s="378">
        <f>C42*F42</f>
        <v/>
      </c>
      <c r="H42" s="381" t="n">
        <v>0.37</v>
      </c>
      <c r="I42" s="378">
        <f>G42/(1-H42)*(1+$C$10)</f>
        <v/>
      </c>
      <c r="J42" s="378">
        <f>I42*VLOOKUP($B$10,'Base Costs'!$A$32:$B$37,2,FALSE)</f>
        <v/>
      </c>
      <c r="K42" s="379">
        <f>I42-G42</f>
        <v/>
      </c>
      <c r="L42" s="469" t="n"/>
      <c r="O42" s="1133" t="n"/>
      <c r="P42" s="1133" t="n"/>
    </row>
    <row r="43" ht="15.75" customHeight="1" s="1085">
      <c r="A43" s="299" t="n">
        <v>266</v>
      </c>
      <c r="B43" s="269" t="inlineStr">
        <is>
          <t>3-PHASE ISOLATOR/OUTLET</t>
        </is>
      </c>
      <c r="C43" s="314" t="n"/>
      <c r="D43" s="269" t="inlineStr">
        <is>
          <t>63AMP WITHOUT MCB</t>
        </is>
      </c>
      <c r="E43" s="269" t="n"/>
      <c r="F43" s="380">
        <f>'Base Costs'!AX77</f>
        <v/>
      </c>
      <c r="G43" s="378">
        <f>C43*F43</f>
        <v/>
      </c>
      <c r="H43" s="381" t="n">
        <v>0.37</v>
      </c>
      <c r="I43" s="378">
        <f>G43/(1-H43)*(1+$C$10)</f>
        <v/>
      </c>
      <c r="J43" s="378">
        <f>I43*VLOOKUP($B$10,'Base Costs'!$A$32:$B$37,2,FALSE)</f>
        <v/>
      </c>
      <c r="K43" s="379">
        <f>I43-G43</f>
        <v/>
      </c>
      <c r="L43" s="469" t="n"/>
      <c r="O43" s="1133" t="n"/>
      <c r="P43" s="1133" t="n"/>
    </row>
    <row r="44" ht="15.75" customHeight="1" s="1085">
      <c r="A44" s="299" t="n">
        <v>266</v>
      </c>
      <c r="B44" s="269" t="inlineStr">
        <is>
          <t>3-PHASE ISOLATOR/OUTLET</t>
        </is>
      </c>
      <c r="C44" s="314" t="n"/>
      <c r="D44" s="269" t="inlineStr">
        <is>
          <t>125AMP WITHOUT MCB</t>
        </is>
      </c>
      <c r="E44" s="269" t="n"/>
      <c r="F44" s="380">
        <f>'Base Costs'!AX78</f>
        <v/>
      </c>
      <c r="G44" s="378">
        <f>C44*F44</f>
        <v/>
      </c>
      <c r="H44" s="381" t="n">
        <v>0.37</v>
      </c>
      <c r="I44" s="378">
        <f>G44/(1-H44)*(1+$C$10)</f>
        <v/>
      </c>
      <c r="J44" s="378">
        <f>I44*VLOOKUP($B$10,'Base Costs'!$A$32:$B$37,2,FALSE)</f>
        <v/>
      </c>
      <c r="K44" s="379">
        <f>I44-G44</f>
        <v/>
      </c>
      <c r="L44" s="469" t="n"/>
      <c r="O44" s="1133" t="n"/>
      <c r="P44" s="1133" t="n"/>
    </row>
    <row r="45" ht="15.75" customHeight="1" s="1085">
      <c r="A45" s="299" t="n">
        <v>266</v>
      </c>
      <c r="B45" s="269" t="inlineStr">
        <is>
          <t>1-PHASE ISOLATOR/OUTLET</t>
        </is>
      </c>
      <c r="C45" s="314" t="n"/>
      <c r="D45" s="269" t="inlineStr">
        <is>
          <t>16AMP WITH MCB</t>
        </is>
      </c>
      <c r="E45" s="269" t="n"/>
      <c r="F45" s="380">
        <f>'Base Costs'!AX79</f>
        <v/>
      </c>
      <c r="G45" s="378">
        <f>C45*F45</f>
        <v/>
      </c>
      <c r="H45" s="381" t="n">
        <v>0.37</v>
      </c>
      <c r="I45" s="378">
        <f>G45/(1-H45)*(1+$C$10)</f>
        <v/>
      </c>
      <c r="J45" s="378">
        <f>I45*VLOOKUP($B$10,'Base Costs'!$A$32:$B$37,2,FALSE)</f>
        <v/>
      </c>
      <c r="K45" s="379">
        <f>I45-G45</f>
        <v/>
      </c>
      <c r="L45" s="469" t="n"/>
      <c r="O45" s="1133" t="n"/>
      <c r="P45" s="1133" t="n"/>
    </row>
    <row r="46" ht="15.75" customHeight="1" s="1085">
      <c r="A46" s="299" t="n">
        <v>266</v>
      </c>
      <c r="B46" s="269" t="inlineStr">
        <is>
          <t>1-PHASE ISOLATOR/OUTLET</t>
        </is>
      </c>
      <c r="C46" s="314" t="n"/>
      <c r="D46" s="269" t="inlineStr">
        <is>
          <t>32AMP WITH MCB</t>
        </is>
      </c>
      <c r="E46" s="269" t="n"/>
      <c r="F46" s="380">
        <f>'Base Costs'!AX80</f>
        <v/>
      </c>
      <c r="G46" s="378">
        <f>C46*F46</f>
        <v/>
      </c>
      <c r="H46" s="381" t="n">
        <v>0.37</v>
      </c>
      <c r="I46" s="378">
        <f>G46/(1-H46)*(1+$C$10)</f>
        <v/>
      </c>
      <c r="J46" s="378">
        <f>I46*VLOOKUP($B$10,'Base Costs'!$A$32:$B$37,2,FALSE)</f>
        <v/>
      </c>
      <c r="K46" s="379">
        <f>I46-G46</f>
        <v/>
      </c>
      <c r="L46" s="469" t="n"/>
      <c r="O46" s="1133" t="n"/>
      <c r="P46" s="1133" t="n"/>
    </row>
    <row r="47" ht="15.75" customHeight="1" s="1085">
      <c r="A47" s="299" t="n">
        <v>266</v>
      </c>
      <c r="B47" s="269" t="inlineStr">
        <is>
          <t>3-PHASE ISOLATOR/OUTLET</t>
        </is>
      </c>
      <c r="C47" s="314" t="n"/>
      <c r="D47" s="269" t="inlineStr">
        <is>
          <t>16AMP WITH MCB</t>
        </is>
      </c>
      <c r="E47" s="269" t="n"/>
      <c r="F47" s="380">
        <f>'Base Costs'!AX81</f>
        <v/>
      </c>
      <c r="G47" s="378">
        <f>C47*F47</f>
        <v/>
      </c>
      <c r="H47" s="381" t="n">
        <v>0.37</v>
      </c>
      <c r="I47" s="378">
        <f>G47/(1-H47)*(1+$C$10)</f>
        <v/>
      </c>
      <c r="J47" s="378">
        <f>I47*VLOOKUP($B$10,'Base Costs'!$A$32:$B$37,2,FALSE)</f>
        <v/>
      </c>
      <c r="K47" s="379">
        <f>I47-G47</f>
        <v/>
      </c>
      <c r="L47" s="469" t="n"/>
      <c r="O47" s="1133" t="n"/>
      <c r="P47" s="1133" t="n"/>
    </row>
    <row r="48" ht="15.75" customHeight="1" s="1085">
      <c r="A48" s="299" t="n">
        <v>266</v>
      </c>
      <c r="B48" s="269" t="inlineStr">
        <is>
          <t>3-PHASE ISOLATOR/OUTLET</t>
        </is>
      </c>
      <c r="C48" s="314" t="n"/>
      <c r="D48" s="269" t="inlineStr">
        <is>
          <t>32AMP WITH MCB</t>
        </is>
      </c>
      <c r="E48" s="269" t="n"/>
      <c r="F48" s="380">
        <f>'Base Costs'!AX82</f>
        <v/>
      </c>
      <c r="G48" s="378">
        <f>C48*F48</f>
        <v/>
      </c>
      <c r="H48" s="381" t="n">
        <v>0.37</v>
      </c>
      <c r="I48" s="378">
        <f>G48/(1-H48)*(1+$C$10)</f>
        <v/>
      </c>
      <c r="J48" s="378">
        <f>I48*VLOOKUP($B$10,'Base Costs'!$A$32:$B$37,2,FALSE)</f>
        <v/>
      </c>
      <c r="K48" s="379">
        <f>I48-G48</f>
        <v/>
      </c>
      <c r="L48" s="469" t="n"/>
      <c r="O48" s="1133" t="n"/>
      <c r="P48" s="1133" t="n"/>
    </row>
    <row r="49" ht="15.75" customHeight="1" s="1085">
      <c r="A49" s="299" t="n">
        <v>266</v>
      </c>
      <c r="B49" s="269" t="inlineStr">
        <is>
          <t>3-PHASE ISOLATOR/OUTLET</t>
        </is>
      </c>
      <c r="C49" s="314" t="n"/>
      <c r="D49" s="269" t="inlineStr">
        <is>
          <t>63AMP WITH MCB</t>
        </is>
      </c>
      <c r="E49" s="269" t="n"/>
      <c r="F49" s="380">
        <f>'Base Costs'!AX83</f>
        <v/>
      </c>
      <c r="G49" s="378">
        <f>C49*F49</f>
        <v/>
      </c>
      <c r="H49" s="381" t="n">
        <v>0.37</v>
      </c>
      <c r="I49" s="378">
        <f>G49/(1-H49)*(1+$C$10)</f>
        <v/>
      </c>
      <c r="J49" s="378">
        <f>I49*VLOOKUP($B$10,'Base Costs'!$A$32:$B$37,2,FALSE)</f>
        <v/>
      </c>
      <c r="K49" s="379">
        <f>I49-G49</f>
        <v/>
      </c>
      <c r="L49" s="469" t="n"/>
      <c r="O49" s="1133" t="n"/>
      <c r="P49" s="1133" t="n"/>
    </row>
    <row r="50" ht="15.75" customHeight="1" s="1085">
      <c r="A50" s="299" t="n">
        <v>266</v>
      </c>
      <c r="B50" s="269" t="inlineStr">
        <is>
          <t>3-PHASE ISOLATOR/OUTLET</t>
        </is>
      </c>
      <c r="C50" s="314" t="n"/>
      <c r="D50" s="269" t="inlineStr">
        <is>
          <t>125AMP WITH MCB</t>
        </is>
      </c>
      <c r="E50" s="269" t="n"/>
      <c r="F50" s="380">
        <f>'Base Costs'!AX84</f>
        <v/>
      </c>
      <c r="G50" s="378">
        <f>C50*F50</f>
        <v/>
      </c>
      <c r="H50" s="381" t="n">
        <v>0.37</v>
      </c>
      <c r="I50" s="378">
        <f>G50/(1-H50)*(1+$C$10)</f>
        <v/>
      </c>
      <c r="J50" s="378">
        <f>I50*VLOOKUP($B$10,'Base Costs'!$A$32:$B$37,2,FALSE)</f>
        <v/>
      </c>
      <c r="K50" s="379">
        <f>I50-G50</f>
        <v/>
      </c>
      <c r="L50" s="469" t="n"/>
      <c r="O50" s="1133" t="n"/>
      <c r="P50" s="1133" t="n"/>
    </row>
    <row r="51" ht="15.75" customHeight="1" s="1085">
      <c r="A51" s="299" t="n">
        <v>266</v>
      </c>
      <c r="B51" s="269" t="inlineStr">
        <is>
          <t>RING MAIN</t>
        </is>
      </c>
      <c r="C51" s="314" t="n"/>
      <c r="D51" s="269" t="inlineStr">
        <is>
          <t>INC 2NO SSO</t>
        </is>
      </c>
      <c r="E51" s="269" t="n"/>
      <c r="F51" s="380">
        <f>'Base Costs'!AX85</f>
        <v/>
      </c>
      <c r="G51" s="378">
        <f>C51*F51</f>
        <v/>
      </c>
      <c r="H51" s="381" t="n">
        <v>0.37</v>
      </c>
      <c r="I51" s="378">
        <f>G51/(1-H51)*(1+$C$10)</f>
        <v/>
      </c>
      <c r="J51" s="378">
        <f>I51*VLOOKUP($B$10,'Base Costs'!$A$32:$B$37,2,FALSE)</f>
        <v/>
      </c>
      <c r="K51" s="379">
        <f>I51-G51</f>
        <v/>
      </c>
      <c r="L51" s="469" t="n"/>
      <c r="O51" s="1133" t="n"/>
      <c r="P51" s="1133" t="n"/>
    </row>
    <row r="52" ht="15.75" customHeight="1" s="1085">
      <c r="A52" s="299" t="n">
        <v>266</v>
      </c>
      <c r="B52" s="269" t="inlineStr">
        <is>
          <t>ADDITIONAL SSO</t>
        </is>
      </c>
      <c r="C52" s="314" t="n"/>
      <c r="D52" s="269" t="n"/>
      <c r="E52" s="269" t="n"/>
      <c r="F52" s="380">
        <f>'Base Costs'!AX86</f>
        <v/>
      </c>
      <c r="G52" s="378">
        <f>C52*F52</f>
        <v/>
      </c>
      <c r="H52" s="381" t="n">
        <v>0.37</v>
      </c>
      <c r="I52" s="378">
        <f>G52/(1-H52)*(1+$C$10)</f>
        <v/>
      </c>
      <c r="J52" s="378">
        <f>I52*VLOOKUP($B$10,'Base Costs'!$A$32:$B$37,2,FALSE)</f>
        <v/>
      </c>
      <c r="K52" s="379">
        <f>I52-G52</f>
        <v/>
      </c>
      <c r="L52" s="469" t="n"/>
      <c r="O52" s="1133" t="n"/>
      <c r="P52" s="1133" t="n"/>
    </row>
    <row r="53" ht="15.75" customHeight="1" s="1085">
      <c r="A53" s="299" t="n">
        <v>266</v>
      </c>
      <c r="B53" s="269" t="inlineStr">
        <is>
          <t>BS 6173</t>
        </is>
      </c>
      <c r="C53" s="314" t="n"/>
      <c r="D53" s="269" t="inlineStr">
        <is>
          <t>GAS INTERLOCK EX-WORKS</t>
        </is>
      </c>
      <c r="E53" s="269" t="n"/>
      <c r="F53" s="380">
        <f>'Base Costs'!AX87</f>
        <v/>
      </c>
      <c r="G53" s="378">
        <f>C53*F53</f>
        <v/>
      </c>
      <c r="H53" s="381" t="n">
        <v>0.37</v>
      </c>
      <c r="I53" s="378">
        <f>G53/(1-H53)*(1+$C$10)</f>
        <v/>
      </c>
      <c r="J53" s="378">
        <f>I53*VLOOKUP($B$10,'Base Costs'!$A$32:$B$37,2,FALSE)</f>
        <v/>
      </c>
      <c r="K53" s="379">
        <f>I53-G53</f>
        <v/>
      </c>
      <c r="L53" s="469" t="n"/>
      <c r="O53" s="1133" t="n"/>
      <c r="P53" s="1133" t="n"/>
    </row>
    <row r="54" ht="15.75" customHeight="1" s="1085">
      <c r="A54" s="299" t="n">
        <v>266</v>
      </c>
      <c r="B54" s="269" t="inlineStr">
        <is>
          <t>RING MAIN</t>
        </is>
      </c>
      <c r="C54" s="314" t="n"/>
      <c r="D54" s="269" t="inlineStr">
        <is>
          <t>INC 2NO SSO WITH MCB</t>
        </is>
      </c>
      <c r="E54" s="269" t="n"/>
      <c r="F54" s="380">
        <f>'Base Costs'!AX88</f>
        <v/>
      </c>
      <c r="G54" s="378">
        <f>C54*F54</f>
        <v/>
      </c>
      <c r="H54" s="381" t="n">
        <v>0.37</v>
      </c>
      <c r="I54" s="378">
        <f>G54/(1-H54)*(1+$C$10)</f>
        <v/>
      </c>
      <c r="J54" s="378">
        <f>I54*VLOOKUP($B$10,'Base Costs'!$A$32:$B$37,2,FALSE)</f>
        <v/>
      </c>
      <c r="K54" s="379">
        <f>I54-G54</f>
        <v/>
      </c>
      <c r="L54" s="469" t="n"/>
      <c r="O54" s="1133" t="n"/>
      <c r="P54" s="1133" t="n"/>
    </row>
    <row r="55" ht="15.75" customHeight="1" s="1085">
      <c r="B55" s="190" t="n"/>
      <c r="C55" s="186" t="n"/>
      <c r="D55" s="190" t="n"/>
      <c r="E55" s="190" t="n"/>
      <c r="F55" s="190" t="n"/>
      <c r="G55" s="296" t="n"/>
      <c r="H55" s="297" t="n"/>
      <c r="I55" s="296" t="n"/>
      <c r="J55" s="296" t="n"/>
      <c r="K55" s="183" t="n"/>
      <c r="L55" s="469" t="n"/>
      <c r="O55" s="1133" t="n"/>
      <c r="P55" s="1133" t="n"/>
    </row>
    <row r="56" ht="15.75" customHeight="1" s="1085">
      <c r="B56" s="24" t="inlineStr">
        <is>
          <t>GAS (MF MECH)</t>
        </is>
      </c>
      <c r="C56" s="192" t="n"/>
      <c r="D56" s="193" t="n"/>
      <c r="E56" s="193" t="n"/>
      <c r="F56" s="193" t="n"/>
      <c r="G56" s="61">
        <f>SUBTOTAL(9,G57:G68)</f>
        <v/>
      </c>
      <c r="H56" s="39">
        <f>IF(G56=0,"-",K56/I56)</f>
        <v/>
      </c>
      <c r="I56" s="61">
        <f>SUBTOTAL(9,I57:I68)</f>
        <v/>
      </c>
      <c r="J56" s="465">
        <f>SUBTOTAL(9,J57:J68)</f>
        <v/>
      </c>
      <c r="K56" s="61">
        <f>SUBTOTAL(9,K57:K68)</f>
        <v/>
      </c>
      <c r="L56" s="469" t="n"/>
      <c r="O56" s="1133" t="n"/>
      <c r="P56" s="1133" t="n"/>
    </row>
    <row r="57" ht="15.75" customHeight="1" s="1085">
      <c r="A57" s="299" t="n">
        <v>269</v>
      </c>
      <c r="B57" s="269" t="inlineStr">
        <is>
          <t>GAS MANIFOLD</t>
        </is>
      </c>
      <c r="C57" s="314" t="n"/>
      <c r="D57" s="269" t="inlineStr">
        <is>
          <t>50MM UP TO 6M</t>
        </is>
      </c>
      <c r="E57" s="269" t="n"/>
      <c r="F57" s="380">
        <f>'Base Costs'!AX90</f>
        <v/>
      </c>
      <c r="G57" s="378">
        <f>C57*F57</f>
        <v/>
      </c>
      <c r="H57" s="381" t="n">
        <v>0.37</v>
      </c>
      <c r="I57" s="378">
        <f>G57/(1-H57)*(1+$C$10)</f>
        <v/>
      </c>
      <c r="J57" s="378">
        <f>I57*VLOOKUP($B$10,'Base Costs'!$A$32:$B$37,2,FALSE)</f>
        <v/>
      </c>
      <c r="K57" s="379">
        <f>I57-G57</f>
        <v/>
      </c>
      <c r="L57" s="469" t="n"/>
      <c r="O57" s="1133" t="n"/>
      <c r="P57" s="1133" t="n"/>
    </row>
    <row r="58" ht="15.75" customHeight="1" s="1085">
      <c r="A58" s="299" t="n">
        <v>269</v>
      </c>
      <c r="B58" s="269" t="inlineStr">
        <is>
          <t>GAS MANIFOLD</t>
        </is>
      </c>
      <c r="C58" s="314" t="n"/>
      <c r="D58" s="269" t="inlineStr">
        <is>
          <t>40MM UP TO 6M</t>
        </is>
      </c>
      <c r="E58" s="269" t="n"/>
      <c r="F58" s="380">
        <f>'Base Costs'!AX91</f>
        <v/>
      </c>
      <c r="G58" s="378">
        <f>C58*F58</f>
        <v/>
      </c>
      <c r="H58" s="381" t="n">
        <v>0.37</v>
      </c>
      <c r="I58" s="378">
        <f>G58/(1-H58)*(1+$C$10)</f>
        <v/>
      </c>
      <c r="J58" s="378">
        <f>I58*VLOOKUP($B$10,'Base Costs'!$A$32:$B$37,2,FALSE)</f>
        <v/>
      </c>
      <c r="K58" s="379">
        <f>I58-G58</f>
        <v/>
      </c>
      <c r="L58" s="469" t="n"/>
      <c r="O58" s="1133" t="n"/>
      <c r="P58" s="1133" t="n"/>
    </row>
    <row r="59" ht="15.75" customHeight="1" s="1085">
      <c r="A59" s="299" t="n">
        <v>269</v>
      </c>
      <c r="B59" s="269" t="inlineStr">
        <is>
          <t>GAS MANIFOLD</t>
        </is>
      </c>
      <c r="C59" s="314" t="n"/>
      <c r="D59" s="269" t="inlineStr">
        <is>
          <t>32MM UP TO 6M</t>
        </is>
      </c>
      <c r="E59" s="269" t="n"/>
      <c r="F59" s="380">
        <f>'Base Costs'!AX92</f>
        <v/>
      </c>
      <c r="G59" s="378">
        <f>C59*F59</f>
        <v/>
      </c>
      <c r="H59" s="381" t="n">
        <v>0.37</v>
      </c>
      <c r="I59" s="378">
        <f>G59/(1-H59)*(1+$C$10)</f>
        <v/>
      </c>
      <c r="J59" s="378">
        <f>I59*VLOOKUP($B$10,'Base Costs'!$A$32:$B$37,2,FALSE)</f>
        <v/>
      </c>
      <c r="K59" s="379">
        <f>I59-G59</f>
        <v/>
      </c>
      <c r="L59" s="469" t="n"/>
      <c r="O59" s="1133" t="n"/>
      <c r="P59" s="1133" t="n"/>
    </row>
    <row r="60" ht="15.75" customHeight="1" s="1085">
      <c r="A60" s="299" t="n">
        <v>269</v>
      </c>
      <c r="B60" s="269" t="inlineStr">
        <is>
          <t>GAS MANIFOLD</t>
        </is>
      </c>
      <c r="C60" s="314" t="n"/>
      <c r="D60" s="269" t="inlineStr">
        <is>
          <t>25MM UP TO 6M</t>
        </is>
      </c>
      <c r="E60" s="269" t="n"/>
      <c r="F60" s="380">
        <f>'Base Costs'!AX93</f>
        <v/>
      </c>
      <c r="G60" s="378">
        <f>C60*F60</f>
        <v/>
      </c>
      <c r="H60" s="381" t="n">
        <v>0.37</v>
      </c>
      <c r="I60" s="378">
        <f>G60/(1-H60)*(1+$C$10)</f>
        <v/>
      </c>
      <c r="J60" s="378">
        <f>I60*VLOOKUP($B$10,'Base Costs'!$A$32:$B$37,2,FALSE)</f>
        <v/>
      </c>
      <c r="K60" s="379">
        <f>I60-G60</f>
        <v/>
      </c>
      <c r="L60" s="469" t="n"/>
      <c r="O60" s="1133" t="n"/>
      <c r="P60" s="1133" t="n"/>
    </row>
    <row r="61" ht="15.75" customHeight="1" s="1085">
      <c r="A61" s="299" t="n">
        <v>269</v>
      </c>
      <c r="B61" s="269" t="inlineStr">
        <is>
          <t>GAS CONNECTION</t>
        </is>
      </c>
      <c r="C61" s="314" t="n"/>
      <c r="D61" s="269" t="inlineStr">
        <is>
          <t>15MM</t>
        </is>
      </c>
      <c r="E61" s="269" t="n"/>
      <c r="F61" s="380">
        <f>'Base Costs'!AX94</f>
        <v/>
      </c>
      <c r="G61" s="378">
        <f>C61*F61</f>
        <v/>
      </c>
      <c r="H61" s="381" t="n">
        <v>0.37</v>
      </c>
      <c r="I61" s="378">
        <f>G61/(1-H61)*(1+$C$10)</f>
        <v/>
      </c>
      <c r="J61" s="378">
        <f>I61*VLOOKUP($B$10,'Base Costs'!$A$32:$B$37,2,FALSE)</f>
        <v/>
      </c>
      <c r="K61" s="379">
        <f>I61-G61</f>
        <v/>
      </c>
      <c r="L61" s="469" t="n"/>
      <c r="O61" s="1133" t="n"/>
      <c r="P61" s="1133" t="n"/>
    </row>
    <row r="62" ht="15.75" customHeight="1" s="1085">
      <c r="A62" s="299" t="n">
        <v>269</v>
      </c>
      <c r="B62" s="269" t="inlineStr">
        <is>
          <t>GAS CONNECTION</t>
        </is>
      </c>
      <c r="C62" s="314" t="n"/>
      <c r="D62" s="269" t="inlineStr">
        <is>
          <t>20MM</t>
        </is>
      </c>
      <c r="E62" s="269" t="n"/>
      <c r="F62" s="380">
        <f>'Base Costs'!AX95</f>
        <v/>
      </c>
      <c r="G62" s="378">
        <f>C62*F62</f>
        <v/>
      </c>
      <c r="H62" s="381" t="n">
        <v>0.37</v>
      </c>
      <c r="I62" s="378">
        <f>G62/(1-H62)*(1+$C$10)</f>
        <v/>
      </c>
      <c r="J62" s="378">
        <f>I62*VLOOKUP($B$10,'Base Costs'!$A$32:$B$37,2,FALSE)</f>
        <v/>
      </c>
      <c r="K62" s="379">
        <f>I62-G62</f>
        <v/>
      </c>
      <c r="L62" s="469" t="n"/>
      <c r="O62" s="1133" t="n"/>
      <c r="P62" s="1133" t="n"/>
    </row>
    <row r="63" ht="15.75" customHeight="1" s="1085">
      <c r="A63" s="299" t="n">
        <v>269</v>
      </c>
      <c r="B63" s="269" t="inlineStr">
        <is>
          <t>GAS CONNECTION</t>
        </is>
      </c>
      <c r="C63" s="314" t="n"/>
      <c r="D63" s="269" t="inlineStr">
        <is>
          <t>25MM</t>
        </is>
      </c>
      <c r="E63" s="269" t="n"/>
      <c r="F63" s="380">
        <f>'Base Costs'!AX96</f>
        <v/>
      </c>
      <c r="G63" s="378">
        <f>C63*F63</f>
        <v/>
      </c>
      <c r="H63" s="381" t="n">
        <v>0.37</v>
      </c>
      <c r="I63" s="378">
        <f>G63/(1-H63)*(1+$C$10)</f>
        <v/>
      </c>
      <c r="J63" s="378">
        <f>I63*VLOOKUP($B$10,'Base Costs'!$A$32:$B$37,2,FALSE)</f>
        <v/>
      </c>
      <c r="K63" s="379">
        <f>I63-G63</f>
        <v/>
      </c>
      <c r="L63" s="469" t="n"/>
      <c r="O63" s="1133" t="n"/>
      <c r="P63" s="1133" t="n"/>
    </row>
    <row r="64" ht="15.75" customHeight="1" s="1085">
      <c r="A64" s="299" t="n">
        <v>269</v>
      </c>
      <c r="B64" s="269" t="inlineStr">
        <is>
          <t>GAS CONNECTION</t>
        </is>
      </c>
      <c r="C64" s="314" t="n"/>
      <c r="D64" s="269" t="inlineStr">
        <is>
          <t>32MM</t>
        </is>
      </c>
      <c r="E64" s="269" t="n"/>
      <c r="F64" s="380">
        <f>'Base Costs'!AX97</f>
        <v/>
      </c>
      <c r="G64" s="378">
        <f>C64*F64</f>
        <v/>
      </c>
      <c r="H64" s="381" t="n">
        <v>0.37</v>
      </c>
      <c r="I64" s="378">
        <f>G64/(1-H64)*(1+$C$10)</f>
        <v/>
      </c>
      <c r="J64" s="378">
        <f>I64*VLOOKUP($B$10,'Base Costs'!$A$32:$B$37,2,FALSE)</f>
        <v/>
      </c>
      <c r="K64" s="379">
        <f>I64-G64</f>
        <v/>
      </c>
      <c r="L64" s="469" t="n"/>
      <c r="O64" s="1133" t="n"/>
      <c r="P64" s="1133" t="n"/>
    </row>
    <row r="65" ht="15.75" customHeight="1" s="1085">
      <c r="A65" s="299" t="n">
        <v>269</v>
      </c>
      <c r="B65" s="269" t="inlineStr">
        <is>
          <t>GAS SOLONOID VALVE</t>
        </is>
      </c>
      <c r="C65" s="314" t="n"/>
      <c r="D65" s="269" t="inlineStr">
        <is>
          <t>25MM</t>
        </is>
      </c>
      <c r="E65" s="269" t="n"/>
      <c r="F65" s="380">
        <f>'Base Costs'!AX98</f>
        <v/>
      </c>
      <c r="G65" s="378">
        <f>C65*F65</f>
        <v/>
      </c>
      <c r="H65" s="381" t="n">
        <v>0.37</v>
      </c>
      <c r="I65" s="378">
        <f>G65/(1-H65)*(1+$C$10)</f>
        <v/>
      </c>
      <c r="J65" s="378">
        <f>I65*VLOOKUP($B$10,'Base Costs'!$A$32:$B$37,2,FALSE)</f>
        <v/>
      </c>
      <c r="K65" s="379">
        <f>I65-G65</f>
        <v/>
      </c>
      <c r="L65" s="469" t="n"/>
      <c r="O65" s="1133" t="n"/>
      <c r="P65" s="1133" t="n"/>
    </row>
    <row r="66" ht="15.75" customHeight="1" s="1085">
      <c r="A66" s="299" t="n">
        <v>269</v>
      </c>
      <c r="B66" s="269" t="inlineStr">
        <is>
          <t>GAS SOLONOID VALVE</t>
        </is>
      </c>
      <c r="C66" s="314" t="n"/>
      <c r="D66" s="269" t="inlineStr">
        <is>
          <t>32MM</t>
        </is>
      </c>
      <c r="E66" s="269" t="n"/>
      <c r="F66" s="380">
        <f>'Base Costs'!AX99</f>
        <v/>
      </c>
      <c r="G66" s="378">
        <f>C66*F66</f>
        <v/>
      </c>
      <c r="H66" s="381" t="n">
        <v>0.37</v>
      </c>
      <c r="I66" s="378">
        <f>G66/(1-H66)*(1+$C$10)</f>
        <v/>
      </c>
      <c r="J66" s="378">
        <f>I66*VLOOKUP($B$10,'Base Costs'!$A$32:$B$37,2,FALSE)</f>
        <v/>
      </c>
      <c r="K66" s="379">
        <f>I66-G66</f>
        <v/>
      </c>
      <c r="L66" s="469" t="n"/>
      <c r="O66" s="1133" t="n"/>
      <c r="P66" s="1133" t="n"/>
    </row>
    <row r="67" ht="15.75" customHeight="1" s="1085">
      <c r="A67" s="299" t="n">
        <v>269</v>
      </c>
      <c r="B67" s="269" t="inlineStr">
        <is>
          <t>GAS SOLONOD VALVE</t>
        </is>
      </c>
      <c r="C67" s="314" t="n"/>
      <c r="D67" s="269" t="inlineStr">
        <is>
          <t>40MM</t>
        </is>
      </c>
      <c r="E67" s="269" t="n"/>
      <c r="F67" s="380">
        <f>'Base Costs'!AX100</f>
        <v/>
      </c>
      <c r="G67" s="378">
        <f>C67*F67</f>
        <v/>
      </c>
      <c r="H67" s="381" t="n">
        <v>0.37</v>
      </c>
      <c r="I67" s="378">
        <f>G67/(1-H67)*(1+$C$10)</f>
        <v/>
      </c>
      <c r="J67" s="378">
        <f>I67*VLOOKUP($B$10,'Base Costs'!$A$32:$B$37,2,FALSE)</f>
        <v/>
      </c>
      <c r="K67" s="379">
        <f>I67-G67</f>
        <v/>
      </c>
      <c r="L67" s="469" t="n"/>
      <c r="O67" s="1133" t="n"/>
      <c r="P67" s="1133" t="n"/>
    </row>
    <row r="68" ht="15.75" customHeight="1" s="1085">
      <c r="A68" s="299" t="n">
        <v>269</v>
      </c>
      <c r="B68" s="269" t="inlineStr">
        <is>
          <t>GAS SOLONOID VALVE</t>
        </is>
      </c>
      <c r="C68" s="314" t="n"/>
      <c r="D68" s="269" t="inlineStr">
        <is>
          <t xml:space="preserve">50MM  </t>
        </is>
      </c>
      <c r="E68" s="269" t="n"/>
      <c r="F68" s="380">
        <f>'Base Costs'!AX101</f>
        <v/>
      </c>
      <c r="G68" s="378">
        <f>C68*F68</f>
        <v/>
      </c>
      <c r="H68" s="381" t="n">
        <v>0.37</v>
      </c>
      <c r="I68" s="378">
        <f>G68/(1-H68)*(1+$C$10)</f>
        <v/>
      </c>
      <c r="J68" s="378">
        <f>I68*VLOOKUP($B$10,'Base Costs'!$A$32:$B$37,2,FALSE)</f>
        <v/>
      </c>
      <c r="K68" s="379">
        <f>I68-G68</f>
        <v/>
      </c>
      <c r="L68" s="469" t="n"/>
      <c r="O68" s="1133" t="n"/>
      <c r="P68" s="1133" t="n"/>
    </row>
    <row r="69" ht="15.75" customHeight="1" s="1085">
      <c r="C69" s="1138" t="n"/>
      <c r="F69" s="183" t="n"/>
      <c r="G69" s="183" t="n"/>
      <c r="H69" s="174" t="n"/>
      <c r="I69" s="183" t="n"/>
      <c r="J69" s="183" t="n"/>
      <c r="K69" s="183" t="n"/>
      <c r="O69" s="1133" t="n"/>
      <c r="P69" s="1133" t="n"/>
    </row>
    <row r="70" ht="15.75" customHeight="1" s="1085">
      <c r="B70" s="24" t="inlineStr">
        <is>
          <t>WATER  (MF MECH)</t>
        </is>
      </c>
      <c r="C70" s="192" t="n"/>
      <c r="D70" s="194" t="n"/>
      <c r="E70" s="193" t="n"/>
      <c r="F70" s="298" t="n"/>
      <c r="G70" s="61">
        <f>SUBTOTAL(9,G71:G79)</f>
        <v/>
      </c>
      <c r="H70" s="39">
        <f>IF(G70=0,"-",K70/I70)</f>
        <v/>
      </c>
      <c r="I70" s="61">
        <f>SUBTOTAL(9,I71:I79)</f>
        <v/>
      </c>
      <c r="J70" s="465">
        <f>SUBTOTAL(9,J71:J79)</f>
        <v/>
      </c>
      <c r="K70" s="61">
        <f>SUBTOTAL(9,K71:K79)</f>
        <v/>
      </c>
      <c r="L70" s="469" t="n"/>
      <c r="O70" s="1133" t="n"/>
      <c r="P70" s="1133" t="n"/>
    </row>
    <row r="71" ht="15.75" customHeight="1" s="1085">
      <c r="A71" s="299" t="n">
        <v>269</v>
      </c>
      <c r="B71" s="269" t="inlineStr">
        <is>
          <t>CWS MANIFOLD</t>
        </is>
      </c>
      <c r="C71" s="314" t="n"/>
      <c r="D71" s="269" t="inlineStr">
        <is>
          <t>28MM UP TO 6M</t>
        </is>
      </c>
      <c r="E71" s="269" t="n"/>
      <c r="F71" s="380">
        <f>'Base Costs'!AX103</f>
        <v/>
      </c>
      <c r="G71" s="378">
        <f>C71*F71</f>
        <v/>
      </c>
      <c r="H71" s="381" t="n">
        <v>0.37</v>
      </c>
      <c r="I71" s="378">
        <f>G71/(1-H71)*(1+$C$10)</f>
        <v/>
      </c>
      <c r="J71" s="378">
        <f>I71*VLOOKUP($B$10,'Base Costs'!$A$32:$B$37,2,FALSE)</f>
        <v/>
      </c>
      <c r="K71" s="379">
        <f>I71-G71</f>
        <v/>
      </c>
      <c r="L71" s="469" t="n"/>
      <c r="O71" s="1133" t="n"/>
      <c r="P71" s="1133" t="n"/>
    </row>
    <row r="72" ht="15.75" customHeight="1" s="1085">
      <c r="A72" s="299" t="n">
        <v>269</v>
      </c>
      <c r="B72" s="269" t="inlineStr">
        <is>
          <t>CWS MANIFOLD</t>
        </is>
      </c>
      <c r="C72" s="314" t="n"/>
      <c r="D72" s="269" t="inlineStr">
        <is>
          <t>22MM UP TO 6M</t>
        </is>
      </c>
      <c r="E72" s="269" t="n"/>
      <c r="F72" s="380">
        <f>'Base Costs'!AX104</f>
        <v/>
      </c>
      <c r="G72" s="378">
        <f>C72*F72</f>
        <v/>
      </c>
      <c r="H72" s="381" t="n">
        <v>0.37</v>
      </c>
      <c r="I72" s="378">
        <f>G72/(1-H72)*(1+$C$10)</f>
        <v/>
      </c>
      <c r="J72" s="378">
        <f>I72*VLOOKUP($B$10,'Base Costs'!$A$32:$B$37,2,FALSE)</f>
        <v/>
      </c>
      <c r="K72" s="379">
        <f>I72-G72</f>
        <v/>
      </c>
      <c r="L72" s="469" t="n"/>
      <c r="O72" s="1133" t="n"/>
      <c r="P72" s="1133" t="n"/>
    </row>
    <row r="73" ht="15.75" customHeight="1" s="1085">
      <c r="A73" s="299" t="n">
        <v>269</v>
      </c>
      <c r="B73" s="269" t="inlineStr">
        <is>
          <t>CWS MANIFOLD</t>
        </is>
      </c>
      <c r="C73" s="314" t="n"/>
      <c r="D73" s="269" t="inlineStr">
        <is>
          <t>15MM UP TO 6M</t>
        </is>
      </c>
      <c r="E73" s="269" t="n"/>
      <c r="F73" s="380">
        <f>'Base Costs'!AX105</f>
        <v/>
      </c>
      <c r="G73" s="378">
        <f>C73*F73</f>
        <v/>
      </c>
      <c r="H73" s="381" t="n">
        <v>0.37</v>
      </c>
      <c r="I73" s="378">
        <f>G73/(1-H73)*(1+$C$10)</f>
        <v/>
      </c>
      <c r="J73" s="378">
        <f>I73*VLOOKUP($B$10,'Base Costs'!$A$32:$B$37,2,FALSE)</f>
        <v/>
      </c>
      <c r="K73" s="379">
        <f>I73-G73</f>
        <v/>
      </c>
      <c r="L73" s="469" t="n"/>
      <c r="O73" s="1133" t="n"/>
      <c r="P73" s="1133" t="n"/>
    </row>
    <row r="74" ht="15.75" customHeight="1" s="1085">
      <c r="A74" s="299" t="n">
        <v>269</v>
      </c>
      <c r="B74" s="269" t="inlineStr">
        <is>
          <t>HWS MANIFOLD</t>
        </is>
      </c>
      <c r="C74" s="314" t="n"/>
      <c r="D74" s="269" t="inlineStr">
        <is>
          <t>22/15MM UP TO 6M</t>
        </is>
      </c>
      <c r="E74" s="269" t="n"/>
      <c r="F74" s="380">
        <f>'Base Costs'!AX106</f>
        <v/>
      </c>
      <c r="G74" s="378">
        <f>C74*F74</f>
        <v/>
      </c>
      <c r="H74" s="381" t="n">
        <v>0.37</v>
      </c>
      <c r="I74" s="378">
        <f>G74/(1-H74)*(1+$C$10)</f>
        <v/>
      </c>
      <c r="J74" s="378">
        <f>I74*VLOOKUP($B$10,'Base Costs'!$A$32:$B$37,2,FALSE)</f>
        <v/>
      </c>
      <c r="K74" s="379">
        <f>I74-G74</f>
        <v/>
      </c>
      <c r="L74" s="469" t="n"/>
      <c r="O74" s="1133" t="n"/>
      <c r="P74" s="1133" t="n"/>
    </row>
    <row r="75" ht="15.75" customHeight="1" s="1085">
      <c r="A75" s="299" t="n">
        <v>269</v>
      </c>
      <c r="B75" s="269" t="inlineStr">
        <is>
          <t>WATER CONNECTION</t>
        </is>
      </c>
      <c r="C75" s="314" t="n"/>
      <c r="D75" s="269" t="inlineStr">
        <is>
          <t xml:space="preserve">15MM </t>
        </is>
      </c>
      <c r="E75" s="269" t="n"/>
      <c r="F75" s="380">
        <f>'Base Costs'!AX107</f>
        <v/>
      </c>
      <c r="G75" s="378">
        <f>C75*F75</f>
        <v/>
      </c>
      <c r="H75" s="381" t="n">
        <v>0.37</v>
      </c>
      <c r="I75" s="378">
        <f>G75/(1-H75)*(1+$C$10)</f>
        <v/>
      </c>
      <c r="J75" s="378">
        <f>I75*VLOOKUP($B$10,'Base Costs'!$A$32:$B$37,2,FALSE)</f>
        <v/>
      </c>
      <c r="K75" s="379">
        <f>I75-G75</f>
        <v/>
      </c>
      <c r="L75" s="469" t="n"/>
      <c r="O75" s="1133" t="n"/>
      <c r="P75" s="1133" t="n"/>
    </row>
    <row r="76" ht="15.75" customHeight="1" s="1085">
      <c r="A76" s="299" t="n">
        <v>269</v>
      </c>
      <c r="B76" s="269" t="inlineStr">
        <is>
          <t>WATER CONNECTION</t>
        </is>
      </c>
      <c r="C76" s="314" t="n"/>
      <c r="D76" s="269" t="inlineStr">
        <is>
          <t xml:space="preserve">22MM </t>
        </is>
      </c>
      <c r="E76" s="269" t="n"/>
      <c r="F76" s="380">
        <f>'Base Costs'!AX108</f>
        <v/>
      </c>
      <c r="G76" s="378">
        <f>C76*F76</f>
        <v/>
      </c>
      <c r="H76" s="381" t="n">
        <v>0.37</v>
      </c>
      <c r="I76" s="378">
        <f>G76/(1-H76)*(1+$C$10)</f>
        <v/>
      </c>
      <c r="J76" s="378">
        <f>I76*VLOOKUP($B$10,'Base Costs'!$A$32:$B$37,2,FALSE)</f>
        <v/>
      </c>
      <c r="K76" s="379">
        <f>I76-G76</f>
        <v/>
      </c>
      <c r="L76" s="469" t="n"/>
      <c r="O76" s="1133" t="n"/>
      <c r="P76" s="1133" t="n"/>
    </row>
    <row r="77" ht="15.75" customHeight="1" s="1085">
      <c r="A77" s="299" t="n">
        <v>269</v>
      </c>
      <c r="B77" s="269" t="inlineStr">
        <is>
          <t>WATER CONNECTION</t>
        </is>
      </c>
      <c r="C77" s="314" t="n"/>
      <c r="D77" s="269" t="inlineStr">
        <is>
          <t xml:space="preserve">28MM </t>
        </is>
      </c>
      <c r="E77" s="269" t="n"/>
      <c r="F77" s="380">
        <f>'Base Costs'!AX109</f>
        <v/>
      </c>
      <c r="G77" s="378">
        <f>C77*F77</f>
        <v/>
      </c>
      <c r="H77" s="381" t="n">
        <v>0.37</v>
      </c>
      <c r="I77" s="378">
        <f>G77/(1-H77)*(1+$C$10)</f>
        <v/>
      </c>
      <c r="J77" s="378">
        <f>I77*VLOOKUP($B$10,'Base Costs'!$A$32:$B$37,2,FALSE)</f>
        <v/>
      </c>
      <c r="K77" s="379">
        <f>I77-G77</f>
        <v/>
      </c>
      <c r="L77" s="469" t="n"/>
      <c r="O77" s="1133" t="n"/>
      <c r="P77" s="1133" t="n"/>
    </row>
    <row r="78" ht="15.75" customHeight="1" s="1085">
      <c r="A78" s="299" t="n">
        <v>269</v>
      </c>
      <c r="B78" s="269" t="inlineStr">
        <is>
          <t>INSULATION</t>
        </is>
      </c>
      <c r="C78" s="314" t="n"/>
      <c r="D78" s="269" t="inlineStr">
        <is>
          <t>PER METRE</t>
        </is>
      </c>
      <c r="E78" s="269" t="n"/>
      <c r="F78" s="380">
        <f>'Base Costs'!AX110</f>
        <v/>
      </c>
      <c r="G78" s="378">
        <f>C78*F78</f>
        <v/>
      </c>
      <c r="H78" s="381" t="n">
        <v>0.37</v>
      </c>
      <c r="I78" s="378">
        <f>G78/(1-H78)*(1+$C$10)</f>
        <v/>
      </c>
      <c r="J78" s="378">
        <f>I78*VLOOKUP($B$10,'Base Costs'!$A$32:$B$37,2,FALSE)</f>
        <v/>
      </c>
      <c r="K78" s="379">
        <f>I78-G78</f>
        <v/>
      </c>
      <c r="L78" s="469" t="n"/>
      <c r="O78" s="1133" t="n"/>
      <c r="P78" s="1133" t="n"/>
    </row>
    <row r="79" ht="15.75" customHeight="1" s="1085">
      <c r="A79" s="299" t="n">
        <v>269</v>
      </c>
      <c r="B79" s="269" t="inlineStr">
        <is>
          <t>TAPS (FAUCETS)</t>
        </is>
      </c>
      <c r="C79" s="314" t="n"/>
      <c r="D79" s="269" t="inlineStr">
        <is>
          <t>MECSERFLEX B-594</t>
        </is>
      </c>
      <c r="E79" s="269" t="n"/>
      <c r="F79" s="380">
        <f>'Base Costs'!AX111</f>
        <v/>
      </c>
      <c r="G79" s="378">
        <f>C79*F79</f>
        <v/>
      </c>
      <c r="H79" s="381" t="n">
        <v>0.37</v>
      </c>
      <c r="I79" s="378">
        <f>G79/(1-H79)*(1+$C$10)</f>
        <v/>
      </c>
      <c r="J79" s="378">
        <f>I79*VLOOKUP($B$10,'Base Costs'!$A$32:$B$37,2,FALSE)</f>
        <v/>
      </c>
      <c r="K79" s="379">
        <f>I79-G79</f>
        <v/>
      </c>
      <c r="L79" s="469" t="n"/>
      <c r="O79" s="1133" t="n"/>
      <c r="P79" s="1133" t="n"/>
    </row>
    <row r="80" ht="15.75" customHeight="1" s="1085">
      <c r="B80" s="190" t="n"/>
      <c r="C80" s="186" t="n"/>
      <c r="D80" s="190" t="n"/>
      <c r="E80" s="190" t="n"/>
      <c r="F80" s="195" t="n"/>
      <c r="G80" s="169" t="n"/>
      <c r="H80" s="196" t="n"/>
      <c r="I80" s="169" t="n"/>
      <c r="J80" s="169" t="n"/>
      <c r="L80" s="469" t="n"/>
      <c r="O80" s="1133" t="n"/>
      <c r="P80" s="1133" t="n"/>
    </row>
    <row r="81" ht="15.75" customHeight="1" s="1085">
      <c r="B81" s="24" t="inlineStr">
        <is>
          <t>DELIVERY &amp; INSTALLATION</t>
        </is>
      </c>
      <c r="C81" s="24" t="n"/>
      <c r="D81" s="24" t="n"/>
      <c r="E81" s="24" t="n"/>
      <c r="F81" s="24" t="n"/>
      <c r="G81" s="61">
        <f>SUBTOTAL(9,G82:G88)</f>
        <v/>
      </c>
      <c r="H81" s="39">
        <f>IF(G81=0,"-",K81/I81)</f>
        <v/>
      </c>
      <c r="I81" s="61">
        <f>SUBTOTAL(9,I82:I88)</f>
        <v/>
      </c>
      <c r="J81" s="465">
        <f>SUBTOTAL(9,J82:J88)</f>
        <v/>
      </c>
      <c r="K81" s="61">
        <f>SUBTOTAL(9,K82:K88)</f>
        <v/>
      </c>
      <c r="L81" s="469" t="n"/>
      <c r="O81" s="1133" t="n"/>
      <c r="P81" s="1133" t="n"/>
    </row>
    <row r="82" ht="15.75" customHeight="1" s="1085">
      <c r="A82" s="299" t="n">
        <v>220</v>
      </c>
      <c r="B82" s="589" t="inlineStr">
        <is>
          <t>DELIVERY x 1.5 for multple loads</t>
        </is>
      </c>
      <c r="C82" s="314" t="n"/>
      <c r="D82" s="269" t="n"/>
      <c r="E82" s="269" t="n"/>
      <c r="F82" s="380">
        <f>'Base Costs'!AX113</f>
        <v/>
      </c>
      <c r="G82" s="378">
        <f>C82*F82</f>
        <v/>
      </c>
      <c r="H82" s="381" t="n">
        <v>0.37</v>
      </c>
      <c r="I82" s="378">
        <f>G82/(1-H82)*(1+$C$10)</f>
        <v/>
      </c>
      <c r="J82" s="378">
        <f>I82*VLOOKUP($B$10,'Base Costs'!$A$32:$B$37,2,FALSE)</f>
        <v/>
      </c>
      <c r="K82" s="379">
        <f>I82-G82</f>
        <v/>
      </c>
      <c r="L82" s="469" t="n"/>
      <c r="O82" s="1133" t="n"/>
      <c r="P82" s="1133" t="n"/>
    </row>
    <row r="83" ht="15.75" customHeight="1" s="1085">
      <c r="A83" s="299" t="n">
        <v>222</v>
      </c>
      <c r="B83" s="269" t="inlineStr">
        <is>
          <t>DELIVERY C/W CANOPY</t>
        </is>
      </c>
      <c r="C83" s="314" t="n"/>
      <c r="D83" s="316" t="inlineStr">
        <is>
          <t>ABERDEEN</t>
        </is>
      </c>
      <c r="E83" s="270" t="n"/>
      <c r="F83" s="380">
        <f>VLOOKUP(D83,'Base Costs'!E4:G213,2,FALSE)</f>
        <v/>
      </c>
      <c r="G83" s="378">
        <f>C83*F83</f>
        <v/>
      </c>
      <c r="H83" s="381" t="n">
        <v>0.1</v>
      </c>
      <c r="I83" s="378">
        <f>G83/(1-H83)*(1+$C$10)</f>
        <v/>
      </c>
      <c r="J83" s="378">
        <f>I83*VLOOKUP($B$10,'Base Costs'!$A$32:$B$37,2,FALSE)</f>
        <v/>
      </c>
      <c r="K83" s="379">
        <f>I83-G83</f>
        <v/>
      </c>
      <c r="L83" s="469" t="n"/>
      <c r="O83" s="1133" t="n"/>
      <c r="P83" s="1133" t="n"/>
    </row>
    <row r="84" ht="15.75" customHeight="1" s="1085">
      <c r="A84" s="299" t="n">
        <v>265</v>
      </c>
      <c r="B84" s="269" t="inlineStr">
        <is>
          <t>INSTALLATION</t>
        </is>
      </c>
      <c r="C84" s="314" t="n"/>
      <c r="D84" s="269" t="inlineStr">
        <is>
          <t>CARCASS</t>
        </is>
      </c>
      <c r="E84" s="269" t="n"/>
      <c r="F84" s="380">
        <f>'Base Costs'!AX115</f>
        <v/>
      </c>
      <c r="G84" s="378">
        <f>C84*F84</f>
        <v/>
      </c>
      <c r="H84" s="381" t="n">
        <v>0.25</v>
      </c>
      <c r="I84" s="378">
        <f>G84/(1-H84)*(1+$C$10)</f>
        <v/>
      </c>
      <c r="J84" s="378">
        <f>I84*VLOOKUP($B$10,'Base Costs'!$A$32:$B$37,2,FALSE)</f>
        <v/>
      </c>
      <c r="K84" s="379">
        <f>I84-G84</f>
        <v/>
      </c>
      <c r="L84" s="469" t="n"/>
      <c r="O84" s="1133" t="n"/>
      <c r="P84" s="1133" t="n"/>
    </row>
    <row r="85" ht="15.75" customHeight="1" s="1085">
      <c r="A85" s="299" t="n">
        <v>267</v>
      </c>
      <c r="B85" s="269" t="inlineStr">
        <is>
          <t>INSTALLATION</t>
        </is>
      </c>
      <c r="C85" s="314" t="n"/>
      <c r="D85" s="269" t="inlineStr">
        <is>
          <t>M&amp;E SERVICES</t>
        </is>
      </c>
      <c r="E85" s="315" t="n"/>
      <c r="F85" s="380">
        <f>'Base Costs'!AX116</f>
        <v/>
      </c>
      <c r="G85" s="378">
        <f>C85*F85</f>
        <v/>
      </c>
      <c r="H85" s="381" t="n">
        <v>0.25</v>
      </c>
      <c r="I85" s="378">
        <f>G85/(1-H85)*(1+$C$10)</f>
        <v/>
      </c>
      <c r="J85" s="378">
        <f>I85*VLOOKUP($B$10,'Base Costs'!$A$32:$B$37,2,FALSE)</f>
        <v/>
      </c>
      <c r="K85" s="379">
        <f>I85-G85</f>
        <v/>
      </c>
      <c r="L85" s="469" t="n"/>
      <c r="O85" s="1133" t="n"/>
      <c r="P85" s="1133" t="n"/>
    </row>
    <row r="86" ht="15.75" customHeight="1" s="1085">
      <c r="A86" s="299" t="n">
        <v>253</v>
      </c>
      <c r="B86" s="269" t="inlineStr">
        <is>
          <t>OVERNIGHT</t>
        </is>
      </c>
      <c r="C86" s="314" t="n"/>
      <c r="D86" s="269" t="n"/>
      <c r="E86" s="269" t="n"/>
      <c r="F86" s="380">
        <f>'Base Costs'!AX117</f>
        <v/>
      </c>
      <c r="G86" s="378">
        <f>C86*F86</f>
        <v/>
      </c>
      <c r="H86" s="381" t="n">
        <v>0.37</v>
      </c>
      <c r="I86" s="378">
        <f>G86/(1-H86)*(1+$C$10)</f>
        <v/>
      </c>
      <c r="J86" s="378">
        <f>I86*VLOOKUP($B$10,'Base Costs'!$A$32:$B$37,2,FALSE)</f>
        <v/>
      </c>
      <c r="K86" s="379">
        <f>I86-G86</f>
        <v/>
      </c>
      <c r="L86" s="469" t="n"/>
      <c r="O86" s="1133" t="n"/>
      <c r="P86" s="1133" t="n"/>
    </row>
    <row r="87" ht="15.75" customHeight="1" s="1085">
      <c r="A87" s="299" t="n">
        <v>102</v>
      </c>
      <c r="B87" s="269" t="inlineStr">
        <is>
          <t xml:space="preserve">CONSUMABLES </t>
        </is>
      </c>
      <c r="C87" s="314" t="n"/>
      <c r="D87" s="269" t="n"/>
      <c r="E87" s="269" t="n"/>
      <c r="F87" s="380">
        <f>'Base Costs'!AX118</f>
        <v/>
      </c>
      <c r="G87" s="378">
        <f>C87*F87</f>
        <v/>
      </c>
      <c r="H87" s="381" t="n">
        <v>0.37</v>
      </c>
      <c r="I87" s="378">
        <f>G87/(1-H87)*(1+$C$10)</f>
        <v/>
      </c>
      <c r="J87" s="378">
        <f>I87*VLOOKUP($B$10,'Base Costs'!$A$32:$B$37,2,FALSE)</f>
        <v/>
      </c>
      <c r="K87" s="379">
        <f>I87-G87</f>
        <v/>
      </c>
      <c r="L87" s="469" t="n"/>
      <c r="O87" s="1133" t="n"/>
      <c r="P87" s="1133" t="n"/>
    </row>
    <row r="88" ht="15.75" customHeight="1" s="1085">
      <c r="A88" s="299" t="n">
        <v>280</v>
      </c>
      <c r="B88" s="269" t="inlineStr">
        <is>
          <t>SITE LIVE TEST</t>
        </is>
      </c>
      <c r="C88" s="314" t="n"/>
      <c r="D88" s="269" t="inlineStr">
        <is>
          <t>OPTION</t>
        </is>
      </c>
      <c r="E88" s="315" t="n"/>
      <c r="F88" s="380">
        <f>400*1.03</f>
        <v/>
      </c>
      <c r="G88" s="378">
        <f>C88*F88</f>
        <v/>
      </c>
      <c r="H88" s="381" t="n">
        <v>0.32886</v>
      </c>
      <c r="I88" s="378">
        <f>G88/(1-H88)*(1+$C$10)</f>
        <v/>
      </c>
      <c r="J88" s="378">
        <f>I88*VLOOKUP($B$10,'Base Costs'!$A$32:$B$37,2,FALSE)</f>
        <v/>
      </c>
      <c r="K88" s="379">
        <f>I88-G88</f>
        <v/>
      </c>
      <c r="L88" s="469" t="n"/>
      <c r="O88" s="1133" t="n"/>
      <c r="P88" s="1133" t="n"/>
    </row>
    <row r="89" ht="15.75" customHeight="1" s="1085">
      <c r="B89" s="190" t="n"/>
      <c r="C89" s="186" t="n"/>
      <c r="D89" s="190" t="n"/>
      <c r="E89" s="190" t="n"/>
      <c r="F89" s="169" t="n"/>
      <c r="G89" s="169" t="n"/>
      <c r="H89" s="191" t="n"/>
      <c r="I89" s="169" t="n"/>
      <c r="J89" s="169" t="n"/>
      <c r="K89" s="183" t="n"/>
      <c r="L89" s="469" t="n"/>
      <c r="M89" s="184" t="n"/>
      <c r="N89" s="184" t="n"/>
    </row>
    <row r="90" ht="15.75" customHeight="1" s="1085">
      <c r="B90" s="197" t="inlineStr">
        <is>
          <t>Office Use Only</t>
        </is>
      </c>
      <c r="C90" s="198" t="n"/>
      <c r="D90" s="199" t="n"/>
      <c r="E90" s="199" t="n"/>
      <c r="F90" s="198" t="n"/>
      <c r="G90" s="200" t="n"/>
      <c r="H90" s="198" t="n"/>
      <c r="I90" s="198" t="n"/>
      <c r="J90" s="198" t="n"/>
      <c r="K90" s="198" t="n"/>
      <c r="L90" s="469" t="n"/>
      <c r="M90" s="1129" t="n"/>
    </row>
    <row r="91" ht="15.75" customHeight="1" s="1085">
      <c r="A91" s="299" t="n">
        <v>268</v>
      </c>
      <c r="B91" s="577" t="inlineStr">
        <is>
          <t>Carcass Total</t>
        </is>
      </c>
      <c r="C91" s="578">
        <f>$J$13+$J$84+$J$87</f>
        <v/>
      </c>
      <c r="D91" s="202" t="n"/>
      <c r="E91" s="204" t="n"/>
      <c r="F91" s="202" t="n"/>
      <c r="G91" s="209" t="n"/>
      <c r="H91" s="203" t="n"/>
      <c r="I91" s="203" t="n"/>
      <c r="J91" s="203" t="n"/>
      <c r="K91" s="205" t="n"/>
    </row>
    <row r="92" ht="15.75" customHeight="1" s="1085">
      <c r="A92" s="299" t="n">
        <v>270</v>
      </c>
      <c r="B92" s="577" t="inlineStr">
        <is>
          <t>Services Total</t>
        </is>
      </c>
      <c r="C92" s="578">
        <f>$J$33+$J$56+$J$70+$J$85</f>
        <v/>
      </c>
      <c r="D92" s="202" t="n"/>
      <c r="E92" s="204" t="n"/>
      <c r="F92" s="202" t="n"/>
      <c r="G92" s="209" t="n"/>
      <c r="H92" s="203" t="n"/>
      <c r="I92" s="203" t="n"/>
      <c r="J92" s="203" t="n"/>
      <c r="K92" s="205" t="n"/>
    </row>
    <row r="93" ht="15.75" customHeight="1" s="1085">
      <c r="A93" s="299" t="n">
        <v>266</v>
      </c>
      <c r="B93" s="577" t="inlineStr">
        <is>
          <t>Delivery Total</t>
        </is>
      </c>
      <c r="C93" s="577">
        <f>J82+J83+J86</f>
        <v/>
      </c>
      <c r="D93" s="202" t="n"/>
      <c r="E93" s="204" t="n"/>
      <c r="F93" s="202" t="n"/>
      <c r="G93" s="209" t="n"/>
      <c r="H93" s="203" t="n"/>
      <c r="I93" s="203" t="n"/>
      <c r="J93" s="203" t="n"/>
      <c r="K93" s="209" t="n"/>
    </row>
    <row r="94" ht="15.75" customHeight="1" s="1085" thickBot="1">
      <c r="A94" s="299" t="n">
        <v>269</v>
      </c>
      <c r="B94" s="579" t="inlineStr">
        <is>
          <t>TOTAL (rounded)</t>
        </is>
      </c>
      <c r="C94" s="578">
        <f>C91+C92+C93</f>
        <v/>
      </c>
      <c r="D94" s="202" t="n"/>
      <c r="E94" s="204" t="n"/>
      <c r="F94" s="202" t="n"/>
      <c r="G94" s="209" t="n"/>
      <c r="H94" s="206" t="n"/>
      <c r="I94" s="203" t="n"/>
      <c r="J94" s="203" t="n"/>
      <c r="K94" s="209" t="n"/>
    </row>
    <row r="95" ht="15.75" customHeight="1" s="1085" thickBot="1">
      <c r="A95" s="299" t="n">
        <v>280</v>
      </c>
      <c r="B95" s="580" t="inlineStr">
        <is>
          <t>Include live test</t>
        </is>
      </c>
      <c r="C95" s="581">
        <f>C94+J88</f>
        <v/>
      </c>
      <c r="D95" s="202" t="n"/>
      <c r="E95" s="202" t="n"/>
      <c r="F95" s="202" t="n"/>
      <c r="G95" s="207" t="n"/>
      <c r="H95" s="209" t="n"/>
      <c r="I95" s="203" t="n"/>
      <c r="J95" s="203" t="n"/>
      <c r="K95" s="205" t="n"/>
    </row>
    <row r="96" ht="15.75" customHeight="1" s="1085">
      <c r="B96" s="202" t="n"/>
      <c r="C96" s="202" t="n"/>
      <c r="D96" s="202" t="n"/>
      <c r="E96" s="202" t="n"/>
      <c r="F96" s="202" t="n"/>
      <c r="G96" s="207" t="n"/>
      <c r="H96" s="209" t="n"/>
      <c r="I96" s="203" t="n"/>
      <c r="J96" s="203" t="n"/>
      <c r="K96" s="205" t="n"/>
    </row>
    <row r="97" ht="15.75" customHeight="1" s="1085">
      <c r="D97" s="208" t="n"/>
    </row>
    <row r="98" ht="15.75" customHeight="1" s="1085">
      <c r="D98" s="201" t="n"/>
    </row>
    <row r="99" ht="15.75" customHeight="1" s="1085">
      <c r="D99" s="208" t="n"/>
    </row>
    <row r="100" ht="15.75" customHeight="1" s="1085">
      <c r="D100" s="208" t="n"/>
    </row>
    <row r="101" ht="15.75" customHeight="1" s="1085">
      <c r="D101" s="201" t="n"/>
    </row>
    <row r="102" ht="15.75" customHeight="1" s="1085">
      <c r="B102" s="172" t="n"/>
      <c r="C102" s="172" t="n"/>
      <c r="D102" s="172" t="n"/>
    </row>
    <row r="103" ht="15.75" customHeight="1" s="1085">
      <c r="B103" s="172" t="n"/>
      <c r="C103" s="172" t="n"/>
      <c r="D103" s="172" t="n"/>
    </row>
  </sheetData>
  <mergeCells count="10">
    <mergeCell ref="G4:H4"/>
    <mergeCell ref="C6:D6"/>
    <mergeCell ref="M34:N34"/>
    <mergeCell ref="B1:D1"/>
    <mergeCell ref="C4:D4"/>
    <mergeCell ref="I4:K4"/>
    <mergeCell ref="G6:H6"/>
    <mergeCell ref="G8:H8"/>
    <mergeCell ref="C8:D8"/>
    <mergeCell ref="I6:K6"/>
  </mergeCells>
  <conditionalFormatting sqref="B10">
    <cfRule type="expression" priority="32" dxfId="680">
      <formula>B10="CURRENCY"</formula>
    </cfRule>
    <cfRule type="containsText" priority="31" operator="containsText" dxfId="680" text="SELECT">
      <formula>NOT(ISERROR(SEARCH("SELECT",B10)))</formula>
    </cfRule>
  </conditionalFormatting>
  <conditionalFormatting sqref="B14:B31">
    <cfRule type="expression" priority="7" dxfId="633">
      <formula>$C14&gt;0</formula>
    </cfRule>
  </conditionalFormatting>
  <conditionalFormatting sqref="B34:B54">
    <cfRule type="expression" priority="6" dxfId="633">
      <formula>$C34&gt;0</formula>
    </cfRule>
  </conditionalFormatting>
  <conditionalFormatting sqref="B57:B68">
    <cfRule type="expression" priority="5" dxfId="633">
      <formula>$C57&gt;0</formula>
    </cfRule>
  </conditionalFormatting>
  <conditionalFormatting sqref="B71:B79">
    <cfRule type="expression" priority="4" dxfId="633">
      <formula>$C71&gt;0</formula>
    </cfRule>
  </conditionalFormatting>
  <conditionalFormatting sqref="B82:B88">
    <cfRule type="expression" priority="2" dxfId="633">
      <formula>$C82&gt;0</formula>
    </cfRule>
  </conditionalFormatting>
  <conditionalFormatting sqref="C14:C31 C34:C54 C57:C68 C71:C79">
    <cfRule type="cellIs" priority="36" operator="equal" dxfId="164">
      <formula>0</formula>
    </cfRule>
  </conditionalFormatting>
  <conditionalFormatting sqref="C82:C88">
    <cfRule type="cellIs" priority="1" operator="equal" dxfId="164">
      <formula>0</formula>
    </cfRule>
  </conditionalFormatting>
  <conditionalFormatting sqref="C10:D10">
    <cfRule type="cellIs" priority="30" operator="greaterThan" dxfId="552">
      <formula>0</formula>
    </cfRule>
    <cfRule type="cellIs" priority="29" operator="lessThan" dxfId="207">
      <formula>0</formula>
    </cfRule>
  </conditionalFormatting>
  <conditionalFormatting sqref="F14:F31">
    <cfRule type="expression" priority="28" dxfId="10537">
      <formula>C14&gt;0</formula>
    </cfRule>
  </conditionalFormatting>
  <conditionalFormatting sqref="F34:F54">
    <cfRule type="expression" priority="27" dxfId="10537">
      <formula>C34&gt;0</formula>
    </cfRule>
  </conditionalFormatting>
  <conditionalFormatting sqref="F57:F68">
    <cfRule type="expression" priority="26" dxfId="10537">
      <formula>C57&gt;0</formula>
    </cfRule>
  </conditionalFormatting>
  <conditionalFormatting sqref="F71:F79">
    <cfRule type="expression" priority="24" dxfId="10537">
      <formula>C71&gt;0</formula>
    </cfRule>
  </conditionalFormatting>
  <conditionalFormatting sqref="F82:F88">
    <cfRule type="expression" priority="25" dxfId="10537">
      <formula>C82&gt;0</formula>
    </cfRule>
  </conditionalFormatting>
  <conditionalFormatting sqref="G14:G31 J14:K31">
    <cfRule type="cellIs" priority="23" operator="greaterThan" dxfId="141">
      <formula>0</formula>
    </cfRule>
  </conditionalFormatting>
  <conditionalFormatting sqref="G34:G54 G57:G68 G71:G79 G82:G88">
    <cfRule type="cellIs" priority="22" operator="greaterThan" dxfId="141">
      <formula>0</formula>
    </cfRule>
  </conditionalFormatting>
  <conditionalFormatting sqref="H14:H31">
    <cfRule type="expression" priority="42" dxfId="175">
      <formula>$C$10&lt;0</formula>
    </cfRule>
    <cfRule type="expression" priority="41" dxfId="552">
      <formula>$C$10&gt;0</formula>
    </cfRule>
  </conditionalFormatting>
  <conditionalFormatting sqref="H34:H54">
    <cfRule type="expression" priority="16" dxfId="175">
      <formula>$C$10&lt;0</formula>
    </cfRule>
    <cfRule type="expression" priority="15" dxfId="552">
      <formula>$C$10&gt;0</formula>
    </cfRule>
  </conditionalFormatting>
  <conditionalFormatting sqref="H57:H68">
    <cfRule type="expression" priority="14" dxfId="175">
      <formula>$C$10&lt;0</formula>
    </cfRule>
    <cfRule type="expression" priority="13" dxfId="552">
      <formula>$C$10&gt;0</formula>
    </cfRule>
  </conditionalFormatting>
  <conditionalFormatting sqref="H71:H79">
    <cfRule type="expression" priority="12" dxfId="175">
      <formula>$C$10&lt;0</formula>
    </cfRule>
    <cfRule type="expression" priority="11" dxfId="552">
      <formula>$C$10&gt;0</formula>
    </cfRule>
  </conditionalFormatting>
  <conditionalFormatting sqref="H82:H88">
    <cfRule type="expression" priority="10" dxfId="175">
      <formula>$C$10&lt;0</formula>
    </cfRule>
    <cfRule type="expression" priority="9" dxfId="552">
      <formula>$C$10&gt;0</formula>
    </cfRule>
  </conditionalFormatting>
  <conditionalFormatting sqref="J1:J7 J9:J32">
    <cfRule type="expression" priority="37" dxfId="2">
      <formula>$B$10="EURO"</formula>
    </cfRule>
    <cfRule type="expression" priority="38" dxfId="3">
      <formula>$B$10="USD"</formula>
    </cfRule>
    <cfRule type="expression" priority="39" dxfId="4">
      <formula>$B$10="PLN"</formula>
    </cfRule>
    <cfRule type="expression" priority="40" dxfId="0">
      <formula>$B$10="CZK"</formula>
    </cfRule>
  </conditionalFormatting>
  <conditionalFormatting sqref="J34:J55 J57:J69 J71:J80 J82:J1048576">
    <cfRule type="expression" priority="18" dxfId="2">
      <formula>$B$10="EURO"</formula>
    </cfRule>
  </conditionalFormatting>
  <conditionalFormatting sqref="J34:J1048576">
    <cfRule type="expression" priority="20" dxfId="4">
      <formula>$B$10="PLN"</formula>
    </cfRule>
    <cfRule type="expression" priority="19" dxfId="3">
      <formula>$B$10="USD"</formula>
    </cfRule>
    <cfRule type="expression" priority="21" dxfId="0">
      <formula>$B$10="CZK"</formula>
    </cfRule>
  </conditionalFormatting>
  <conditionalFormatting sqref="J34:K54 J57:K68 J71:K79 J82:K88">
    <cfRule type="cellIs" priority="17" operator="greaterThan" dxfId="141">
      <formula>0</formula>
    </cfRule>
  </conditionalFormatting>
  <printOptions horizontalCentered="1"/>
  <pageMargins left="0.5118110236220472" right="0.3543307086614174" top="0.2755905511811024" bottom="0.1574803149606299" header="0.3149606299212598" footer="0.1181102362204725"/>
  <pageSetup orientation="portrait" paperSize="9" scale="57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 codeName="Sheet5">
    <tabColor theme="8" tint="0.7999816888943144"/>
    <outlinePr summaryBelow="1" summaryRight="1"/>
    <pageSetUpPr fitToPage="1"/>
  </sheetPr>
  <dimension ref="B1:AA86"/>
  <sheetViews>
    <sheetView zoomScale="80" zoomScaleNormal="80" workbookViewId="0">
      <selection activeCell="C4" sqref="C4"/>
    </sheetView>
  </sheetViews>
  <sheetFormatPr baseColWidth="10" defaultColWidth="9.1640625" defaultRowHeight="15"/>
  <cols>
    <col width="2.1640625" customWidth="1" style="18" min="1" max="1"/>
    <col width="28.83203125" customWidth="1" style="18" min="2" max="2"/>
    <col width="10.1640625" customWidth="1" style="285" min="3" max="3"/>
    <col width="82.33203125" customWidth="1" style="18" min="4" max="4"/>
    <col width="12.6640625" customWidth="1" style="18" min="5" max="5"/>
    <col width="13.1640625" customWidth="1" style="278" min="6" max="6"/>
    <col width="13.33203125" customWidth="1" style="275" min="7" max="7"/>
    <col width="8.5" customWidth="1" style="21" min="8" max="8"/>
    <col hidden="1" width="11.5" customWidth="1" style="275" min="9" max="9"/>
    <col width="14.1640625" customWidth="1" style="275" min="10" max="10"/>
    <col width="14.5" customWidth="1" style="275" min="11" max="11"/>
    <col width="16.33203125" customWidth="1" style="18" min="12" max="12"/>
    <col width="9.1640625" customWidth="1" style="18" min="13" max="13"/>
    <col width="9.1640625" customWidth="1" style="18" min="14" max="16384"/>
  </cols>
  <sheetData>
    <row r="1" ht="19" customFormat="1" customHeight="1" s="1086">
      <c r="B1" s="1148" t="inlineStr">
        <is>
          <t>F24-19    VENTILATED CEILING COST CEILING</t>
        </is>
      </c>
      <c r="E1" s="156" t="n"/>
      <c r="F1" s="156" t="n"/>
      <c r="G1" s="356" t="n"/>
      <c r="H1" s="256" t="n"/>
      <c r="I1" s="356" t="n"/>
      <c r="J1" s="356" t="n"/>
      <c r="K1" s="975" t="inlineStr">
        <is>
          <t>JAN25-19</t>
        </is>
      </c>
      <c r="P1" s="98" t="n"/>
      <c r="Q1" s="99" t="n"/>
      <c r="X1" s="100" t="n"/>
      <c r="AA1" s="101" t="n"/>
    </row>
    <row r="2" customFormat="1" s="1086">
      <c r="C2" s="283" t="n"/>
      <c r="D2" s="257" t="n"/>
      <c r="E2" s="257" t="n"/>
      <c r="F2" s="258" t="n"/>
      <c r="G2" s="368" t="n"/>
      <c r="H2" s="148" t="n"/>
      <c r="I2" s="258" t="n"/>
      <c r="J2" s="258" t="n"/>
      <c r="K2" s="148" t="n"/>
      <c r="P2" s="105" t="n"/>
      <c r="U2" s="106" t="n"/>
      <c r="W2" s="100" t="n"/>
      <c r="Z2" s="101" t="n"/>
    </row>
    <row r="3" ht="16" customFormat="1" customHeight="1" s="1086">
      <c r="B3" s="259" t="inlineStr">
        <is>
          <t>Job No.</t>
        </is>
      </c>
      <c r="C3" s="1147">
        <f>IF(CANOPY!C3="","",CANOPY!C3)</f>
        <v/>
      </c>
      <c r="E3" s="148" t="inlineStr">
        <is>
          <t>Project Name</t>
        </is>
      </c>
      <c r="F3" s="1142">
        <f>IF(CANOPY!G3="","",CANOPY!G3)</f>
        <v/>
      </c>
      <c r="I3" s="258" t="n"/>
      <c r="J3" s="258" t="n"/>
      <c r="K3" s="148" t="n"/>
      <c r="P3" s="105" t="n"/>
      <c r="W3" s="100" t="n"/>
      <c r="Z3" s="101" t="n"/>
    </row>
    <row r="4" customFormat="1" s="1086">
      <c r="C4" s="1112" t="n"/>
      <c r="D4" s="260" t="n"/>
      <c r="E4" s="260" t="n"/>
      <c r="F4" s="258" t="n"/>
      <c r="G4" s="359" t="n"/>
      <c r="H4" s="359" t="n"/>
      <c r="I4" s="258" t="n"/>
      <c r="J4" s="258" t="n"/>
      <c r="K4" s="148" t="n"/>
      <c r="P4" s="105" t="n"/>
      <c r="W4" s="100" t="n"/>
      <c r="Z4" s="101" t="n"/>
    </row>
    <row r="5" ht="16" customFormat="1" customHeight="1" s="1086">
      <c r="B5" s="259" t="inlineStr">
        <is>
          <t>Customer</t>
        </is>
      </c>
      <c r="C5" s="1147">
        <f>IF(CANOPY!C5="","",CANOPY!C5)</f>
        <v/>
      </c>
      <c r="E5" s="148" t="inlineStr">
        <is>
          <t>Location</t>
        </is>
      </c>
      <c r="F5" s="1142">
        <f>IF(CANOPY!G5="","",CANOPY!G5)</f>
        <v/>
      </c>
      <c r="I5" s="258" t="n"/>
      <c r="J5" s="258" t="n"/>
      <c r="K5" s="148" t="n"/>
      <c r="M5" s="110" t="n"/>
      <c r="N5" s="110" t="n"/>
      <c r="P5" s="105" t="n"/>
      <c r="Q5" s="106" t="n"/>
      <c r="W5" s="100" t="n"/>
      <c r="Z5" s="101" t="n"/>
    </row>
    <row r="6" customFormat="1" s="1086">
      <c r="B6" s="259" t="n"/>
      <c r="C6" s="261" t="n"/>
      <c r="D6" s="260" t="n"/>
      <c r="E6" s="260" t="n"/>
      <c r="F6" s="148" t="n"/>
      <c r="G6" s="359" t="n"/>
      <c r="H6" s="470" t="n"/>
      <c r="I6" s="258" t="n"/>
      <c r="J6" s="258" t="n"/>
      <c r="K6" s="148" t="n"/>
      <c r="M6" s="110" t="n"/>
      <c r="N6" s="110" t="n"/>
      <c r="P6" s="105" t="n"/>
      <c r="Q6" s="106" t="n"/>
      <c r="W6" s="111" t="n"/>
      <c r="Z6" s="101" t="n"/>
    </row>
    <row r="7" ht="15" customFormat="1" customHeight="1" s="1086">
      <c r="B7" s="80" t="inlineStr">
        <is>
          <t>Sales Manager / Estimator initials</t>
        </is>
      </c>
      <c r="C7" s="1147">
        <f>IF(CANOPY!C7="","",CANOPY!C7)</f>
        <v/>
      </c>
      <c r="E7" s="148" t="inlineStr">
        <is>
          <t>Date</t>
        </is>
      </c>
      <c r="F7" s="1149">
        <f>IF(CANOPY!G7="","",CANOPY!G7)</f>
        <v/>
      </c>
      <c r="J7" s="262" t="inlineStr">
        <is>
          <t>Revision No</t>
        </is>
      </c>
      <c r="K7" s="576">
        <f>IF(CANOPY!O7="","",CANOPY!O7)</f>
        <v/>
      </c>
      <c r="L7" s="1091" t="inlineStr">
        <is>
          <t>GP SHOULD BE MINIMUM 44%</t>
        </is>
      </c>
      <c r="P7" s="105" t="n"/>
      <c r="Q7" s="106" t="n"/>
      <c r="W7" s="111" t="n"/>
      <c r="Z7" s="101" t="n"/>
    </row>
    <row r="8" ht="15" customFormat="1" customHeight="1" s="1086">
      <c r="B8" s="98" t="n"/>
      <c r="C8" s="1112" t="n"/>
      <c r="D8" s="1112" t="n"/>
      <c r="E8" s="1112" t="n"/>
      <c r="F8" s="148" t="n"/>
      <c r="G8" s="303" t="n"/>
      <c r="H8" s="303" t="n"/>
      <c r="I8" s="262" t="n"/>
      <c r="J8" s="262" t="n"/>
      <c r="K8" s="262" t="n"/>
      <c r="L8" s="112" t="n"/>
      <c r="N8" s="104" t="n"/>
      <c r="P8" s="105" t="n"/>
      <c r="Q8" s="106" t="n"/>
      <c r="W8" s="111" t="n"/>
      <c r="Z8" s="101" t="n"/>
    </row>
    <row r="9" customFormat="1" s="1086">
      <c r="C9" s="1112" t="n"/>
      <c r="D9" s="260" t="n"/>
      <c r="E9" s="260" t="n"/>
      <c r="F9" s="263" t="n"/>
      <c r="G9" s="258" t="n"/>
      <c r="H9" s="148" t="n"/>
      <c r="I9" s="258" t="n"/>
      <c r="J9" s="258" t="n"/>
      <c r="K9" s="148" t="n"/>
      <c r="P9" s="105" t="n"/>
      <c r="W9" s="111" t="n"/>
      <c r="Z9" s="101" t="n"/>
    </row>
    <row r="10" ht="16" customHeight="1" s="1085">
      <c r="B10" s="38" t="inlineStr">
        <is>
          <t>CURRENCY</t>
        </is>
      </c>
      <c r="C10" s="948" t="n"/>
      <c r="D10" s="377">
        <f>IF(C10=0,0,(SUBTOTAL(9,I13:I155)/(1-C10))-I10)</f>
        <v/>
      </c>
      <c r="G10" s="25">
        <f>SUBTOTAL(9,G14:G55)</f>
        <v/>
      </c>
      <c r="H10" s="967">
        <f>IF(K10=0,"-",K10/I10)</f>
        <v/>
      </c>
      <c r="I10" s="25">
        <f>SUBTOTAL(9,I14:I55)</f>
        <v/>
      </c>
      <c r="J10" s="465">
        <f>SUBTOTAL(9,J14:J55)</f>
        <v/>
      </c>
      <c r="K10" s="25">
        <f>SUBTOTAL(9,K14:K55)</f>
        <v/>
      </c>
    </row>
    <row r="11" ht="16" customHeight="1" s="1085">
      <c r="B11" s="2" t="inlineStr">
        <is>
          <t>CURRENCY</t>
        </is>
      </c>
      <c r="C11" s="2" t="inlineStr">
        <is>
          <t>%</t>
        </is>
      </c>
      <c r="D11" s="2" t="inlineStr">
        <is>
          <t>COMMISSION</t>
        </is>
      </c>
      <c r="E11" s="2" t="inlineStr">
        <is>
          <t>DISCOUNT</t>
        </is>
      </c>
      <c r="F11" s="1" t="inlineStr">
        <is>
          <t>COST</t>
        </is>
      </c>
      <c r="G11" s="1" t="inlineStr">
        <is>
          <t>TOTAL COST</t>
        </is>
      </c>
      <c r="H11" s="3" t="inlineStr">
        <is>
          <t>GP</t>
        </is>
      </c>
      <c r="I11" s="4" t="inlineStr">
        <is>
          <t>SELL</t>
        </is>
      </c>
      <c r="J11" s="4" t="inlineStr">
        <is>
          <t>SELL</t>
        </is>
      </c>
      <c r="K11" s="4" t="inlineStr">
        <is>
          <t>PROFIT</t>
        </is>
      </c>
    </row>
    <row r="12">
      <c r="B12" s="261" t="n"/>
      <c r="C12" s="261" t="n"/>
      <c r="E12" s="36" t="n"/>
      <c r="F12" s="302" t="n"/>
      <c r="G12" s="94" t="n"/>
      <c r="H12" s="304" t="n"/>
      <c r="I12" s="94" t="n"/>
      <c r="J12" s="94" t="n"/>
      <c r="K12" s="94" t="n"/>
    </row>
    <row r="13" ht="16" customHeight="1" s="1085">
      <c r="B13" s="306" t="inlineStr">
        <is>
          <t>VENTILATED CEILING</t>
        </is>
      </c>
      <c r="C13" s="237" t="inlineStr">
        <is>
          <t>QTY</t>
        </is>
      </c>
      <c r="D13" s="374" t="inlineStr">
        <is>
          <t>DESCRIPTION</t>
        </is>
      </c>
      <c r="E13" s="305" t="n"/>
      <c r="F13" s="38" t="n"/>
      <c r="G13" s="61">
        <f>SUBTOTAL(9,G14:G41)</f>
        <v/>
      </c>
      <c r="H13" s="145">
        <f>IF(G13=0,"-",K13/I13)</f>
        <v/>
      </c>
      <c r="I13" s="61">
        <f>SUBTOTAL(9,I14:I41)</f>
        <v/>
      </c>
      <c r="J13" s="465">
        <f>SUBTOTAL(9,J14:J41)</f>
        <v/>
      </c>
      <c r="K13" s="61">
        <f>SUBTOTAL(9,K14:K41)</f>
        <v/>
      </c>
      <c r="N13" s="319" t="n"/>
    </row>
    <row r="14" ht="16" customHeight="1" s="1085">
      <c r="B14" s="269" t="inlineStr">
        <is>
          <t>CC100 / CC101</t>
        </is>
      </c>
      <c r="C14" s="251" t="n"/>
      <c r="D14" s="269" t="inlineStr">
        <is>
          <t xml:space="preserve">PERIMETER CHANNEL (3M)  + PERIMETER WEDGE  </t>
        </is>
      </c>
      <c r="E14" s="269" t="n"/>
      <c r="F14" s="380">
        <f>'Base Costs'!AM5</f>
        <v/>
      </c>
      <c r="G14" s="378">
        <f>C14*F14</f>
        <v/>
      </c>
      <c r="H14" s="382" t="n">
        <v>0.44</v>
      </c>
      <c r="I14" s="307">
        <f>G14/(1-H14)*(1+$C$10)</f>
        <v/>
      </c>
      <c r="J14" s="383">
        <f>I14*VLOOKUP($B$10,'Base Costs'!$A$32:$B$37,2,FALSE)</f>
        <v/>
      </c>
      <c r="K14" s="384">
        <f>I14-G14</f>
        <v/>
      </c>
    </row>
    <row r="15" ht="16" customHeight="1" s="1085">
      <c r="B15" s="269" t="inlineStr">
        <is>
          <t>CC102 / CC103 / CC1044</t>
        </is>
      </c>
      <c r="C15" s="251" t="n"/>
      <c r="D15" s="269" t="inlineStr">
        <is>
          <t xml:space="preserve">PRIMARY MULLION (3M) + HANGING BRACKET + FISH PLATE </t>
        </is>
      </c>
      <c r="E15" s="269" t="n"/>
      <c r="F15" s="380">
        <f>'Base Costs'!AM6</f>
        <v/>
      </c>
      <c r="G15" s="378">
        <f>C15*F15</f>
        <v/>
      </c>
      <c r="H15" s="382" t="n">
        <v>0.44</v>
      </c>
      <c r="I15" s="307">
        <f>G15/(1-H15)*(1+$C$10)</f>
        <v/>
      </c>
      <c r="J15" s="383">
        <f>I15*VLOOKUP($B$10,'Base Costs'!$A$32:$B$37,2,FALSE)</f>
        <v/>
      </c>
      <c r="K15" s="384">
        <f>I15-G15</f>
        <v/>
      </c>
    </row>
    <row r="16" ht="16" customHeight="1" s="1085">
      <c r="B16" s="269" t="inlineStr">
        <is>
          <t>CC106</t>
        </is>
      </c>
      <c r="C16" s="251" t="n"/>
      <c r="D16" s="269" t="inlineStr">
        <is>
          <t>EXT CROSS MULLION</t>
        </is>
      </c>
      <c r="E16" s="269" t="n"/>
      <c r="F16" s="380">
        <f>'Base Costs'!AM7</f>
        <v/>
      </c>
      <c r="G16" s="378">
        <f>C16*F16</f>
        <v/>
      </c>
      <c r="H16" s="382" t="n">
        <v>0.44</v>
      </c>
      <c r="I16" s="307">
        <f>G16/(1-H16)*(1+$C$10)</f>
        <v/>
      </c>
      <c r="J16" s="383">
        <f>I16*VLOOKUP($B$10,'Base Costs'!$A$32:$B$37,2,FALSE)</f>
        <v/>
      </c>
      <c r="K16" s="384">
        <f>I16-G16</f>
        <v/>
      </c>
    </row>
    <row r="17" ht="16" customHeight="1" s="1085">
      <c r="B17" s="269" t="n"/>
      <c r="C17" s="251" t="n"/>
      <c r="D17" s="269" t="n"/>
      <c r="E17" s="269" t="n"/>
      <c r="F17" s="380" t="n"/>
      <c r="G17" s="378" t="n"/>
      <c r="H17" s="382" t="n">
        <v>0.44</v>
      </c>
      <c r="I17" s="307">
        <f>G17/(1-H17)*(1+$C$10)</f>
        <v/>
      </c>
      <c r="J17" s="383">
        <f>I17*VLOOKUP($B$10,'Base Costs'!$A$32:$B$37,2,FALSE)</f>
        <v/>
      </c>
      <c r="K17" s="384" t="n"/>
    </row>
    <row r="18" ht="18" customHeight="1" s="1085">
      <c r="B18" s="269" t="inlineStr">
        <is>
          <t>PER M2 OF CEILING</t>
        </is>
      </c>
      <c r="C18" s="251" t="n"/>
      <c r="D18" s="270" t="inlineStr">
        <is>
          <t>PASSIVE CEILING (ADD GREASE EXTRACT, SUPPLY AND LIGHT CASSETTES) PRICE PER SQ MTR</t>
        </is>
      </c>
      <c r="E18" s="269" t="n"/>
      <c r="F18" s="380" t="n">
        <v>83.84999999999999</v>
      </c>
      <c r="G18" s="378">
        <f>C18*F18</f>
        <v/>
      </c>
      <c r="H18" s="382" t="n">
        <v>0.44</v>
      </c>
      <c r="I18" s="307">
        <f>G18/(1-H18)*(1+$C$10)</f>
        <v/>
      </c>
      <c r="J18" s="383">
        <f>I18*VLOOKUP($B$10,'Base Costs'!$A$32:$B$37,2,FALSE)</f>
        <v/>
      </c>
      <c r="K18" s="379">
        <f>I18-G18</f>
        <v/>
      </c>
    </row>
    <row r="19" ht="16" customHeight="1" s="1085">
      <c r="B19" s="269" t="inlineStr">
        <is>
          <t>CC200 / CC2001</t>
        </is>
      </c>
      <c r="C19" s="251" t="n"/>
      <c r="D19" s="269" t="inlineStr">
        <is>
          <t xml:space="preserve">GREASE EXTRACT CASS. + SINGLE PLENUM BOX </t>
        </is>
      </c>
      <c r="E19" s="269" t="n"/>
      <c r="F19" s="380">
        <f>'Base Costs'!AM8</f>
        <v/>
      </c>
      <c r="G19" s="378">
        <f>C19*F19</f>
        <v/>
      </c>
      <c r="H19" s="382" t="n">
        <v>0.44</v>
      </c>
      <c r="I19" s="307">
        <f>G19/(1-H19)*(1+$C$10)</f>
        <v/>
      </c>
      <c r="J19" s="383">
        <f>I19*VLOOKUP($B$10,'Base Costs'!$A$32:$B$37,2,FALSE)</f>
        <v/>
      </c>
      <c r="K19" s="384">
        <f>I19-G19</f>
        <v/>
      </c>
    </row>
    <row r="20" ht="16" customHeight="1" s="1085">
      <c r="B20" s="269" t="inlineStr">
        <is>
          <t>CC202 / CC203</t>
        </is>
      </c>
      <c r="C20" s="251" t="n"/>
      <c r="D20" s="269" t="inlineStr">
        <is>
          <t xml:space="preserve">COND. EXTRACT CASS. + SINGLE PLENUM BOX </t>
        </is>
      </c>
      <c r="E20" s="269" t="n"/>
      <c r="F20" s="380">
        <f>'Base Costs'!AM9</f>
        <v/>
      </c>
      <c r="G20" s="378">
        <f>C20*F20</f>
        <v/>
      </c>
      <c r="H20" s="382" t="n">
        <v>0.44</v>
      </c>
      <c r="I20" s="307">
        <f>G20/(1-H20)*(1+$C$10)</f>
        <v/>
      </c>
      <c r="J20" s="383">
        <f>I20*VLOOKUP($B$10,'Base Costs'!$A$32:$B$37,2,FALSE)</f>
        <v/>
      </c>
      <c r="K20" s="384">
        <f>I20-G20</f>
        <v/>
      </c>
    </row>
    <row r="21" ht="16" customHeight="1" s="1085">
      <c r="B21" s="269" t="inlineStr">
        <is>
          <t>CC300</t>
        </is>
      </c>
      <c r="C21" s="251" t="n"/>
      <c r="D21" s="269" t="inlineStr">
        <is>
          <t>SUPPLY AIR CASSETTE</t>
        </is>
      </c>
      <c r="E21" s="269" t="n"/>
      <c r="F21" s="380">
        <f>'Base Costs'!AM10</f>
        <v/>
      </c>
      <c r="G21" s="378">
        <f>C21*F21</f>
        <v/>
      </c>
      <c r="H21" s="382" t="n">
        <v>0.44</v>
      </c>
      <c r="I21" s="307">
        <f>G21/(1-H21)*(1+$C$10)</f>
        <v/>
      </c>
      <c r="J21" s="383">
        <f>I21*VLOOKUP($B$10,'Base Costs'!$A$32:$B$37,2,FALSE)</f>
        <v/>
      </c>
      <c r="K21" s="384">
        <f>I21-G21</f>
        <v/>
      </c>
    </row>
    <row r="22" ht="16" customHeight="1" s="1085">
      <c r="B22" s="269" t="inlineStr">
        <is>
          <t>CC301</t>
        </is>
      </c>
      <c r="C22" s="251" t="n"/>
      <c r="D22" s="269" t="inlineStr">
        <is>
          <t>SINGLE PLENUM BOX</t>
        </is>
      </c>
      <c r="E22" s="269" t="n"/>
      <c r="F22" s="380">
        <f>'Base Costs'!AM11</f>
        <v/>
      </c>
      <c r="G22" s="378">
        <f>C22*F22</f>
        <v/>
      </c>
      <c r="H22" s="382" t="n">
        <v>0.44</v>
      </c>
      <c r="I22" s="307">
        <f>G22/(1-H22)*(1+$C$10)</f>
        <v/>
      </c>
      <c r="J22" s="383">
        <f>I22*VLOOKUP($B$10,'Base Costs'!$A$32:$B$37,2,FALSE)</f>
        <v/>
      </c>
      <c r="K22" s="384">
        <f>I22-G22</f>
        <v/>
      </c>
    </row>
    <row r="23" ht="16" customHeight="1" s="1085">
      <c r="B23" s="269" t="inlineStr">
        <is>
          <t>CC400</t>
        </is>
      </c>
      <c r="C23" s="251" t="n"/>
      <c r="D23" s="269" t="inlineStr">
        <is>
          <t>PASSIVE CASSETTE</t>
        </is>
      </c>
      <c r="E23" s="269" t="n"/>
      <c r="F23" s="380">
        <f>'Base Costs'!AM12</f>
        <v/>
      </c>
      <c r="G23" s="378">
        <f>C23*F23</f>
        <v/>
      </c>
      <c r="H23" s="382" t="n">
        <v>0.44</v>
      </c>
      <c r="I23" s="307">
        <f>G23/(1-H23)*(1+$C$10)</f>
        <v/>
      </c>
      <c r="J23" s="383">
        <f>I23*VLOOKUP($B$10,'Base Costs'!$A$32:$B$37,2,FALSE)</f>
        <v/>
      </c>
      <c r="K23" s="384">
        <f>I23-G23</f>
        <v/>
      </c>
    </row>
    <row r="24" ht="16" customHeight="1" s="1085">
      <c r="B24" s="269" t="inlineStr">
        <is>
          <t>TEG-3-528X498-00-0-4K-0-2-0</t>
        </is>
      </c>
      <c r="C24" s="251" t="n"/>
      <c r="D24" s="269" t="inlineStr">
        <is>
          <t>TEGRA 4000K DALI</t>
        </is>
      </c>
      <c r="E24" s="269" t="n"/>
      <c r="F24" s="380">
        <f>'Base Costs'!AM13</f>
        <v/>
      </c>
      <c r="G24" s="378">
        <f>C24*F24</f>
        <v/>
      </c>
      <c r="H24" s="382" t="n">
        <v>0.44</v>
      </c>
      <c r="I24" s="307">
        <f>G24/(1-H24)*(1+$C$10)</f>
        <v/>
      </c>
      <c r="J24" s="383">
        <f>I24*VLOOKUP($B$10,'Base Costs'!$A$32:$B$37,2,FALSE)</f>
        <v/>
      </c>
      <c r="K24" s="384">
        <f>I24-G24</f>
        <v/>
      </c>
    </row>
    <row r="25" ht="16" customHeight="1" s="1085">
      <c r="B25" s="269" t="inlineStr">
        <is>
          <t>TEG-3-528X498-00-0-4K-0-2-3</t>
        </is>
      </c>
      <c r="C25" s="251" t="n"/>
      <c r="D25" s="269" t="inlineStr">
        <is>
          <t>TEGRA 4000K DALI 3hrs DALI ECT</t>
        </is>
      </c>
      <c r="E25" s="269" t="n"/>
      <c r="F25" s="380">
        <f>'Base Costs'!AM14</f>
        <v/>
      </c>
      <c r="G25" s="378">
        <f>C25*F25</f>
        <v/>
      </c>
      <c r="H25" s="382" t="n">
        <v>0.44</v>
      </c>
      <c r="I25" s="307">
        <f>G25/(1-H25)*(1+$C$10)</f>
        <v/>
      </c>
      <c r="J25" s="383">
        <f>I25*VLOOKUP($B$10,'Base Costs'!$A$32:$B$37,2,FALSE)</f>
        <v/>
      </c>
      <c r="K25" s="384">
        <f>I25-G25</f>
        <v/>
      </c>
    </row>
    <row r="26" ht="16" customHeight="1" s="1085">
      <c r="B26" s="269" t="inlineStr">
        <is>
          <t>STRIP LIGHTS</t>
        </is>
      </c>
      <c r="C26" s="251" t="n"/>
      <c r="D26" s="269" t="inlineStr">
        <is>
          <t>EL18FLO</t>
        </is>
      </c>
      <c r="E26" s="269" t="n"/>
      <c r="F26" s="380">
        <f>135*1.03</f>
        <v/>
      </c>
      <c r="G26" s="378">
        <f>C26*F26</f>
        <v/>
      </c>
      <c r="H26" s="382" t="n">
        <v>0.44</v>
      </c>
      <c r="I26" s="307">
        <f>G26/(1-H26)*(1+$C$10)</f>
        <v/>
      </c>
      <c r="J26" s="383">
        <f>I26*VLOOKUP($B$10,'Base Costs'!$A$32:$B$37,2,FALSE)</f>
        <v/>
      </c>
      <c r="K26" s="384">
        <f>I26-G26</f>
        <v/>
      </c>
    </row>
    <row r="27" ht="16" customHeight="1" s="1085">
      <c r="B27" s="269" t="inlineStr">
        <is>
          <t>PRISONS</t>
        </is>
      </c>
      <c r="C27" s="251" t="n"/>
      <c r="D27" s="269" t="inlineStr">
        <is>
          <t>SECURITY FIXINGS PER TILE</t>
        </is>
      </c>
      <c r="E27" s="269" t="n"/>
      <c r="F27" s="380">
        <f>'Base Costs'!AM16</f>
        <v/>
      </c>
      <c r="G27" s="378">
        <f>C27*F27</f>
        <v/>
      </c>
      <c r="H27" s="382" t="n">
        <v>0.44</v>
      </c>
      <c r="I27" s="307">
        <f>G27/(1-H27)*(1+$C$10)</f>
        <v/>
      </c>
      <c r="J27" s="383">
        <f>I27*VLOOKUP($B$10,'Base Costs'!$A$32:$B$37,2,FALSE)</f>
        <v/>
      </c>
      <c r="K27" s="384">
        <f>I27-G27</f>
        <v/>
      </c>
    </row>
    <row r="28" ht="16" customHeight="1" s="1085">
      <c r="B28" s="269" t="inlineStr">
        <is>
          <t>PRISONS</t>
        </is>
      </c>
      <c r="C28" s="251" t="n"/>
      <c r="D28" s="269" t="inlineStr">
        <is>
          <t>SECURITY MULLION (3M)</t>
        </is>
      </c>
      <c r="E28" s="269" t="n"/>
      <c r="F28" s="380">
        <f>'Base Costs'!AM18</f>
        <v/>
      </c>
      <c r="G28" s="378">
        <f>C28*F28</f>
        <v/>
      </c>
      <c r="H28" s="382" t="n">
        <v>0.44</v>
      </c>
      <c r="I28" s="307">
        <f>G28/(1-H28)*(1+$C$10)</f>
        <v/>
      </c>
      <c r="J28" s="383">
        <f>I28*VLOOKUP($B$10,'Base Costs'!$A$32:$B$37,2,FALSE)</f>
        <v/>
      </c>
      <c r="K28" s="384">
        <f>I28-G28</f>
        <v/>
      </c>
    </row>
    <row r="29" ht="16" customHeight="1" s="1085">
      <c r="B29" s="269" t="n"/>
      <c r="C29" s="251" t="n"/>
      <c r="D29" s="269" t="inlineStr">
        <is>
          <t>PAINTED TILES PER  METRE</t>
        </is>
      </c>
      <c r="E29" s="269" t="n"/>
      <c r="F29" s="380">
        <f>'Base Costs'!AM19</f>
        <v/>
      </c>
      <c r="G29" s="378">
        <f>C29*F29</f>
        <v/>
      </c>
      <c r="H29" s="382" t="n">
        <v>0.44</v>
      </c>
      <c r="I29" s="307">
        <f>G29/(1-H29)*(1+$C$10)</f>
        <v/>
      </c>
      <c r="J29" s="383">
        <f>I29*VLOOKUP($B$10,'Base Costs'!$A$32:$B$37,2,FALSE)</f>
        <v/>
      </c>
      <c r="K29" s="384">
        <f>I29-G29</f>
        <v/>
      </c>
    </row>
    <row r="30" ht="16" customHeight="1" s="1085">
      <c r="B30" s="269" t="inlineStr">
        <is>
          <t>CAPTURE JET PLENUM</t>
        </is>
      </c>
      <c r="C30" s="251" t="n"/>
      <c r="D30" s="269" t="inlineStr">
        <is>
          <t>PER METRE</t>
        </is>
      </c>
      <c r="E30" s="269" t="n"/>
      <c r="F30" s="380">
        <f>'Base Costs'!AM20</f>
        <v/>
      </c>
      <c r="G30" s="378">
        <f>C30*F30</f>
        <v/>
      </c>
      <c r="H30" s="382" t="n">
        <v>0.44</v>
      </c>
      <c r="I30" s="307">
        <f>G30/(1-H30)*(1+$C$10)</f>
        <v/>
      </c>
      <c r="J30" s="383">
        <f>I30*VLOOKUP($B$10,'Base Costs'!$A$32:$B$37,2,FALSE)</f>
        <v/>
      </c>
      <c r="K30" s="384">
        <f>I30-G30</f>
        <v/>
      </c>
    </row>
    <row r="31" ht="16" customHeight="1" s="1085">
      <c r="B31" s="269" t="n"/>
      <c r="C31" s="251" t="n"/>
      <c r="D31" s="280" t="inlineStr">
        <is>
          <t>HI FOG MULLION MODS</t>
        </is>
      </c>
      <c r="E31" s="280" t="n"/>
      <c r="F31" s="380">
        <f>'Base Costs'!AM21</f>
        <v/>
      </c>
      <c r="G31" s="378">
        <f>C31*F31</f>
        <v/>
      </c>
      <c r="H31" s="382" t="n">
        <v>0.44</v>
      </c>
      <c r="I31" s="307">
        <f>G31/(1-H31)*(1+$C$10)</f>
        <v/>
      </c>
      <c r="J31" s="383">
        <f>I31*VLOOKUP($B$10,'Base Costs'!$A$32:$B$37,2,FALSE)</f>
        <v/>
      </c>
      <c r="K31" s="384">
        <f>I31-G31</f>
        <v/>
      </c>
    </row>
    <row r="32" ht="16" customHeight="1" s="1085">
      <c r="B32" s="269" t="inlineStr">
        <is>
          <t>EXTRACT DUCT</t>
        </is>
      </c>
      <c r="C32" s="251" t="n"/>
      <c r="D32" s="269" t="n"/>
      <c r="E32" s="269" t="n"/>
      <c r="F32" s="380" t="n">
        <v>0</v>
      </c>
      <c r="G32" s="378">
        <f>C32*F32</f>
        <v/>
      </c>
      <c r="H32" s="382" t="n">
        <v>0.44</v>
      </c>
      <c r="I32" s="307">
        <f>G32/(1-H32)*(1+$C$10)</f>
        <v/>
      </c>
      <c r="J32" s="383">
        <f>I32*VLOOKUP($B$10,'Base Costs'!$A$32:$B$37,2,FALSE)</f>
        <v/>
      </c>
      <c r="K32" s="384">
        <f>I32-G32</f>
        <v/>
      </c>
    </row>
    <row r="33" ht="16" customHeight="1" s="1085">
      <c r="B33" s="269" t="inlineStr">
        <is>
          <t>SUPPLY DUCT</t>
        </is>
      </c>
      <c r="C33" s="251" t="n"/>
      <c r="D33" s="269" t="n"/>
      <c r="E33" s="269" t="n"/>
      <c r="F33" s="380" t="n">
        <v>0</v>
      </c>
      <c r="G33" s="378">
        <f>C33*F33</f>
        <v/>
      </c>
      <c r="H33" s="382" t="n">
        <v>0.44</v>
      </c>
      <c r="I33" s="307">
        <f>G33/(1-H33)*(1+$C$10)</f>
        <v/>
      </c>
      <c r="J33" s="383">
        <f>I33*VLOOKUP($B$10,'Base Costs'!$A$32:$B$37,2,FALSE)</f>
        <v/>
      </c>
      <c r="K33" s="384">
        <f>I33-G33</f>
        <v/>
      </c>
    </row>
    <row r="34" ht="16" customHeight="1" s="1085">
      <c r="B34" s="269" t="inlineStr">
        <is>
          <t>INSULATION</t>
        </is>
      </c>
      <c r="C34" s="251" t="n"/>
      <c r="D34" s="269" t="n"/>
      <c r="E34" s="269" t="n"/>
      <c r="F34" s="380" t="n">
        <v>0</v>
      </c>
      <c r="G34" s="378">
        <f>C34*F34</f>
        <v/>
      </c>
      <c r="H34" s="382" t="n">
        <v>0.44</v>
      </c>
      <c r="I34" s="307">
        <f>G34/(1-H34)*(1+$C$10)</f>
        <v/>
      </c>
      <c r="J34" s="383">
        <f>I34*VLOOKUP($B$10,'Base Costs'!$A$32:$B$37,2,FALSE)</f>
        <v/>
      </c>
      <c r="K34" s="384">
        <f>I34-G34</f>
        <v/>
      </c>
    </row>
    <row r="35" ht="16" customHeight="1" s="1085">
      <c r="B35" s="269" t="n"/>
      <c r="C35" s="251" t="n"/>
      <c r="D35" s="282" t="inlineStr">
        <is>
          <t>ULC GREASE EXTRACT CASS</t>
        </is>
      </c>
      <c r="E35" s="282" t="n"/>
      <c r="F35" s="380">
        <f>'Base Costs'!AM22</f>
        <v/>
      </c>
      <c r="G35" s="378">
        <f>C35*F35</f>
        <v/>
      </c>
      <c r="H35" s="382" t="n">
        <v>0.44</v>
      </c>
      <c r="I35" s="307">
        <f>G35/(1-H35)*(1+$C$10)</f>
        <v/>
      </c>
      <c r="J35" s="383">
        <f>I35*VLOOKUP($B$10,'Base Costs'!$A$32:$B$37,2,FALSE)</f>
        <v/>
      </c>
      <c r="K35" s="384">
        <f>I35-G35</f>
        <v/>
      </c>
    </row>
    <row r="36" ht="16" customHeight="1" s="1085">
      <c r="B36" s="269" t="inlineStr">
        <is>
          <t>MOD FRYER/BRATT SPEC</t>
        </is>
      </c>
      <c r="C36" s="251" t="n"/>
      <c r="D36" s="269" t="inlineStr">
        <is>
          <t>ULC PLENUM BOX (FIRE RATED)</t>
        </is>
      </c>
      <c r="E36" s="269" t="n"/>
      <c r="F36" s="380">
        <f>'Base Costs'!AM23</f>
        <v/>
      </c>
      <c r="G36" s="378">
        <f>C36*F36</f>
        <v/>
      </c>
      <c r="H36" s="382" t="n">
        <v>0.44</v>
      </c>
      <c r="I36" s="307">
        <f>G36/(1-H36)*(1+$C$10)</f>
        <v/>
      </c>
      <c r="J36" s="383">
        <f>I36*VLOOKUP($B$10,'Base Costs'!$A$32:$B$37,2,FALSE)</f>
        <v/>
      </c>
      <c r="K36" s="384">
        <f>I36-G36</f>
        <v/>
      </c>
    </row>
    <row r="37" ht="16" customHeight="1" s="1085">
      <c r="B37" s="978" t="inlineStr">
        <is>
          <t>BIM/REVIT</t>
        </is>
      </c>
      <c r="C37" s="1002" t="n">
        <v>1</v>
      </c>
      <c r="D37" s="1003" t="inlineStr">
        <is>
          <t>PER SQ/M</t>
        </is>
      </c>
      <c r="E37" s="978" t="n"/>
      <c r="F37" s="995" t="n">
        <v>5</v>
      </c>
      <c r="G37" s="996">
        <f>C37*F37</f>
        <v/>
      </c>
      <c r="H37" s="1004" t="n">
        <v>0.44</v>
      </c>
      <c r="I37" s="1005">
        <f>G37/(1-H37)*(1+$C$10)</f>
        <v/>
      </c>
      <c r="J37" s="1006">
        <f>I37*VLOOKUP($B$10,'Base Costs'!$A$32:$B$37,2,FALSE)</f>
        <v/>
      </c>
      <c r="K37" s="1007">
        <f>I37-G37</f>
        <v/>
      </c>
      <c r="L37" s="1008" t="inlineStr">
        <is>
          <t>always include</t>
        </is>
      </c>
      <c r="M37" s="1008" t="n"/>
    </row>
    <row r="38" ht="16" customHeight="1" s="1085">
      <c r="B38" s="269" t="n"/>
      <c r="C38" s="251" t="n"/>
      <c r="D38" s="269" t="inlineStr">
        <is>
          <t>ULC EMERGENCY LIGHT</t>
        </is>
      </c>
      <c r="E38" s="269" t="n"/>
      <c r="F38" s="380">
        <f>'Base Costs'!AM25</f>
        <v/>
      </c>
      <c r="G38" s="378">
        <f>C38*F38</f>
        <v/>
      </c>
      <c r="H38" s="382" t="n">
        <v>0.44</v>
      </c>
      <c r="I38" s="307">
        <f>G38/(1-H38)*(1+$C$10)</f>
        <v/>
      </c>
      <c r="J38" s="383">
        <f>I38*VLOOKUP($B$10,'Base Costs'!$A$32:$B$37,2,FALSE)</f>
        <v/>
      </c>
      <c r="K38" s="384">
        <f>I38-G38</f>
        <v/>
      </c>
    </row>
    <row r="39" ht="16" customHeight="1" s="1085">
      <c r="B39" s="269" t="inlineStr">
        <is>
          <t>DUCT DESIGN TIME</t>
        </is>
      </c>
      <c r="C39" s="251" t="n"/>
      <c r="D39" s="269" t="inlineStr">
        <is>
          <t>PER DAY- MINIMUM 1</t>
        </is>
      </c>
      <c r="E39" s="269" t="n"/>
      <c r="F39" s="380">
        <f>175*1.03</f>
        <v/>
      </c>
      <c r="G39" s="378">
        <f>C39*F39</f>
        <v/>
      </c>
      <c r="H39" s="382" t="n">
        <v>0.44</v>
      </c>
      <c r="I39" s="307">
        <f>G39/(1-H39)*(1+$C$10)</f>
        <v/>
      </c>
      <c r="J39" s="383">
        <f>I39*VLOOKUP($B$10,'Base Costs'!$A$32:$B$37,2,FALSE)</f>
        <v/>
      </c>
      <c r="K39" s="384">
        <f>I39-G39</f>
        <v/>
      </c>
    </row>
    <row r="40" ht="16" customHeight="1" s="1085">
      <c r="B40" s="269" t="inlineStr">
        <is>
          <t>CEILING DESIGN TIME</t>
        </is>
      </c>
      <c r="C40" s="251" t="n"/>
      <c r="D40" s="269" t="inlineStr">
        <is>
          <t>PER DAY- MINIMUM 1</t>
        </is>
      </c>
      <c r="E40" s="269" t="n"/>
      <c r="F40" s="380">
        <f>175*1.03</f>
        <v/>
      </c>
      <c r="G40" s="378">
        <f>C40*F40</f>
        <v/>
      </c>
      <c r="H40" s="382" t="n">
        <v>0.44</v>
      </c>
      <c r="I40" s="307">
        <f>G40/(1-H40)*(1+$C$10)</f>
        <v/>
      </c>
      <c r="J40" s="383">
        <f>I40*VLOOKUP($B$10,'Base Costs'!$A$32:$B$37,2,FALSE)</f>
        <v/>
      </c>
      <c r="K40" s="384">
        <f>I40-G40</f>
        <v/>
      </c>
    </row>
    <row r="41" ht="16" customHeight="1" s="1085">
      <c r="B41" s="920" t="inlineStr">
        <is>
          <t>LUX LEVEL TEST/REPORT</t>
        </is>
      </c>
      <c r="C41" s="251" t="n">
        <v>1</v>
      </c>
      <c r="D41" s="281" t="inlineStr">
        <is>
          <t>MINIMUM 1 DAY - When no other light source apart from Halton</t>
        </is>
      </c>
      <c r="E41" s="281" t="n"/>
      <c r="F41" s="380" t="n">
        <v>610</v>
      </c>
      <c r="G41" s="378">
        <f>C41*F41</f>
        <v/>
      </c>
      <c r="H41" s="382" t="n">
        <v>0.4</v>
      </c>
      <c r="I41" s="307">
        <f>G41/(1-H41)*(1+$C$10)</f>
        <v/>
      </c>
      <c r="J41" s="383">
        <f>I41*VLOOKUP($B$10,'Base Costs'!$A$32:$B$37,2,FALSE)</f>
        <v/>
      </c>
      <c r="K41" s="384">
        <f>I41-G41</f>
        <v/>
      </c>
    </row>
    <row r="42">
      <c r="B42" s="264" t="n"/>
      <c r="C42" s="17" t="n"/>
      <c r="F42" s="265" t="n"/>
      <c r="G42" s="265" t="n"/>
      <c r="H42" s="266" t="n"/>
      <c r="I42" s="369" t="n"/>
      <c r="J42" s="369" t="n"/>
      <c r="K42" s="370" t="n"/>
    </row>
    <row r="43" ht="16" customHeight="1" s="1085">
      <c r="B43" s="85" t="inlineStr">
        <is>
          <t>DELIVERY &amp; INSTALLATION</t>
        </is>
      </c>
      <c r="C43" s="85" t="n"/>
      <c r="D43" s="86" t="n"/>
      <c r="E43" s="86" t="n"/>
      <c r="F43" s="86" t="n"/>
      <c r="G43" s="154">
        <f>SUBTOTAL(9,G46:G55)</f>
        <v/>
      </c>
      <c r="H43" s="15">
        <f>IF(G43=0,"-",K43/I43)</f>
        <v/>
      </c>
      <c r="I43" s="154">
        <f>SUBTOTAL(9,I46:I55)</f>
        <v/>
      </c>
      <c r="J43" s="465">
        <f>SUBTOTAL(9,J44:J55)</f>
        <v/>
      </c>
      <c r="K43" s="154">
        <f>SUBTOTAL(9,K46:K55)</f>
        <v/>
      </c>
      <c r="L43" s="267" t="n"/>
      <c r="M43" s="268" t="n"/>
      <c r="N43" s="268" t="n"/>
    </row>
    <row r="44" ht="16.5" customHeight="1" s="1085">
      <c r="B44" s="589" t="inlineStr">
        <is>
          <t>DELIVERY x 1.5 for multple loads</t>
        </is>
      </c>
      <c r="C44" s="286" t="n"/>
      <c r="D44" s="289" t="inlineStr">
        <is>
          <t>SELECT LOCATION…</t>
        </is>
      </c>
      <c r="E44" s="271" t="n"/>
      <c r="F44" s="380">
        <f>VLOOKUP(D44,'Base Costs'!E4:G213,2,FALSE)</f>
        <v/>
      </c>
      <c r="G44" s="378">
        <f>C44*F44</f>
        <v/>
      </c>
      <c r="H44" s="382" t="n">
        <v>0.33</v>
      </c>
      <c r="I44" s="307">
        <f>G44/(1-H44)*(1+$C$10)</f>
        <v/>
      </c>
      <c r="J44" s="383">
        <f>I44*VLOOKUP($B$10,'Base Costs'!$A$32:$B$37,2,FALSE)</f>
        <v/>
      </c>
      <c r="K44" s="384">
        <f>I44-G44</f>
        <v/>
      </c>
    </row>
    <row r="45" ht="16" customHeight="1" s="1085">
      <c r="B45" s="269" t="inlineStr">
        <is>
          <t>PLANT HIRE</t>
        </is>
      </c>
      <c r="C45" s="286" t="n"/>
      <c r="D45" s="288" t="inlineStr">
        <is>
          <t>PLANT SELECTION (weekly)</t>
        </is>
      </c>
      <c r="E45" s="270" t="n"/>
      <c r="F45" s="380">
        <f>VLOOKUP(D45,'Base Costs'!A4:B16,2,FALSE)</f>
        <v/>
      </c>
      <c r="G45" s="378">
        <f>C45*F45</f>
        <v/>
      </c>
      <c r="H45" s="382" t="n">
        <v>0.33</v>
      </c>
      <c r="I45" s="307">
        <f>G45/(1-H45)*(1+$C$10)</f>
        <v/>
      </c>
      <c r="J45" s="383">
        <f>I45*VLOOKUP($B$10,'Base Costs'!$A$32:$B$37,2,FALSE)</f>
        <v/>
      </c>
      <c r="K45" s="384">
        <f>I45-G45</f>
        <v/>
      </c>
    </row>
    <row r="46" ht="16" customHeight="1" s="1085">
      <c r="B46" s="269" t="inlineStr">
        <is>
          <t>PRELIM SITE SURVEY</t>
        </is>
      </c>
      <c r="C46" s="286" t="n"/>
      <c r="D46" s="269" t="inlineStr">
        <is>
          <t>MINIMUM 1</t>
        </is>
      </c>
      <c r="E46" s="269" t="n"/>
      <c r="F46" s="380">
        <f>250*1.03</f>
        <v/>
      </c>
      <c r="G46" s="378">
        <f>C46*F46</f>
        <v/>
      </c>
      <c r="H46" s="382" t="n">
        <v>0.4</v>
      </c>
      <c r="I46" s="307">
        <f>G46/(1-H46)*(1+$C$10)</f>
        <v/>
      </c>
      <c r="J46" s="383">
        <f>I46*VLOOKUP($B$10,'Base Costs'!$A$32:$B$37,2,FALSE)</f>
        <v/>
      </c>
      <c r="K46" s="384">
        <f>I46-G46</f>
        <v/>
      </c>
    </row>
    <row r="47" ht="16" customHeight="1" s="1085">
      <c r="B47" s="269" t="inlineStr">
        <is>
          <t>SITE SET OUT LASER</t>
        </is>
      </c>
      <c r="C47" s="286" t="n"/>
      <c r="D47" s="269" t="inlineStr">
        <is>
          <t>ONE DAY MIN PER PAIR</t>
        </is>
      </c>
      <c r="E47" s="269" t="n"/>
      <c r="F47" s="380">
        <f>300*1.03</f>
        <v/>
      </c>
      <c r="G47" s="378">
        <f>C47*F47</f>
        <v/>
      </c>
      <c r="H47" s="382" t="n">
        <v>0.4</v>
      </c>
      <c r="I47" s="307">
        <f>G47/(1-H47)*(1+$C$10)</f>
        <v/>
      </c>
      <c r="J47" s="383">
        <f>I47*VLOOKUP($B$10,'Base Costs'!$A$32:$B$37,2,FALSE)</f>
        <v/>
      </c>
      <c r="K47" s="384">
        <f>I47-G47</f>
        <v/>
      </c>
    </row>
    <row r="48" ht="16" customHeight="1" s="1085">
      <c r="B48" s="269" t="inlineStr">
        <is>
          <t>TRIMMING ON SITE</t>
        </is>
      </c>
      <c r="C48" s="286" t="n"/>
      <c r="D48" s="269" t="inlineStr">
        <is>
          <t>PER TRIM TILE</t>
        </is>
      </c>
      <c r="E48" s="269" t="n"/>
      <c r="F48" s="380">
        <f>4.5*1.03</f>
        <v/>
      </c>
      <c r="G48" s="378">
        <f>C48*F48</f>
        <v/>
      </c>
      <c r="H48" s="382" t="n">
        <v>0.4</v>
      </c>
      <c r="I48" s="307">
        <f>G48/(1-H48)*(1+$C$10)</f>
        <v/>
      </c>
      <c r="J48" s="383">
        <f>I48*VLOOKUP($B$10,'Base Costs'!$A$32:$B$37,2,FALSE)</f>
        <v/>
      </c>
      <c r="K48" s="384">
        <f>I48-G48</f>
        <v/>
      </c>
    </row>
    <row r="49" ht="16" customHeight="1" s="1085">
      <c r="B49" s="269" t="inlineStr">
        <is>
          <t>SITE SET UP AND UNLOAD</t>
        </is>
      </c>
      <c r="C49" s="286" t="n"/>
      <c r="D49" s="269" t="inlineStr">
        <is>
          <t>ONE DAY MIN</t>
        </is>
      </c>
      <c r="E49" s="269" t="n"/>
      <c r="F49" s="380">
        <f>300*1.03</f>
        <v/>
      </c>
      <c r="G49" s="378">
        <f>C49*F49</f>
        <v/>
      </c>
      <c r="H49" s="382" t="n">
        <v>0.4</v>
      </c>
      <c r="I49" s="307">
        <f>G49/(1-H49)*(1+$C$10)</f>
        <v/>
      </c>
      <c r="J49" s="383">
        <f>I49*VLOOKUP($B$10,'Base Costs'!$A$32:$B$37,2,FALSE)</f>
        <v/>
      </c>
      <c r="K49" s="384">
        <f>I49-G49</f>
        <v/>
      </c>
    </row>
    <row r="50" ht="16" customHeight="1" s="1085">
      <c r="B50" s="269" t="inlineStr">
        <is>
          <t>SITE INDUCTION</t>
        </is>
      </c>
      <c r="C50" s="286" t="n"/>
      <c r="D50" s="269" t="inlineStr">
        <is>
          <t>HALF DAY MIN</t>
        </is>
      </c>
      <c r="E50" s="269" t="n"/>
      <c r="F50" s="380">
        <f>300*1.03</f>
        <v/>
      </c>
      <c r="G50" s="378">
        <f>C50*F50</f>
        <v/>
      </c>
      <c r="H50" s="382" t="n">
        <v>0.4</v>
      </c>
      <c r="I50" s="307">
        <f>G50/(1-H50)*(1+$C$10)</f>
        <v/>
      </c>
      <c r="J50" s="383">
        <f>I50*VLOOKUP($B$10,'Base Costs'!$A$32:$B$37,2,FALSE)</f>
        <v/>
      </c>
      <c r="K50" s="384">
        <f>I50-G50</f>
        <v/>
      </c>
    </row>
    <row r="51" ht="16" customHeight="1" s="1085">
      <c r="B51" s="269" t="inlineStr">
        <is>
          <t>FINAL CLEAN UP &amp; STRIP</t>
        </is>
      </c>
      <c r="C51" s="286" t="n"/>
      <c r="D51" s="269" t="inlineStr">
        <is>
          <t>HALF DAY MIN</t>
        </is>
      </c>
      <c r="E51" s="269" t="n"/>
      <c r="F51" s="380">
        <f>300*1.03</f>
        <v/>
      </c>
      <c r="G51" s="378">
        <f>C51*F51</f>
        <v/>
      </c>
      <c r="H51" s="382" t="n">
        <v>0.4</v>
      </c>
      <c r="I51" s="307">
        <f>G51/(1-H51)*(1+$C$10)</f>
        <v/>
      </c>
      <c r="J51" s="383">
        <f>I51*VLOOKUP($B$10,'Base Costs'!$A$32:$B$37,2,FALSE)</f>
        <v/>
      </c>
      <c r="K51" s="384">
        <f>I51-G51</f>
        <v/>
      </c>
    </row>
    <row r="52" ht="16" customHeight="1" s="1085">
      <c r="B52" s="269" t="inlineStr">
        <is>
          <t>INSTALLATION DAY</t>
        </is>
      </c>
      <c r="C52" s="287" t="n"/>
      <c r="D52" s="588" t="inlineStr">
        <is>
          <t>TOTAL AREA DIVIDED BY 4.0m2 customised to suit site</t>
        </is>
      </c>
      <c r="E52" s="272" t="n"/>
      <c r="F52" s="380" t="n">
        <v>610</v>
      </c>
      <c r="G52" s="378">
        <f>C52*F52</f>
        <v/>
      </c>
      <c r="H52" s="382" t="n">
        <v>0.4</v>
      </c>
      <c r="I52" s="307">
        <f>G52/(1-H52)*(1+$C$10)</f>
        <v/>
      </c>
      <c r="J52" s="383">
        <f>I52*VLOOKUP($B$10,'Base Costs'!$A$32:$B$37,2,FALSE)</f>
        <v/>
      </c>
      <c r="K52" s="384">
        <f>I52-G52</f>
        <v/>
      </c>
    </row>
    <row r="53" ht="16" customHeight="1" s="1085">
      <c r="B53" s="269" t="inlineStr">
        <is>
          <t>OVERNIGHT</t>
        </is>
      </c>
      <c r="C53" s="286" t="n"/>
      <c r="D53" s="269" t="n"/>
      <c r="E53" s="269" t="n"/>
      <c r="F53" s="380" t="n">
        <v>220</v>
      </c>
      <c r="G53" s="378">
        <f>C53*F53</f>
        <v/>
      </c>
      <c r="H53" s="382" t="n">
        <v>0.33</v>
      </c>
      <c r="I53" s="307">
        <f>G53/(1-H53)*(1+$C$10)</f>
        <v/>
      </c>
      <c r="J53" s="383">
        <f>I53*VLOOKUP($B$10,'Base Costs'!$A$32:$B$37,2,FALSE)</f>
        <v/>
      </c>
      <c r="K53" s="384">
        <f>I53-G53</f>
        <v/>
      </c>
    </row>
    <row r="54" ht="16" customHeight="1" s="1085">
      <c r="B54" s="269" t="inlineStr">
        <is>
          <t xml:space="preserve">CONSUMABLES </t>
        </is>
      </c>
      <c r="C54" s="286" t="n"/>
      <c r="D54" s="269" t="n"/>
      <c r="E54" s="269" t="n"/>
      <c r="F54" s="380" t="n">
        <v>0</v>
      </c>
      <c r="G54" s="378">
        <f>C54*F54</f>
        <v/>
      </c>
      <c r="H54" s="382" t="n">
        <v>0.33</v>
      </c>
      <c r="I54" s="307">
        <f>G54/(1-H54)*(1+$C$10)</f>
        <v/>
      </c>
      <c r="J54" s="383">
        <f>I54*VLOOKUP($B$10,'Base Costs'!$A$32:$B$37,2,FALSE)</f>
        <v/>
      </c>
      <c r="K54" s="384">
        <f>I54-G54</f>
        <v/>
      </c>
    </row>
    <row r="55" ht="16" customHeight="1" s="1085">
      <c r="B55" s="269" t="inlineStr">
        <is>
          <t>TEST &amp; COMMISSION</t>
        </is>
      </c>
      <c r="C55" s="286" t="n"/>
      <c r="D55" s="270" t="inlineStr">
        <is>
          <t>1 Day per 20no Extract Tiles</t>
        </is>
      </c>
      <c r="E55" s="269" t="n"/>
      <c r="F55" s="380" t="n">
        <v>604</v>
      </c>
      <c r="G55" s="378">
        <f>C55*F55</f>
        <v/>
      </c>
      <c r="H55" s="382" t="n">
        <v>0.33</v>
      </c>
      <c r="I55" s="307">
        <f>G55/(1-H55)*(1+$C$10)</f>
        <v/>
      </c>
      <c r="J55" s="383">
        <f>I55*VLOOKUP($B$10,'Base Costs'!$A$32:$B$37,2,FALSE)</f>
        <v/>
      </c>
      <c r="K55" s="384">
        <f>I55-G55</f>
        <v/>
      </c>
    </row>
    <row r="56">
      <c r="B56" s="273" t="n"/>
      <c r="C56" s="17" t="n"/>
      <c r="D56" s="274" t="n"/>
      <c r="E56" s="274" t="n"/>
      <c r="F56" s="275" t="n"/>
      <c r="G56" s="371" t="n"/>
      <c r="H56" s="276" t="n"/>
      <c r="I56" s="372" t="n"/>
      <c r="J56" s="372" t="n"/>
      <c r="K56" s="369" t="n"/>
    </row>
    <row r="57">
      <c r="B57" s="197" t="inlineStr">
        <is>
          <t>Office Use Only</t>
        </is>
      </c>
      <c r="C57" s="198" t="n"/>
      <c r="D57" s="199" t="n"/>
      <c r="E57" s="199" t="n"/>
      <c r="F57" s="198" t="n"/>
      <c r="G57" s="200" t="n"/>
      <c r="H57" s="198" t="n"/>
      <c r="I57" s="198" t="n"/>
      <c r="J57" s="198" t="n"/>
      <c r="K57" s="198" t="n"/>
    </row>
    <row r="58">
      <c r="B58" s="202" t="n"/>
      <c r="C58" s="203" t="n"/>
      <c r="D58" s="202" t="n"/>
      <c r="E58" s="204" t="n"/>
      <c r="F58" s="202" t="n"/>
      <c r="G58" s="209" t="n"/>
      <c r="H58" s="203" t="n"/>
      <c r="I58" s="203" t="n"/>
      <c r="J58" s="203" t="n"/>
      <c r="K58" s="205" t="n"/>
    </row>
    <row r="59">
      <c r="B59" s="202" t="n"/>
      <c r="C59" s="203" t="n"/>
      <c r="D59" s="202" t="n"/>
      <c r="E59" s="204" t="n"/>
      <c r="F59" s="202" t="n"/>
      <c r="G59" s="209" t="n"/>
      <c r="H59" s="203" t="n"/>
      <c r="I59" s="203" t="n"/>
      <c r="J59" s="203" t="n"/>
      <c r="K59" s="205" t="n"/>
    </row>
    <row r="60">
      <c r="B60" s="202" t="n"/>
      <c r="C60" s="203" t="n"/>
      <c r="D60" s="202" t="n"/>
      <c r="E60" s="204" t="n"/>
      <c r="F60" s="202" t="n"/>
      <c r="G60" s="209" t="n"/>
      <c r="H60" s="203" t="n"/>
      <c r="I60" s="203" t="n"/>
      <c r="J60" s="203" t="n"/>
      <c r="K60" s="209" t="n"/>
    </row>
    <row r="61">
      <c r="B61" s="202" t="n"/>
      <c r="C61" s="203" t="n"/>
      <c r="D61" s="202" t="n"/>
      <c r="E61" s="204" t="n"/>
      <c r="F61" s="202" t="n"/>
      <c r="G61" s="209" t="n"/>
      <c r="H61" s="206" t="n"/>
      <c r="I61" s="203" t="n"/>
      <c r="J61" s="203" t="n"/>
      <c r="K61" s="209" t="n"/>
    </row>
    <row r="62">
      <c r="B62" s="202" t="n"/>
      <c r="C62" s="203" t="n"/>
      <c r="D62" s="202" t="n"/>
      <c r="E62" s="202" t="n"/>
      <c r="F62" s="202" t="n"/>
      <c r="G62" s="207" t="n"/>
      <c r="H62" s="209" t="n"/>
      <c r="I62" s="203" t="n"/>
      <c r="J62" s="203" t="n"/>
      <c r="K62" s="205" t="n"/>
    </row>
    <row r="63">
      <c r="B63" s="202" t="n"/>
      <c r="C63" s="202" t="n"/>
      <c r="D63" s="202" t="n"/>
      <c r="E63" s="202" t="n"/>
      <c r="F63" s="202" t="n"/>
      <c r="G63" s="207" t="n"/>
      <c r="H63" s="209" t="n"/>
      <c r="I63" s="203" t="n"/>
      <c r="J63" s="203" t="n"/>
      <c r="K63" s="205" t="n"/>
    </row>
    <row r="64">
      <c r="D64" s="277" t="n"/>
      <c r="E64" s="277" t="n"/>
    </row>
    <row r="65">
      <c r="D65" s="277" t="n"/>
      <c r="E65" s="277" t="n"/>
    </row>
    <row r="66">
      <c r="D66" s="277" t="n"/>
      <c r="E66" s="277" t="n"/>
    </row>
    <row r="67">
      <c r="D67" s="277" t="n"/>
      <c r="E67" s="277" t="n"/>
    </row>
    <row r="68">
      <c r="D68" s="277" t="n"/>
      <c r="E68" s="277" t="n"/>
    </row>
    <row r="69">
      <c r="D69" s="277" t="n"/>
      <c r="E69" s="277" t="n"/>
    </row>
    <row r="70">
      <c r="D70" s="277" t="n"/>
      <c r="E70" s="277" t="n"/>
    </row>
    <row r="71">
      <c r="D71" s="277" t="n"/>
      <c r="E71" s="277" t="n"/>
    </row>
    <row r="72">
      <c r="D72" s="277" t="n"/>
      <c r="E72" s="277" t="n"/>
    </row>
    <row r="73">
      <c r="D73" s="277" t="n"/>
      <c r="E73" s="277" t="n"/>
    </row>
    <row r="74">
      <c r="D74" s="277" t="n"/>
      <c r="E74" s="277" t="n"/>
    </row>
    <row r="75">
      <c r="B75" s="277" t="n"/>
      <c r="C75" s="279" t="n"/>
      <c r="D75" s="277" t="n"/>
      <c r="E75" s="277" t="n"/>
    </row>
    <row r="76">
      <c r="B76" s="279" t="n"/>
      <c r="C76" s="279" t="n"/>
      <c r="D76" s="279" t="n"/>
      <c r="E76" s="279" t="n"/>
    </row>
    <row r="77">
      <c r="D77" s="277" t="n"/>
      <c r="E77" s="277" t="n"/>
    </row>
    <row r="78">
      <c r="D78" s="277" t="n"/>
      <c r="E78" s="277" t="n"/>
    </row>
    <row r="79">
      <c r="D79" s="277" t="n"/>
      <c r="E79" s="277" t="n"/>
    </row>
    <row r="80">
      <c r="D80" s="277" t="n"/>
      <c r="E80" s="277" t="n"/>
    </row>
    <row r="81">
      <c r="D81" s="277" t="n"/>
      <c r="E81" s="277" t="n"/>
    </row>
    <row r="82">
      <c r="D82" s="277" t="n"/>
      <c r="E82" s="277" t="n"/>
    </row>
    <row r="83">
      <c r="D83" s="277" t="n"/>
      <c r="E83" s="277" t="n"/>
    </row>
    <row r="84">
      <c r="D84" s="277" t="n"/>
      <c r="E84" s="277" t="n"/>
    </row>
    <row r="85">
      <c r="D85" s="277" t="n"/>
      <c r="E85" s="277" t="n"/>
    </row>
    <row r="86">
      <c r="D86" s="277" t="n"/>
      <c r="E86" s="277" t="n"/>
    </row>
  </sheetData>
  <mergeCells count="8">
    <mergeCell ref="C7:D7"/>
    <mergeCell ref="F5:H5"/>
    <mergeCell ref="B1:D1"/>
    <mergeCell ref="C5:D5"/>
    <mergeCell ref="F7:H7"/>
    <mergeCell ref="F3:H3"/>
    <mergeCell ref="C3:D3"/>
    <mergeCell ref="L7:N7"/>
  </mergeCells>
  <conditionalFormatting sqref="B10 F12:F13">
    <cfRule type="containsText" priority="49" operator="containsText" dxfId="680" text="SELECT">
      <formula>NOT(ISERROR(SEARCH("SELECT",B10)))</formula>
    </cfRule>
    <cfRule type="expression" priority="50" dxfId="680">
      <formula>B10="CURRENCY"</formula>
    </cfRule>
  </conditionalFormatting>
  <conditionalFormatting sqref="B14:B41">
    <cfRule type="expression" priority="3" dxfId="633">
      <formula>$C14&gt;0</formula>
    </cfRule>
  </conditionalFormatting>
  <conditionalFormatting sqref="B44:B55">
    <cfRule type="expression" priority="1" dxfId="633">
      <formula>$C44&gt;0</formula>
    </cfRule>
  </conditionalFormatting>
  <conditionalFormatting sqref="C14:C41 C44:C55">
    <cfRule type="cellIs" priority="59" operator="equal" dxfId="561">
      <formula>0</formula>
    </cfRule>
  </conditionalFormatting>
  <conditionalFormatting sqref="C10:D10">
    <cfRule type="cellIs" priority="9" operator="lessThan" dxfId="207">
      <formula>0</formula>
    </cfRule>
    <cfRule type="cellIs" priority="10" operator="greaterThan" dxfId="552">
      <formula>0</formula>
    </cfRule>
  </conditionalFormatting>
  <conditionalFormatting sqref="E12:E13">
    <cfRule type="cellIs" priority="52" operator="greaterThan" dxfId="207">
      <formula>0</formula>
    </cfRule>
    <cfRule type="cellIs" priority="53" operator="lessThan" dxfId="552">
      <formula>0</formula>
    </cfRule>
  </conditionalFormatting>
  <conditionalFormatting sqref="F14:F41 F44:F55">
    <cfRule type="expression" priority="6" dxfId="10537">
      <formula>C14&gt;0</formula>
    </cfRule>
  </conditionalFormatting>
  <conditionalFormatting sqref="G14:G41 G44:G55">
    <cfRule type="cellIs" priority="5" operator="greaterThan" dxfId="141">
      <formula>0</formula>
    </cfRule>
  </conditionalFormatting>
  <conditionalFormatting sqref="H14:H41 H44:H55">
    <cfRule type="expression" priority="231" dxfId="175">
      <formula>$C$10&lt;0</formula>
    </cfRule>
    <cfRule type="expression" priority="232" dxfId="552">
      <formula>$C$10&gt;0</formula>
    </cfRule>
  </conditionalFormatting>
  <conditionalFormatting sqref="J1:J6 J8:J11 J13:J1048576">
    <cfRule type="expression" priority="198" dxfId="2">
      <formula>$B$10="EURO"</formula>
    </cfRule>
  </conditionalFormatting>
  <conditionalFormatting sqref="J10 J13:J41 J43:J55">
    <cfRule type="expression" priority="205" dxfId="4">
      <formula>$B$10="PLN"</formula>
    </cfRule>
    <cfRule type="expression" priority="206" dxfId="0">
      <formula>$B$10="CZK"</formula>
    </cfRule>
    <cfRule type="expression" priority="207" dxfId="3">
      <formula>$B$10="USD"</formula>
    </cfRule>
  </conditionalFormatting>
  <conditionalFormatting sqref="J14:K41 J44:K56">
    <cfRule type="cellIs" priority="4" operator="greaterThan" dxfId="141">
      <formula>0</formula>
    </cfRule>
  </conditionalFormatting>
  <dataValidations count="1">
    <dataValidation sqref="F12:F13" showDropDown="0" showInputMessage="1" showErrorMessage="1" allowBlank="1" type="list">
      <formula1>$B$30:$B$35</formula1>
    </dataValidation>
  </dataValidations>
  <printOptions horizontalCentered="1"/>
  <pageMargins left="0.7874015748031497" right="0.3543307086614174" top="0.5511811023622047" bottom="0.3937007874015748" header="0.3149606299212598" footer="0.1181102362204725"/>
  <pageSetup orientation="portrait" paperSize="9" scale="46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 codeName="Sheet6">
    <tabColor theme="8" tint="0.7999816888943144"/>
    <outlinePr summaryBelow="1" summaryRight="1"/>
    <pageSetUpPr fitToPage="1"/>
  </sheetPr>
  <dimension ref="B1:N181"/>
  <sheetViews>
    <sheetView zoomScale="80" zoomScaleNormal="80" zoomScalePageLayoutView="85" workbookViewId="0">
      <selection activeCell="C4" sqref="C4"/>
    </sheetView>
  </sheetViews>
  <sheetFormatPr baseColWidth="10" defaultColWidth="8.83203125" defaultRowHeight="15"/>
  <cols>
    <col width="2.5" customWidth="1" style="1152" min="1" max="1"/>
    <col width="30.6640625" customWidth="1" style="1152" min="2" max="2"/>
    <col width="17.1640625" customWidth="1" style="1156" min="3" max="3"/>
    <col width="33.1640625" customWidth="1" style="1150" min="4" max="4"/>
    <col width="13.1640625" bestFit="1" customWidth="1" style="1152" min="5" max="5"/>
    <col width="10.6640625" customWidth="1" style="1152" min="6" max="6"/>
    <col width="16.5" customWidth="1" style="1152" min="7" max="7"/>
    <col width="12.1640625" customWidth="1" style="1152" min="8" max="8"/>
    <col hidden="1" width="16.33203125" customWidth="1" style="1152" min="9" max="9"/>
    <col width="18.5" customWidth="1" style="1152" min="10" max="10"/>
    <col width="16.33203125" customWidth="1" style="1152" min="11" max="11"/>
    <col width="15.6640625" customWidth="1" style="1152" min="12" max="12"/>
    <col width="9.5" customWidth="1" style="1152" min="13" max="13"/>
    <col width="8.83203125" customWidth="1" style="1152" min="14" max="14"/>
    <col width="8.83203125" customWidth="1" style="1152" min="15" max="16384"/>
  </cols>
  <sheetData>
    <row r="1" ht="19" customHeight="1" s="1085">
      <c r="B1" s="1155" t="inlineStr">
        <is>
          <t>F-24 19  M.A.R.V.E.L. COST SHEET</t>
        </is>
      </c>
      <c r="D1" s="210" t="n"/>
      <c r="E1" s="211" t="n"/>
      <c r="F1" s="212" t="n"/>
      <c r="G1" s="213" t="n"/>
      <c r="H1" s="214" t="n"/>
      <c r="I1" s="212" t="n"/>
      <c r="J1" s="212" t="n"/>
      <c r="K1" s="975" t="inlineStr">
        <is>
          <t>JAN25-19</t>
        </is>
      </c>
      <c r="L1" s="126" t="n"/>
      <c r="M1" s="126" t="n"/>
    </row>
    <row r="2">
      <c r="C2" s="128" t="n"/>
      <c r="D2" s="129" t="n"/>
      <c r="F2" s="1156" t="n"/>
      <c r="H2" s="131" t="n"/>
      <c r="K2" s="126" t="n"/>
      <c r="L2" s="126" t="n"/>
      <c r="M2" s="126" t="n"/>
    </row>
    <row r="3" ht="16" customHeight="1" s="1085">
      <c r="B3" s="132" t="inlineStr">
        <is>
          <t>Job No.</t>
        </is>
      </c>
      <c r="C3" s="1130">
        <f>IF(CANOPY!C3="","",CANOPY!C3)</f>
        <v/>
      </c>
      <c r="E3" s="133" t="inlineStr">
        <is>
          <t>Project Name</t>
        </is>
      </c>
      <c r="F3" s="1151">
        <f>IF(CANOPY!G3="","",CANOPY!G3)</f>
        <v/>
      </c>
      <c r="L3" s="126" t="n"/>
      <c r="M3" s="126" t="n"/>
    </row>
    <row r="4">
      <c r="B4" s="1150" t="n"/>
      <c r="C4" s="51" t="n"/>
      <c r="D4" s="51" t="n"/>
      <c r="E4" s="135" t="n"/>
      <c r="G4" s="136" t="n"/>
      <c r="H4" s="126" t="n"/>
      <c r="L4" s="126" t="n"/>
      <c r="M4" s="126" t="n"/>
    </row>
    <row r="5" ht="16" customHeight="1" s="1085">
      <c r="B5" s="132" t="inlineStr">
        <is>
          <t>Customer</t>
        </is>
      </c>
      <c r="C5" s="1130">
        <f>IF(CANOPY!C5="","",CANOPY!C5)</f>
        <v/>
      </c>
      <c r="E5" s="133" t="inlineStr">
        <is>
          <t>Location</t>
        </is>
      </c>
      <c r="F5" s="1151">
        <f>IF(CANOPY!G5="","",CANOPY!G5)</f>
        <v/>
      </c>
      <c r="L5" s="126" t="n"/>
      <c r="M5" s="126" t="n"/>
    </row>
    <row r="6">
      <c r="B6" s="132" t="n"/>
      <c r="C6" s="137" t="n"/>
      <c r="D6" s="138" t="n"/>
      <c r="E6" s="133" t="n"/>
      <c r="H6" s="126" t="n"/>
      <c r="L6" s="126" t="n"/>
      <c r="M6" s="126" t="n"/>
    </row>
    <row r="7" ht="16" customHeight="1" s="1085">
      <c r="B7" s="80" t="inlineStr">
        <is>
          <t>Sales Manager / Estimator initials</t>
        </is>
      </c>
      <c r="C7" s="1130">
        <f>IF(CANOPY!C7="","",CANOPY!C7)</f>
        <v/>
      </c>
      <c r="E7" s="139" t="inlineStr">
        <is>
          <t>Date</t>
        </is>
      </c>
      <c r="F7" s="1154">
        <f>IF(CANOPY!G7="","",CANOPY!G7)</f>
        <v/>
      </c>
      <c r="I7" s="137" t="inlineStr">
        <is>
          <t>Rev No</t>
        </is>
      </c>
      <c r="J7" s="137" t="n"/>
      <c r="K7" s="1141">
        <f>IF(CANOPY!O7="","",CANOPY!O7)</f>
        <v/>
      </c>
      <c r="L7" s="1091" t="inlineStr">
        <is>
          <t>GP SHOULD BE MINIMUM 37%</t>
        </is>
      </c>
    </row>
    <row r="8">
      <c r="B8" s="1150" t="n"/>
      <c r="D8" s="140" t="n"/>
      <c r="H8" s="131" t="n"/>
      <c r="I8" s="136" t="n"/>
      <c r="J8" s="136" t="n"/>
      <c r="K8" s="126" t="n"/>
      <c r="L8" s="126" t="n"/>
      <c r="M8" s="126" t="n"/>
    </row>
    <row r="9">
      <c r="B9" s="38" t="inlineStr">
        <is>
          <t>CURRENCY</t>
        </is>
      </c>
      <c r="C9" s="948" t="n"/>
      <c r="D9" s="377">
        <f>IF(C9=0,0,(SUBTOTAL(9,I12:I60)/(1-C9))-I9)</f>
        <v/>
      </c>
      <c r="G9" s="25">
        <f>SUBTOTAL(9,G13:G60)</f>
        <v/>
      </c>
      <c r="H9" s="968">
        <f>IF(K9=0,"-",K9/I9)</f>
        <v/>
      </c>
      <c r="I9" s="25">
        <f>SUBTOTAL(9,I13:I64)</f>
        <v/>
      </c>
      <c r="J9" s="464">
        <f>SUBTOTAL(9,J13:J60)</f>
        <v/>
      </c>
      <c r="K9" s="25">
        <f>SUBTOTAL(9,K13:K60)</f>
        <v/>
      </c>
      <c r="L9" s="141" t="n"/>
      <c r="M9" s="141" t="n"/>
    </row>
    <row r="10" ht="16" customHeight="1" s="1085">
      <c r="B10" s="72" t="inlineStr">
        <is>
          <t>CURRENCY</t>
        </is>
      </c>
      <c r="C10" s="72" t="inlineStr">
        <is>
          <t>%</t>
        </is>
      </c>
      <c r="D10" s="72" t="inlineStr">
        <is>
          <t>COMMISSION</t>
        </is>
      </c>
      <c r="E10" s="72" t="inlineStr">
        <is>
          <t>DISCOUNT</t>
        </is>
      </c>
      <c r="F10" s="72" t="inlineStr">
        <is>
          <t>COST</t>
        </is>
      </c>
      <c r="G10" s="72" t="inlineStr">
        <is>
          <t>TOTAL COST</t>
        </is>
      </c>
      <c r="H10" s="72" t="inlineStr">
        <is>
          <t>GP</t>
        </is>
      </c>
      <c r="I10" s="72" t="inlineStr">
        <is>
          <t>SELL</t>
        </is>
      </c>
      <c r="J10" s="72" t="inlineStr">
        <is>
          <t>SELL</t>
        </is>
      </c>
      <c r="K10" s="143" t="inlineStr">
        <is>
          <t>PROFIT</t>
        </is>
      </c>
      <c r="L10" s="126" t="n"/>
      <c r="M10" s="141" t="n"/>
    </row>
    <row r="11">
      <c r="B11" s="137" t="n"/>
      <c r="C11" s="137" t="n"/>
      <c r="D11" s="132" t="n"/>
      <c r="E11" s="137" t="n"/>
      <c r="F11" s="137" t="n"/>
      <c r="G11" s="137" t="n"/>
      <c r="H11" s="137" t="n"/>
      <c r="I11" s="137" t="n"/>
      <c r="J11" s="137" t="n"/>
      <c r="K11" s="141" t="n"/>
      <c r="L11" s="126" t="n"/>
      <c r="M11" s="141" t="n"/>
    </row>
    <row r="12" ht="16" customHeight="1" s="1085">
      <c r="B12" s="57" t="inlineStr">
        <is>
          <t>KITCHEN COMPONENTS</t>
        </is>
      </c>
      <c r="C12" s="86" t="inlineStr">
        <is>
          <t>QTY</t>
        </is>
      </c>
      <c r="D12" s="57" t="inlineStr">
        <is>
          <t>Comments</t>
        </is>
      </c>
      <c r="E12" s="59" t="n"/>
      <c r="F12" s="144" t="n"/>
      <c r="G12" s="61">
        <f>SUBTOTAL(9,G13:G21)</f>
        <v/>
      </c>
      <c r="H12" s="39">
        <f>IF(G12=0,"-",K12/I12)</f>
        <v/>
      </c>
      <c r="I12" s="61">
        <f>SUBTOTAL(9,I13:I21)</f>
        <v/>
      </c>
      <c r="J12" s="465">
        <f>SUBTOTAL(9,J13:J21)</f>
        <v/>
      </c>
      <c r="K12" s="61">
        <f>SUBTOTAL(9,K13:K21)</f>
        <v/>
      </c>
      <c r="L12" s="126" t="n"/>
      <c r="M12" s="141" t="n"/>
    </row>
    <row r="13" ht="16" customHeight="1" s="1085">
      <c r="B13" s="269" t="inlineStr">
        <is>
          <t>PS-154 EDGE BOX</t>
        </is>
      </c>
      <c r="C13" s="295" t="n"/>
      <c r="D13" s="310" t="inlineStr">
        <is>
          <t>1 PER AREA</t>
        </is>
      </c>
      <c r="E13" s="290" t="n"/>
      <c r="F13" s="924">
        <f>'Base Costs'!AM29</f>
        <v/>
      </c>
      <c r="G13" s="378">
        <f>C13*F13</f>
        <v/>
      </c>
      <c r="H13" s="381" t="n">
        <v>0.37</v>
      </c>
      <c r="I13" s="311">
        <f>G13/(1-H13)*(1+$C$9)</f>
        <v/>
      </c>
      <c r="J13" s="378">
        <f>I13*VLOOKUP($B$9,'Base Costs'!$A$32:$B$37,2,FALSE)</f>
        <v/>
      </c>
      <c r="K13" s="379">
        <f>I13-G13</f>
        <v/>
      </c>
      <c r="L13" s="126" t="n"/>
      <c r="M13" s="126" t="n"/>
    </row>
    <row r="14" ht="14.5" customHeight="1" s="1085">
      <c r="B14" s="584" t="inlineStr">
        <is>
          <t>PS-150 TOUCH SCREEN</t>
        </is>
      </c>
      <c r="C14" s="295" t="n"/>
      <c r="D14" s="1153" t="inlineStr">
        <is>
          <t>ST/STEEL WALL MOUNTED BOX ENCLOSURE</t>
        </is>
      </c>
      <c r="F14" s="380">
        <f>'Base Costs'!AM30</f>
        <v/>
      </c>
      <c r="G14" s="378">
        <f>C14*F14</f>
        <v/>
      </c>
      <c r="H14" s="381" t="n">
        <v>0.37</v>
      </c>
      <c r="I14" s="311">
        <f>G14/(1-H14)*(1+$C$9)</f>
        <v/>
      </c>
      <c r="J14" s="378">
        <f>I14*VLOOKUP($B$9,'Base Costs'!$A$32:$B$37,2,FALSE)</f>
        <v/>
      </c>
      <c r="K14" s="379">
        <f>I14-G14</f>
        <v/>
      </c>
    </row>
    <row r="15" ht="16" customHeight="1" s="1085">
      <c r="B15" s="269" t="inlineStr">
        <is>
          <t>RH &amp; T SENSOR</t>
        </is>
      </c>
      <c r="C15" s="295" t="n"/>
      <c r="D15" s="310" t="n"/>
      <c r="E15" s="290" t="n"/>
      <c r="F15" s="380">
        <f>'Base Costs'!AM31</f>
        <v/>
      </c>
      <c r="G15" s="378">
        <f>C15*F15</f>
        <v/>
      </c>
      <c r="H15" s="381" t="n">
        <v>0.37</v>
      </c>
      <c r="I15" s="311">
        <f>G15/(1-H15)*(1+$C$9)</f>
        <v/>
      </c>
      <c r="J15" s="378">
        <f>I15*VLOOKUP($B$9,'Base Costs'!$A$32:$B$37,2,FALSE)</f>
        <v/>
      </c>
      <c r="K15" s="379">
        <f>I15-G15</f>
        <v/>
      </c>
    </row>
    <row r="16" ht="16" customHeight="1" s="1085">
      <c r="B16" s="269" t="n"/>
      <c r="C16" s="295" t="n"/>
      <c r="D16" s="310" t="n"/>
      <c r="E16" s="290" t="n"/>
      <c r="F16" s="380">
        <f>'Base Costs'!AM32</f>
        <v/>
      </c>
      <c r="G16" s="378">
        <f>C16*F16</f>
        <v/>
      </c>
      <c r="H16" s="381" t="n">
        <v>0.37</v>
      </c>
      <c r="I16" s="311">
        <f>G16/(1-H16)*(1+$C$9)</f>
        <v/>
      </c>
      <c r="J16" s="378">
        <f>I16*VLOOKUP($B$9,'Base Costs'!$A$32:$B$37,2,FALSE)</f>
        <v/>
      </c>
      <c r="K16" s="379">
        <f>I16-G16</f>
        <v/>
      </c>
    </row>
    <row r="17" ht="16" customHeight="1" s="1085">
      <c r="B17" s="269" t="n"/>
      <c r="C17" s="295" t="n"/>
      <c r="D17" s="310" t="n"/>
      <c r="E17" s="290" t="n"/>
      <c r="F17" s="380">
        <f>'Base Costs'!AM33</f>
        <v/>
      </c>
      <c r="G17" s="378">
        <f>C17*F17</f>
        <v/>
      </c>
      <c r="H17" s="381" t="n">
        <v>0.37</v>
      </c>
      <c r="I17" s="311">
        <f>G17/(1-H17)*(1+$C$9)</f>
        <v/>
      </c>
      <c r="J17" s="378">
        <f>I17*VLOOKUP($B$9,'Base Costs'!$A$32:$B$37,2,FALSE)</f>
        <v/>
      </c>
      <c r="K17" s="379">
        <f>I17-G17</f>
        <v/>
      </c>
    </row>
    <row r="18" ht="16" customHeight="1" s="1085">
      <c r="B18" s="269" t="inlineStr">
        <is>
          <t>EDGE CONNECTIVITY</t>
        </is>
      </c>
      <c r="C18" s="295" t="n"/>
      <c r="D18" s="923" t="inlineStr">
        <is>
          <t>NOT INCLUDED IN THE ABOVE</t>
        </is>
      </c>
      <c r="E18" s="290" t="n"/>
      <c r="F18" s="380" t="n">
        <v>340</v>
      </c>
      <c r="G18" s="378">
        <f>C18*F18</f>
        <v/>
      </c>
      <c r="H18" s="381" t="n">
        <v>0.37</v>
      </c>
      <c r="I18" s="311">
        <f>G18/(1-H18)*(1+$C$9)</f>
        <v/>
      </c>
      <c r="J18" s="378">
        <f>I18*VLOOKUP($B$9,'Base Costs'!$A$32:$B$37,2,FALSE)</f>
        <v/>
      </c>
      <c r="K18" s="379">
        <f>I18-G18</f>
        <v/>
      </c>
    </row>
    <row r="19" ht="16" customHeight="1" s="1085">
      <c r="B19" s="269" t="n"/>
      <c r="C19" s="295" t="n"/>
      <c r="D19" s="310" t="n"/>
      <c r="E19" s="290" t="n"/>
      <c r="F19" s="380">
        <f>'Base Costs'!AM35</f>
        <v/>
      </c>
      <c r="G19" s="378">
        <f>C19*F19</f>
        <v/>
      </c>
      <c r="H19" s="381" t="n">
        <v>0.37</v>
      </c>
      <c r="I19" s="311">
        <f>G19/(1-H19)*(1+$C$9)</f>
        <v/>
      </c>
      <c r="J19" s="378">
        <f>I19*VLOOKUP($B$9,'Base Costs'!$A$32:$B$37,2,FALSE)</f>
        <v/>
      </c>
      <c r="K19" s="379">
        <f>I19-G19</f>
        <v/>
      </c>
    </row>
    <row r="20" ht="16" customHeight="1" s="1085">
      <c r="B20" s="978" t="inlineStr">
        <is>
          <t>BIM/REVIT PER SYSTEM</t>
        </is>
      </c>
      <c r="C20" s="1009" t="n">
        <v>1</v>
      </c>
      <c r="D20" s="1010" t="n"/>
      <c r="E20" s="1011" t="n"/>
      <c r="F20" s="995" t="n">
        <v>50</v>
      </c>
      <c r="G20" s="996">
        <f>C20*F20</f>
        <v/>
      </c>
      <c r="H20" s="997" t="n">
        <v>0.44</v>
      </c>
      <c r="I20" s="998">
        <f>G20/(1-H20)*(1+$C$9)</f>
        <v/>
      </c>
      <c r="J20" s="996">
        <f>I20*VLOOKUP($B$9,'Base Costs'!$A$32:$B$37,2,FALSE)</f>
        <v/>
      </c>
      <c r="K20" s="999">
        <f>I20-G20</f>
        <v/>
      </c>
      <c r="L20" s="1012" t="inlineStr">
        <is>
          <t>ALWAYS INCLUDE</t>
        </is>
      </c>
    </row>
    <row r="21" ht="16" customHeight="1" s="1085">
      <c r="B21" s="269" t="n"/>
      <c r="C21" s="295" t="n"/>
      <c r="D21" s="310" t="n"/>
      <c r="E21" s="290" t="n"/>
      <c r="F21" s="380" t="n">
        <v>290</v>
      </c>
      <c r="G21" s="378">
        <f>C21*F21</f>
        <v/>
      </c>
      <c r="H21" s="381" t="n">
        <v>0.37</v>
      </c>
      <c r="I21" s="311">
        <f>G21/(1-H21)*(1+$C$9)</f>
        <v/>
      </c>
      <c r="J21" s="378">
        <f>I21*VLOOKUP($B$9,'Base Costs'!$A$32:$B$37,2,FALSE)</f>
        <v/>
      </c>
      <c r="K21" s="379">
        <f>I21-G21</f>
        <v/>
      </c>
    </row>
    <row r="22" ht="16" customHeight="1" s="1085">
      <c r="B22" s="142" t="n"/>
      <c r="C22" s="137" t="n"/>
      <c r="D22" s="142" t="n"/>
      <c r="F22" s="151" t="n"/>
      <c r="G22" s="291" t="n"/>
      <c r="H22" s="65" t="n"/>
      <c r="I22" s="147" t="n"/>
      <c r="J22" s="147" t="n"/>
      <c r="K22" s="148" t="n"/>
    </row>
    <row r="23" ht="16" customHeight="1" s="1085">
      <c r="B23" s="57" t="inlineStr">
        <is>
          <t>CANOPY COMPONENTS</t>
        </is>
      </c>
      <c r="C23" s="86" t="n"/>
      <c r="D23" s="57" t="inlineStr">
        <is>
          <t>EXTRACT PLENUM</t>
        </is>
      </c>
      <c r="E23" s="60" t="n"/>
      <c r="F23" s="292" t="n"/>
      <c r="G23" s="61">
        <f>SUBTOTAL(9,G24:G31)</f>
        <v/>
      </c>
      <c r="H23" s="39">
        <f>IF(G23=0,"-",K23/I23)</f>
        <v/>
      </c>
      <c r="I23" s="61">
        <f>SUBTOTAL(9,I24:I31)</f>
        <v/>
      </c>
      <c r="J23" s="465">
        <f>SUBTOTAL(9,J24:J31)</f>
        <v/>
      </c>
      <c r="K23" s="61">
        <f>SUBTOTAL(9,K24:K31)</f>
        <v/>
      </c>
    </row>
    <row r="24" ht="16" customHeight="1" s="1085">
      <c r="B24" s="584" t="inlineStr">
        <is>
          <t>SUPERVISOR/BALLAST BOX</t>
        </is>
      </c>
      <c r="C24" s="295" t="n"/>
      <c r="D24" s="310" t="inlineStr">
        <is>
          <t>1 PER CANOPY SECTION</t>
        </is>
      </c>
      <c r="E24" s="290" t="n"/>
      <c r="F24" s="380">
        <f>'Base Costs'!AM41</f>
        <v/>
      </c>
      <c r="G24" s="378">
        <f>C24*F24</f>
        <v/>
      </c>
      <c r="H24" s="381" t="n">
        <v>0.37</v>
      </c>
      <c r="I24" s="311">
        <f>G24/(1-H24)*(1+$C$9)</f>
        <v/>
      </c>
      <c r="J24" s="378">
        <f>I24*VLOOKUP($B$9,'Base Costs'!$A$32:$B$37,2,FALSE)</f>
        <v/>
      </c>
      <c r="K24" s="379">
        <f>I24-G24</f>
        <v/>
      </c>
    </row>
    <row r="25" ht="16" customHeight="1" s="1085">
      <c r="B25" s="584" t="inlineStr">
        <is>
          <t>ICM CABLE (3M)</t>
        </is>
      </c>
      <c r="C25" s="295" t="n"/>
      <c r="D25" s="310" t="inlineStr">
        <is>
          <t>1 PER SUPERVISOR</t>
        </is>
      </c>
      <c r="E25" s="290" t="n"/>
      <c r="F25" s="380">
        <f>'Base Costs'!AM42</f>
        <v/>
      </c>
      <c r="G25" s="378">
        <f>C25*F25</f>
        <v/>
      </c>
      <c r="H25" s="381" t="n">
        <v>0.37</v>
      </c>
      <c r="I25" s="311">
        <f>G25/(1-H25)*(1+$C$9)</f>
        <v/>
      </c>
      <c r="J25" s="378">
        <f>I25*VLOOKUP($B$9,'Base Costs'!$A$32:$B$37,2,FALSE)</f>
        <v/>
      </c>
      <c r="K25" s="379">
        <f>I25-G25</f>
        <v/>
      </c>
    </row>
    <row r="26" ht="16" customHeight="1" s="1085">
      <c r="B26" s="269" t="n"/>
      <c r="C26" s="295" t="n"/>
      <c r="D26" s="310" t="n"/>
      <c r="E26" s="290" t="n"/>
      <c r="F26" s="380">
        <f>'Base Costs'!AM43</f>
        <v/>
      </c>
      <c r="G26" s="378">
        <f>C26*F26</f>
        <v/>
      </c>
      <c r="H26" s="381" t="n">
        <v>0.37</v>
      </c>
      <c r="I26" s="311">
        <f>G26/(1-H26)*(1+$C$9)</f>
        <v/>
      </c>
      <c r="J26" s="378">
        <f>I26*VLOOKUP($B$9,'Base Costs'!$A$32:$B$37,2,FALSE)</f>
        <v/>
      </c>
      <c r="K26" s="379">
        <f>I26-G26</f>
        <v/>
      </c>
    </row>
    <row r="27" ht="16" customHeight="1" s="1085">
      <c r="B27" s="584" t="inlineStr">
        <is>
          <t>NTC-4 SENSOR</t>
        </is>
      </c>
      <c r="C27" s="295" t="n"/>
      <c r="D27" s="310" t="inlineStr">
        <is>
          <t>1 PER SECTION</t>
        </is>
      </c>
      <c r="E27" s="290" t="n"/>
      <c r="F27" s="380">
        <f>'Base Costs'!AM44</f>
        <v/>
      </c>
      <c r="G27" s="378">
        <f>C27*F27</f>
        <v/>
      </c>
      <c r="H27" s="381" t="n">
        <v>0.37</v>
      </c>
      <c r="I27" s="311">
        <f>G27/(1-H27)*(1+$C$9)</f>
        <v/>
      </c>
      <c r="J27" s="378">
        <f>I27*VLOOKUP($B$9,'Base Costs'!$A$32:$B$37,2,FALSE)</f>
        <v/>
      </c>
      <c r="K27" s="379">
        <f>I27-G27</f>
        <v/>
      </c>
    </row>
    <row r="28" ht="16" customHeight="1" s="1085">
      <c r="B28" s="584" t="inlineStr">
        <is>
          <t xml:space="preserve">LIR-2 SENSOR </t>
        </is>
      </c>
      <c r="C28" s="295" t="n"/>
      <c r="D28" s="310" t="inlineStr">
        <is>
          <t>1 PER SECTION</t>
        </is>
      </c>
      <c r="E28" s="290" t="n"/>
      <c r="F28" s="380">
        <f>'Base Costs'!AM45</f>
        <v/>
      </c>
      <c r="G28" s="378">
        <f>C28*F28</f>
        <v/>
      </c>
      <c r="H28" s="381" t="n">
        <v>0.37</v>
      </c>
      <c r="I28" s="311">
        <f>G28/(1-H28)*(1+$C$9)</f>
        <v/>
      </c>
      <c r="J28" s="378">
        <f>I28*VLOOKUP($B$9,'Base Costs'!$A$32:$B$37,2,FALSE)</f>
        <v/>
      </c>
      <c r="K28" s="379">
        <f>I28-G28</f>
        <v/>
      </c>
    </row>
    <row r="29" ht="16" customHeight="1" s="1085">
      <c r="B29" s="584" t="inlineStr">
        <is>
          <t>MOTORISED DAMPER</t>
        </is>
      </c>
      <c r="C29" s="295" t="n"/>
      <c r="D29" s="310" t="inlineStr">
        <is>
          <t>600/400 X 300MM  1 PER SPIGOT</t>
        </is>
      </c>
      <c r="E29" s="290" t="n"/>
      <c r="F29" s="380">
        <f>'Base Costs'!AM46</f>
        <v/>
      </c>
      <c r="G29" s="378">
        <f>C29*F29</f>
        <v/>
      </c>
      <c r="H29" s="381" t="n">
        <v>0.37</v>
      </c>
      <c r="I29" s="311">
        <f>G29/(1-H29)*(1+$C$9)</f>
        <v/>
      </c>
      <c r="J29" s="378">
        <f>I29*VLOOKUP($B$9,'Base Costs'!$A$32:$B$37,2,FALSE)</f>
        <v/>
      </c>
      <c r="K29" s="379">
        <f>I29-G29</f>
        <v/>
      </c>
    </row>
    <row r="30" ht="16" customHeight="1" s="1085">
      <c r="B30" s="269" t="n"/>
      <c r="C30" s="295" t="n"/>
      <c r="D30" s="310" t="inlineStr">
        <is>
          <t xml:space="preserve">250MM DIAMETER </t>
        </is>
      </c>
      <c r="E30" s="290" t="n"/>
      <c r="F30" s="380">
        <f>'Base Costs'!AM47</f>
        <v/>
      </c>
      <c r="G30" s="378">
        <f>C30*F30</f>
        <v/>
      </c>
      <c r="H30" s="381" t="n">
        <v>0.37</v>
      </c>
      <c r="I30" s="311">
        <f>G30/(1-H30)*(1+$C$9)</f>
        <v/>
      </c>
      <c r="J30" s="378">
        <f>I30*VLOOKUP($B$9,'Base Costs'!$A$32:$B$37,2,FALSE)</f>
        <v/>
      </c>
      <c r="K30" s="379">
        <f>I30-G30</f>
        <v/>
      </c>
    </row>
    <row r="31" ht="16" customHeight="1" s="1085">
      <c r="B31" s="269" t="n"/>
      <c r="C31" s="295" t="n"/>
      <c r="D31" s="310" t="inlineStr">
        <is>
          <t>315MM INLET 500X400 OUTLET</t>
        </is>
      </c>
      <c r="E31" s="290" t="n"/>
      <c r="F31" s="380">
        <f>'Base Costs'!AM48</f>
        <v/>
      </c>
      <c r="G31" s="378">
        <f>C31*F31</f>
        <v/>
      </c>
      <c r="H31" s="381" t="n">
        <v>0.37</v>
      </c>
      <c r="I31" s="311">
        <f>G31/(1-H31)*(1+$C$9)</f>
        <v/>
      </c>
      <c r="J31" s="378">
        <f>I31*VLOOKUP($B$9,'Base Costs'!$A$32:$B$37,2,FALSE)</f>
        <v/>
      </c>
      <c r="K31" s="379">
        <f>I31-G31</f>
        <v/>
      </c>
    </row>
    <row r="32" ht="16" customHeight="1" s="1085">
      <c r="B32" s="142" t="n"/>
      <c r="C32" s="137" t="n"/>
      <c r="D32" s="142" t="n"/>
      <c r="F32" s="151" t="n"/>
      <c r="G32" s="291" t="n"/>
      <c r="H32" s="65" t="n"/>
      <c r="I32" s="147" t="n"/>
      <c r="J32" s="147" t="n"/>
      <c r="K32" s="148" t="n"/>
    </row>
    <row r="33" ht="16" customHeight="1" s="1085">
      <c r="B33" s="57" t="inlineStr">
        <is>
          <t>CANOPY COMPONENTS</t>
        </is>
      </c>
      <c r="C33" s="86" t="n"/>
      <c r="D33" s="57" t="inlineStr">
        <is>
          <t>MAKE UP AIR PLENUM ONLY</t>
        </is>
      </c>
      <c r="E33" s="60" t="n"/>
      <c r="F33" s="292" t="n"/>
      <c r="G33" s="61">
        <f>SUBTOTAL(9,G34:G42)</f>
        <v/>
      </c>
      <c r="H33" s="39">
        <f>IF(G33=0,"-",K33/I33)</f>
        <v/>
      </c>
      <c r="I33" s="61">
        <f>SUBTOTAL(9,I34:I42)</f>
        <v/>
      </c>
      <c r="J33" s="465">
        <f>SUBTOTAL(9,J34:J42)</f>
        <v/>
      </c>
      <c r="K33" s="61">
        <f>SUBTOTAL(9,K34:K42)</f>
        <v/>
      </c>
    </row>
    <row r="34" ht="16" customHeight="1" s="1085">
      <c r="B34" s="965" t="inlineStr">
        <is>
          <t>BELIMO CIRC. DAMPER (SPIGOT)</t>
        </is>
      </c>
      <c r="C34" s="295" t="n"/>
      <c r="D34" s="310" t="inlineStr">
        <is>
          <t xml:space="preserve">250MM DIAMETER </t>
        </is>
      </c>
      <c r="E34" s="290" t="n"/>
      <c r="F34" s="380" t="n">
        <v>281.44</v>
      </c>
      <c r="G34" s="378">
        <f>C34*F34</f>
        <v/>
      </c>
      <c r="H34" s="381" t="n">
        <v>0.37</v>
      </c>
      <c r="I34" s="311">
        <f>G34/(1-H34)*(1+$C$9)</f>
        <v/>
      </c>
      <c r="J34" s="378">
        <f>I34*VLOOKUP($B$9,'Base Costs'!$A$32:$B$37,2,FALSE)</f>
        <v/>
      </c>
      <c r="K34" s="379">
        <f>I34-G34</f>
        <v/>
      </c>
    </row>
    <row r="35" ht="16" customHeight="1" s="1085">
      <c r="B35" s="584" t="n"/>
      <c r="C35" s="295" t="n"/>
      <c r="D35" s="310" t="n"/>
      <c r="E35" s="290" t="n"/>
      <c r="F35" s="380">
        <f>'Base Costs'!AM53</f>
        <v/>
      </c>
      <c r="G35" s="378">
        <f>C35*F35</f>
        <v/>
      </c>
      <c r="H35" s="381" t="n">
        <v>0.37</v>
      </c>
      <c r="I35" s="311">
        <f>G35/(1-H35)*(1+$C$9)</f>
        <v/>
      </c>
      <c r="J35" s="378">
        <f>I35*VLOOKUP($B$9,'Base Costs'!$A$32:$B$37,2,FALSE)</f>
        <v/>
      </c>
      <c r="K35" s="379">
        <f>I35-G35</f>
        <v/>
      </c>
    </row>
    <row r="36" ht="16" customHeight="1" s="1085">
      <c r="B36" s="584" t="n"/>
      <c r="C36" s="295" t="n"/>
      <c r="D36" s="310" t="n"/>
      <c r="E36" s="290" t="n"/>
      <c r="F36" s="380" t="n">
        <v>314.75</v>
      </c>
      <c r="G36" s="378">
        <f>C36*F36</f>
        <v/>
      </c>
      <c r="H36" s="381" t="n">
        <v>0.37</v>
      </c>
      <c r="I36" s="311">
        <f>G36/(1-H36)*(1+$C$9)</f>
        <v/>
      </c>
      <c r="J36" s="378">
        <f>I36*VLOOKUP($B$9,'Base Costs'!$A$32:$B$37,2,FALSE)</f>
        <v/>
      </c>
      <c r="K36" s="379">
        <f>I36-G36</f>
        <v/>
      </c>
    </row>
    <row r="37" ht="16" customHeight="1" s="1085">
      <c r="B37" s="964" t="inlineStr">
        <is>
          <t>HFA CIRC. DAMPER (DUCTWORK)</t>
        </is>
      </c>
      <c r="C37" s="295" t="n"/>
      <c r="D37" s="310" t="n"/>
      <c r="E37" s="290" t="n"/>
      <c r="F37" s="380">
        <f>'Base Costs'!AM55</f>
        <v/>
      </c>
      <c r="G37" s="378">
        <f>C37*F37</f>
        <v/>
      </c>
      <c r="H37" s="381" t="n">
        <v>0.37</v>
      </c>
      <c r="I37" s="311">
        <f>G37/(1-H37)*(1+$C$9)</f>
        <v/>
      </c>
      <c r="J37" s="378">
        <f>I37*VLOOKUP($B$9,'Base Costs'!$A$32:$B$37,2,FALSE)</f>
        <v/>
      </c>
      <c r="K37" s="379">
        <f>I37-G37</f>
        <v/>
      </c>
    </row>
    <row r="38" ht="16" customHeight="1" s="1085">
      <c r="B38" s="269" t="n"/>
      <c r="C38" s="295" t="n"/>
      <c r="D38" s="310" t="n"/>
      <c r="E38" s="290" t="n"/>
      <c r="F38" s="380">
        <f>'Base Costs'!AM56</f>
        <v/>
      </c>
      <c r="G38" s="378">
        <f>C38*F38</f>
        <v/>
      </c>
      <c r="H38" s="381" t="n">
        <v>0.37</v>
      </c>
      <c r="I38" s="311">
        <f>G38/(1-H38)*(1+$C$9)</f>
        <v/>
      </c>
      <c r="J38" s="378">
        <f>I38*VLOOKUP($B$9,'Base Costs'!$A$32:$B$37,2,FALSE)</f>
        <v/>
      </c>
      <c r="K38" s="379">
        <f>I38-G38</f>
        <v/>
      </c>
    </row>
    <row r="39" ht="16" customHeight="1" s="1085">
      <c r="B39" s="269" t="n"/>
      <c r="C39" s="295" t="n"/>
      <c r="D39" s="310" t="n"/>
      <c r="E39" s="290" t="n"/>
      <c r="F39" s="380" t="n">
        <v>0</v>
      </c>
      <c r="G39" s="378">
        <f>C39*F39</f>
        <v/>
      </c>
      <c r="H39" s="381" t="n">
        <v>0.37</v>
      </c>
      <c r="I39" s="311">
        <f>G39/(1-H39)*(1+$C$9)</f>
        <v/>
      </c>
      <c r="J39" s="378">
        <f>I39*VLOOKUP($B$9,'Base Costs'!$A$32:$B$37,2,FALSE)</f>
        <v/>
      </c>
      <c r="K39" s="379">
        <f>I39-G39</f>
        <v/>
      </c>
    </row>
    <row r="40" ht="16" customHeight="1" s="1085">
      <c r="B40" s="269" t="inlineStr">
        <is>
          <t>GAS INTERLOCK</t>
        </is>
      </c>
      <c r="C40" s="295" t="n"/>
      <c r="D40" s="310" t="n"/>
      <c r="E40" s="290" t="n"/>
      <c r="F40" s="380" t="n">
        <v>550</v>
      </c>
      <c r="G40" s="378">
        <f>C40*F40</f>
        <v/>
      </c>
      <c r="H40" s="381" t="n">
        <v>0.37</v>
      </c>
      <c r="I40" s="311">
        <f>G40/(1-H40)*(1+$C$9)</f>
        <v/>
      </c>
      <c r="J40" s="378">
        <f>I40*VLOOKUP($B$9,'Base Costs'!$A$32:$B$37,2,FALSE)</f>
        <v/>
      </c>
      <c r="K40" s="379">
        <f>I40-G40</f>
        <v/>
      </c>
    </row>
    <row r="41" ht="16" customHeight="1" s="1085">
      <c r="B41" s="269" t="inlineStr">
        <is>
          <t>CO SENSOR</t>
        </is>
      </c>
      <c r="C41" s="295" t="n"/>
      <c r="D41" s="310" t="n"/>
      <c r="E41" s="290" t="n"/>
      <c r="F41" s="380" t="n">
        <v>75</v>
      </c>
      <c r="G41" s="378">
        <f>C41*F41</f>
        <v/>
      </c>
      <c r="H41" s="381" t="n">
        <v>0.37</v>
      </c>
      <c r="I41" s="311">
        <f>G41/(1-H41)*(1+$C$9)</f>
        <v/>
      </c>
      <c r="J41" s="378">
        <f>I41*VLOOKUP($B$9,'Base Costs'!$A$32:$B$37,2,FALSE)</f>
        <v/>
      </c>
      <c r="K41" s="379">
        <f>I41-G41</f>
        <v/>
      </c>
    </row>
    <row r="42" ht="16" customHeight="1" s="1085">
      <c r="B42" s="922" t="inlineStr">
        <is>
          <t>CO2 SENSOR (DCKV)</t>
        </is>
      </c>
      <c r="C42" s="295" t="n"/>
      <c r="D42" s="310" t="n"/>
      <c r="E42" s="290" t="n"/>
      <c r="F42" s="380" t="n">
        <v>150</v>
      </c>
      <c r="G42" s="378">
        <f>C42*F42</f>
        <v/>
      </c>
      <c r="H42" s="381" t="n">
        <v>0.37</v>
      </c>
      <c r="I42" s="311">
        <f>G42/(1-H42)*(1+$C$9)</f>
        <v/>
      </c>
      <c r="J42" s="378">
        <f>I42*VLOOKUP($B$9,'Base Costs'!$A$32:$B$37,2,FALSE)</f>
        <v/>
      </c>
      <c r="K42" s="379">
        <f>I42-G42</f>
        <v/>
      </c>
    </row>
    <row r="43">
      <c r="B43" s="1150" t="n"/>
      <c r="F43" s="293" t="n"/>
      <c r="G43" s="291" t="n"/>
      <c r="H43" s="65" t="n"/>
      <c r="I43" s="147" t="n"/>
      <c r="J43" s="147" t="n"/>
      <c r="K43" s="148" t="n"/>
    </row>
    <row r="44" ht="16" customHeight="1" s="1085">
      <c r="B44" s="57" t="inlineStr">
        <is>
          <t>MOTORISED DAMPERS</t>
        </is>
      </c>
      <c r="C44" s="86" t="n"/>
      <c r="D44" s="149" t="inlineStr">
        <is>
          <t>EXTRACT DUCT ONLY</t>
        </is>
      </c>
      <c r="E44" s="60" t="n"/>
      <c r="F44" s="292" t="n"/>
      <c r="G44" s="61">
        <f>SUBTOTAL(9,G45:G51)</f>
        <v/>
      </c>
      <c r="H44" s="39">
        <f>IF(G44=0,"-",K44/I44)</f>
        <v/>
      </c>
      <c r="I44" s="61">
        <f>SUBTOTAL(9,I45:I51)</f>
        <v/>
      </c>
      <c r="J44" s="465">
        <f>SUBTOTAL(9,J45:J51)</f>
        <v/>
      </c>
      <c r="K44" s="61">
        <f>SUBTOTAL(9,K45:K51)</f>
        <v/>
      </c>
    </row>
    <row r="45" ht="16" customHeight="1" s="1085">
      <c r="B45" s="269" t="inlineStr">
        <is>
          <t>UKV RECT DAMPER</t>
        </is>
      </c>
      <c r="C45" s="295" t="n"/>
      <c r="D45" s="310" t="inlineStr">
        <is>
          <t>0.440M3/S - 1.600M3/S</t>
        </is>
      </c>
      <c r="E45" s="290" t="n"/>
      <c r="F45" s="380">
        <f>'Base Costs'!AM59</f>
        <v/>
      </c>
      <c r="G45" s="378">
        <f>C45*F45</f>
        <v/>
      </c>
      <c r="H45" s="381" t="n">
        <v>0.37</v>
      </c>
      <c r="I45" s="311">
        <f>G45/(1-H45)*(1+$C$9)</f>
        <v/>
      </c>
      <c r="J45" s="378">
        <f>I45*VLOOKUP($B$9,'Base Costs'!$A$32:$B$37,2,FALSE)</f>
        <v/>
      </c>
      <c r="K45" s="379">
        <f>I45-G45</f>
        <v/>
      </c>
    </row>
    <row r="46" ht="16" customHeight="1" s="1085">
      <c r="B46" s="269" t="inlineStr">
        <is>
          <t>UKV RECT DAMPER</t>
        </is>
      </c>
      <c r="C46" s="295" t="n"/>
      <c r="D46" s="310" t="inlineStr">
        <is>
          <t>0.528M3/S - 1.920M3/S</t>
        </is>
      </c>
      <c r="E46" s="290" t="n"/>
      <c r="F46" s="380">
        <f>'Base Costs'!AM60</f>
        <v/>
      </c>
      <c r="G46" s="378">
        <f>C46*F46</f>
        <v/>
      </c>
      <c r="H46" s="381" t="n">
        <v>0.37</v>
      </c>
      <c r="I46" s="311">
        <f>G46/(1-H46)*(1+$C$9)</f>
        <v/>
      </c>
      <c r="J46" s="378">
        <f>I46*VLOOKUP($B$9,'Base Costs'!$A$32:$B$37,2,FALSE)</f>
        <v/>
      </c>
      <c r="K46" s="379">
        <f>I46-G46</f>
        <v/>
      </c>
    </row>
    <row r="47" ht="16" customHeight="1" s="1085">
      <c r="B47" s="269" t="inlineStr">
        <is>
          <t>UKV RECT DAMPER</t>
        </is>
      </c>
      <c r="C47" s="295" t="n"/>
      <c r="D47" s="310" t="inlineStr">
        <is>
          <t>0.616M3/S - 2.240M3/S</t>
        </is>
      </c>
      <c r="E47" s="290" t="n"/>
      <c r="F47" s="380">
        <f>'Base Costs'!AM61</f>
        <v/>
      </c>
      <c r="G47" s="378">
        <f>C47*F47</f>
        <v/>
      </c>
      <c r="H47" s="381" t="n">
        <v>0.37</v>
      </c>
      <c r="I47" s="311">
        <f>G47/(1-H47)*(1+$C$9)</f>
        <v/>
      </c>
      <c r="J47" s="378">
        <f>I47*VLOOKUP($B$9,'Base Costs'!$A$32:$B$37,2,FALSE)</f>
        <v/>
      </c>
      <c r="K47" s="379">
        <f>I47-G47</f>
        <v/>
      </c>
    </row>
    <row r="48" ht="16" customHeight="1" s="1085">
      <c r="B48" s="269" t="inlineStr">
        <is>
          <t>UKV RECT DAMPER</t>
        </is>
      </c>
      <c r="C48" s="295" t="n"/>
      <c r="D48" s="310" t="inlineStr">
        <is>
          <t>0.880M3/S - 3.200M3/S</t>
        </is>
      </c>
      <c r="E48" s="290" t="n"/>
      <c r="F48" s="380">
        <f>'Base Costs'!AM62</f>
        <v/>
      </c>
      <c r="G48" s="378">
        <f>C48*F48</f>
        <v/>
      </c>
      <c r="H48" s="381" t="n">
        <v>0.37</v>
      </c>
      <c r="I48" s="311">
        <f>G48/(1-H48)*(1+$C$9)</f>
        <v/>
      </c>
      <c r="J48" s="378">
        <f>I48*VLOOKUP($B$9,'Base Costs'!$A$32:$B$37,2,FALSE)</f>
        <v/>
      </c>
      <c r="K48" s="379">
        <f>I48-G48</f>
        <v/>
      </c>
    </row>
    <row r="49" ht="16" customHeight="1" s="1085">
      <c r="B49" s="269" t="inlineStr">
        <is>
          <t>UKV RECT DAMPER</t>
        </is>
      </c>
      <c r="C49" s="295" t="n"/>
      <c r="D49" s="310" t="inlineStr">
        <is>
          <t>1.100M3/S - 4.000M3/S</t>
        </is>
      </c>
      <c r="E49" s="290" t="n"/>
      <c r="F49" s="380">
        <f>'Base Costs'!AM63</f>
        <v/>
      </c>
      <c r="G49" s="378">
        <f>C49*F49</f>
        <v/>
      </c>
      <c r="H49" s="381" t="n">
        <v>0.37</v>
      </c>
      <c r="I49" s="311">
        <f>G49/(1-H49)*(1+$C$9)</f>
        <v/>
      </c>
      <c r="J49" s="378">
        <f>I49*VLOOKUP($B$9,'Base Costs'!$A$32:$B$37,2,FALSE)</f>
        <v/>
      </c>
      <c r="K49" s="379">
        <f>I49-G49</f>
        <v/>
      </c>
    </row>
    <row r="50" ht="16" customHeight="1" s="1085">
      <c r="B50" s="269" t="inlineStr">
        <is>
          <t>UKV RECT DAMPER</t>
        </is>
      </c>
      <c r="C50" s="295" t="n"/>
      <c r="D50" s="310" t="inlineStr">
        <is>
          <t>1.760M3/S - 6.400M3/S</t>
        </is>
      </c>
      <c r="E50" s="290" t="n"/>
      <c r="F50" s="380">
        <f>'Base Costs'!AM64</f>
        <v/>
      </c>
      <c r="G50" s="378">
        <f>C50*F50</f>
        <v/>
      </c>
      <c r="H50" s="381" t="n">
        <v>0.37</v>
      </c>
      <c r="I50" s="311">
        <f>G50/(1-H50)*(1+$C$9)</f>
        <v/>
      </c>
      <c r="J50" s="378">
        <f>I50*VLOOKUP($B$9,'Base Costs'!$A$32:$B$37,2,FALSE)</f>
        <v/>
      </c>
      <c r="K50" s="379">
        <f>I50-G50</f>
        <v/>
      </c>
    </row>
    <row r="51" ht="16" customHeight="1" s="1085">
      <c r="B51" s="269" t="inlineStr">
        <is>
          <t>UKV RECT DAMPER</t>
        </is>
      </c>
      <c r="C51" s="295" t="n"/>
      <c r="D51" s="310" t="inlineStr">
        <is>
          <t>1.760M3/S - 6.400M3/S</t>
        </is>
      </c>
      <c r="E51" s="290" t="n"/>
      <c r="F51" s="380">
        <f>'Base Costs'!AM65</f>
        <v/>
      </c>
      <c r="G51" s="378">
        <f>C51*F51</f>
        <v/>
      </c>
      <c r="H51" s="381" t="n">
        <v>0.37</v>
      </c>
      <c r="I51" s="311">
        <f>G51/(1-H51)*(1+$C$9)</f>
        <v/>
      </c>
      <c r="J51" s="378">
        <f>I51*VLOOKUP($B$9,'Base Costs'!$A$32:$B$37,2,FALSE)</f>
        <v/>
      </c>
      <c r="K51" s="379">
        <f>I51-G51</f>
        <v/>
      </c>
    </row>
    <row r="52">
      <c r="B52" s="142" t="n"/>
      <c r="C52" s="137" t="n"/>
      <c r="D52" s="142" t="n"/>
      <c r="F52" s="294" t="n"/>
      <c r="G52" s="291" t="n"/>
      <c r="H52" s="65" t="n"/>
      <c r="I52" s="147" t="n"/>
      <c r="J52" s="147" t="n"/>
      <c r="K52" s="148" t="n"/>
    </row>
    <row r="53" ht="16" customHeight="1" s="1085">
      <c r="B53" s="149" t="inlineStr">
        <is>
          <t>DELIVERY &amp; INSTALLATION</t>
        </is>
      </c>
      <c r="C53" s="86" t="n"/>
      <c r="D53" s="57" t="n"/>
      <c r="E53" s="60" t="n"/>
      <c r="F53" s="86" t="n"/>
      <c r="G53" s="154">
        <f>SUBTOTAL(9,G54:G60)</f>
        <v/>
      </c>
      <c r="H53" s="313">
        <f>IF(G53=0,"-",K53/I53)</f>
        <v/>
      </c>
      <c r="I53" s="154">
        <f>SUBTOTAL(9,I54:I60)</f>
        <v/>
      </c>
      <c r="J53" s="466">
        <f>SUBTOTAL(9,J54:J60)</f>
        <v/>
      </c>
      <c r="K53" s="154">
        <f>SUBTOTAL(9,K54:K60)</f>
        <v/>
      </c>
    </row>
    <row r="54" ht="16" customHeight="1" s="1085">
      <c r="B54" s="269" t="inlineStr">
        <is>
          <t>DELIVERY</t>
        </is>
      </c>
      <c r="C54" s="295" t="n"/>
      <c r="D54" s="376" t="inlineStr">
        <is>
          <t>SELECT LOCATION…</t>
        </is>
      </c>
      <c r="E54" s="290" t="n"/>
      <c r="F54" s="380">
        <f>VLOOKUP(D54,'Base Costs'!E4:G213,2,FALSE)</f>
        <v/>
      </c>
      <c r="G54" s="378">
        <f>C54*F54</f>
        <v/>
      </c>
      <c r="H54" s="381" t="n">
        <v>0.33</v>
      </c>
      <c r="I54" s="311">
        <f>G54/(1-H54)*(1+$C$9)</f>
        <v/>
      </c>
      <c r="J54" s="378">
        <f>I54*VLOOKUP($B$9,'Base Costs'!$A$32:$B$37,2,FALSE)</f>
        <v/>
      </c>
      <c r="K54" s="379">
        <f>I54-G54</f>
        <v/>
      </c>
    </row>
    <row r="55" ht="16" customHeight="1" s="1085">
      <c r="B55" s="269" t="inlineStr">
        <is>
          <t>PROGRAMMING</t>
        </is>
      </c>
      <c r="C55" s="295" t="n"/>
      <c r="D55" s="310" t="inlineStr">
        <is>
          <t>1 DAY PER CALCULATOR</t>
        </is>
      </c>
      <c r="E55" s="290" t="n"/>
      <c r="F55" s="380">
        <f>'Base Costs'!AM69</f>
        <v/>
      </c>
      <c r="G55" s="378">
        <f>C55*F55</f>
        <v/>
      </c>
      <c r="H55" s="381" t="n">
        <v>0.33</v>
      </c>
      <c r="I55" s="311">
        <f>G55/(1-H55)*(1+$C$9)</f>
        <v/>
      </c>
      <c r="J55" s="378">
        <f>I55*VLOOKUP($B$9,'Base Costs'!$A$32:$B$37,2,FALSE)</f>
        <v/>
      </c>
      <c r="K55" s="379">
        <f>I55-G55</f>
        <v/>
      </c>
    </row>
    <row r="56" ht="16" customHeight="1" s="1085">
      <c r="B56" s="269" t="inlineStr">
        <is>
          <t>WORKSHOP INSTALL</t>
        </is>
      </c>
      <c r="C56" s="295" t="n"/>
      <c r="D56" s="310" t="inlineStr">
        <is>
          <t>PER SECTION</t>
        </is>
      </c>
      <c r="E56" s="290" t="n"/>
      <c r="F56" s="380">
        <f>'Base Costs'!AM70</f>
        <v/>
      </c>
      <c r="G56" s="378">
        <f>C56*F56</f>
        <v/>
      </c>
      <c r="H56" s="381" t="n">
        <v>0.33</v>
      </c>
      <c r="I56" s="311">
        <f>G56/(1-H56)*(1+$C$9)</f>
        <v/>
      </c>
      <c r="J56" s="378">
        <f>I56*VLOOKUP($B$9,'Base Costs'!$A$32:$B$37,2,FALSE)</f>
        <v/>
      </c>
      <c r="K56" s="379">
        <f>I56-G56</f>
        <v/>
      </c>
    </row>
    <row r="57" ht="16" customHeight="1" s="1085">
      <c r="B57" s="269" t="inlineStr">
        <is>
          <t>SITE INSTALLATION</t>
        </is>
      </c>
      <c r="C57" s="295" t="n"/>
      <c r="D57" s="310" t="inlineStr">
        <is>
          <t>4 SECTIONS PER DAY</t>
        </is>
      </c>
      <c r="E57" s="290" t="n"/>
      <c r="F57" s="380" t="n">
        <v>610</v>
      </c>
      <c r="G57" s="378">
        <f>C57*F57</f>
        <v/>
      </c>
      <c r="H57" s="381" t="n">
        <v>0.4</v>
      </c>
      <c r="I57" s="311">
        <f>G57/(1-H57)*(1+$C$9)</f>
        <v/>
      </c>
      <c r="J57" s="378">
        <f>I57*VLOOKUP($B$9,'Base Costs'!$A$32:$B$37,2,FALSE)</f>
        <v/>
      </c>
      <c r="K57" s="379">
        <f>I57-G57</f>
        <v/>
      </c>
    </row>
    <row r="58" ht="16" customHeight="1" s="1085">
      <c r="B58" s="269" t="inlineStr">
        <is>
          <t xml:space="preserve">CONSUMABLES </t>
        </is>
      </c>
      <c r="C58" s="295" t="n"/>
      <c r="D58" s="310" t="inlineStr">
        <is>
          <t>PER SYSTEM</t>
        </is>
      </c>
      <c r="E58" s="290" t="n"/>
      <c r="F58" s="380">
        <f>'Base Costs'!AM72</f>
        <v/>
      </c>
      <c r="G58" s="378">
        <f>C58*F58</f>
        <v/>
      </c>
      <c r="H58" s="381" t="n">
        <v>0.33</v>
      </c>
      <c r="I58" s="311">
        <f>G58/(1-H58)*(1+$C$9)</f>
        <v/>
      </c>
      <c r="J58" s="378">
        <f>I58*VLOOKUP($B$9,'Base Costs'!$A$32:$B$37,2,FALSE)</f>
        <v/>
      </c>
      <c r="K58" s="379">
        <f>I58-G58</f>
        <v/>
      </c>
    </row>
    <row r="59" ht="16" customHeight="1" s="1085">
      <c r="B59" s="964" t="inlineStr">
        <is>
          <t>MRV SITE WIRING (Pre Commission)</t>
        </is>
      </c>
      <c r="C59" s="295" t="n">
        <v>1</v>
      </c>
      <c r="D59" s="310" t="inlineStr">
        <is>
          <t>4 SECTIONS PER DAY</t>
        </is>
      </c>
      <c r="E59" s="290" t="n"/>
      <c r="F59" s="380" t="n">
        <v>604</v>
      </c>
      <c r="G59" s="378">
        <f>C59*F59</f>
        <v/>
      </c>
      <c r="H59" s="381" t="n">
        <v>0.33</v>
      </c>
      <c r="I59" s="311">
        <f>G59/(1-H59)*(1+$C$9)</f>
        <v/>
      </c>
      <c r="J59" s="378">
        <f>I59*VLOOKUP($B$9,'Base Costs'!$A$32:$B$37,2,FALSE)</f>
        <v/>
      </c>
      <c r="K59" s="379">
        <f>I59-G59</f>
        <v/>
      </c>
    </row>
    <row r="60" ht="16" customHeight="1" s="1085">
      <c r="B60" s="269" t="inlineStr">
        <is>
          <t>MRV COMMISSIONING</t>
        </is>
      </c>
      <c r="C60" s="295" t="n">
        <v>1</v>
      </c>
      <c r="D60" s="310" t="inlineStr">
        <is>
          <t>1 DAY PER SYSTEM</t>
        </is>
      </c>
      <c r="E60" s="290" t="n"/>
      <c r="F60" s="380" t="n">
        <v>604</v>
      </c>
      <c r="G60" s="378">
        <f>C60*F60</f>
        <v/>
      </c>
      <c r="H60" s="381" t="n">
        <v>0.33</v>
      </c>
      <c r="I60" s="311">
        <f>G60/(1-H60)*(1+$C$9)</f>
        <v/>
      </c>
      <c r="J60" s="378">
        <f>I60*VLOOKUP($B$9,'Base Costs'!$A$32:$B$37,2,FALSE)</f>
        <v/>
      </c>
      <c r="K60" s="379">
        <f>I60-G60</f>
        <v/>
      </c>
    </row>
    <row r="61">
      <c r="B61" s="137" t="n"/>
      <c r="C61" s="137" t="n"/>
      <c r="D61" s="142" t="n"/>
      <c r="F61" s="146" t="n"/>
      <c r="G61" s="146" t="n"/>
      <c r="H61" s="150" t="n"/>
      <c r="I61" s="146" t="n"/>
      <c r="J61" s="146" t="n"/>
    </row>
    <row r="62">
      <c r="B62" s="197" t="inlineStr">
        <is>
          <t>Office Use Only</t>
        </is>
      </c>
      <c r="C62" s="198" t="n"/>
      <c r="D62" s="199" t="n"/>
      <c r="E62" s="199" t="n"/>
      <c r="F62" s="198" t="n"/>
      <c r="G62" s="200" t="n"/>
      <c r="H62" s="198" t="n"/>
      <c r="I62" s="198" t="n"/>
      <c r="J62" s="198" t="n"/>
      <c r="K62" s="198" t="n"/>
    </row>
    <row r="63">
      <c r="B63" s="202" t="n"/>
      <c r="C63" s="203" t="n"/>
      <c r="D63" s="202" t="n"/>
      <c r="E63" s="204" t="n"/>
      <c r="F63" s="202" t="n"/>
      <c r="G63" s="209" t="n"/>
      <c r="H63" s="203" t="n"/>
      <c r="I63" s="203" t="n"/>
      <c r="J63" s="203" t="n"/>
      <c r="K63" s="205" t="n"/>
    </row>
    <row r="64">
      <c r="B64" s="202" t="n"/>
      <c r="C64" s="203" t="n"/>
      <c r="D64" s="202" t="n"/>
      <c r="E64" s="204" t="n"/>
      <c r="F64" s="202" t="n"/>
      <c r="G64" s="209" t="n"/>
      <c r="H64" s="203" t="n"/>
      <c r="I64" s="203" t="n"/>
      <c r="J64" s="203" t="n"/>
      <c r="K64" s="205" t="n"/>
    </row>
    <row r="65">
      <c r="B65" s="202" t="n"/>
      <c r="C65" s="203" t="n"/>
      <c r="D65" s="202" t="n"/>
      <c r="E65" s="204" t="n"/>
      <c r="F65" s="202" t="n"/>
      <c r="G65" s="209" t="n"/>
      <c r="H65" s="203" t="n"/>
      <c r="I65" s="203" t="n"/>
      <c r="J65" s="203" t="n"/>
      <c r="K65" s="209" t="n"/>
    </row>
    <row r="66">
      <c r="B66" s="202" t="n"/>
      <c r="C66" s="203" t="n"/>
      <c r="D66" s="202" t="n"/>
      <c r="E66" s="204" t="n"/>
      <c r="F66" s="202" t="n"/>
      <c r="G66" s="209" t="n"/>
      <c r="H66" s="206" t="n"/>
      <c r="I66" s="203" t="n"/>
      <c r="J66" s="203" t="n"/>
      <c r="K66" s="209" t="n"/>
    </row>
    <row r="67">
      <c r="B67" s="202" t="n"/>
      <c r="C67" s="203" t="n"/>
      <c r="D67" s="202" t="n"/>
      <c r="E67" s="202" t="n"/>
      <c r="F67" s="202" t="n"/>
      <c r="G67" s="207" t="n"/>
      <c r="H67" s="209" t="n"/>
      <c r="I67" s="203" t="n"/>
      <c r="J67" s="203" t="n"/>
      <c r="K67" s="205" t="n"/>
      <c r="L67" s="126" t="n"/>
      <c r="M67" s="126" t="n"/>
    </row>
    <row r="68">
      <c r="B68" s="202" t="n"/>
      <c r="C68" s="202" t="n"/>
      <c r="D68" s="202" t="n"/>
      <c r="E68" s="202" t="n"/>
      <c r="F68" s="202" t="n"/>
      <c r="G68" s="207" t="n"/>
      <c r="H68" s="209" t="n"/>
      <c r="I68" s="203" t="n"/>
      <c r="J68" s="203" t="n"/>
      <c r="K68" s="205" t="n"/>
      <c r="L68" s="126" t="n"/>
      <c r="M68" s="126" t="n"/>
    </row>
    <row r="69">
      <c r="D69" s="140" t="n"/>
      <c r="F69" s="126" t="n"/>
      <c r="G69" s="126" t="n"/>
      <c r="I69" s="126" t="n"/>
      <c r="J69" s="126" t="n"/>
      <c r="K69" s="126" t="n"/>
      <c r="L69" s="126" t="n"/>
      <c r="M69" s="126" t="n"/>
    </row>
    <row r="70">
      <c r="D70" s="140" t="n"/>
      <c r="F70" s="126" t="n"/>
      <c r="G70" s="126" t="n"/>
      <c r="I70" s="126" t="n"/>
      <c r="J70" s="126" t="n"/>
      <c r="K70" s="126" t="n"/>
      <c r="L70" s="126" t="n"/>
      <c r="M70" s="126" t="n"/>
    </row>
    <row r="71">
      <c r="D71" s="140" t="n"/>
      <c r="F71" s="126" t="n"/>
      <c r="G71" s="126" t="n"/>
      <c r="I71" s="126" t="n"/>
      <c r="J71" s="126" t="n"/>
      <c r="K71" s="126" t="n"/>
      <c r="L71" s="126" t="n"/>
      <c r="M71" s="126" t="n"/>
    </row>
    <row r="72">
      <c r="D72" s="140" t="n"/>
      <c r="F72" s="126" t="n"/>
      <c r="G72" s="126" t="n"/>
      <c r="I72" s="126" t="n"/>
      <c r="J72" s="126" t="n"/>
      <c r="K72" s="126" t="n"/>
      <c r="L72" s="126" t="n"/>
      <c r="M72" s="126" t="n"/>
    </row>
    <row r="73">
      <c r="D73" s="140" t="n"/>
      <c r="F73" s="126" t="n"/>
      <c r="G73" s="126" t="n"/>
      <c r="I73" s="126" t="n"/>
      <c r="J73" s="126" t="n"/>
      <c r="K73" s="126" t="n"/>
      <c r="L73" s="126" t="n"/>
      <c r="M73" s="126" t="n"/>
    </row>
    <row r="74">
      <c r="D74" s="140" t="n"/>
      <c r="F74" s="126" t="n"/>
      <c r="G74" s="126" t="n"/>
      <c r="I74" s="126" t="n"/>
      <c r="J74" s="126" t="n"/>
      <c r="K74" s="126" t="n"/>
      <c r="L74" s="126" t="n"/>
      <c r="M74" s="126" t="n"/>
    </row>
    <row r="75">
      <c r="D75" s="140" t="n"/>
      <c r="F75" s="126" t="n"/>
      <c r="G75" s="126" t="n"/>
      <c r="I75" s="126" t="n"/>
      <c r="J75" s="126" t="n"/>
      <c r="K75" s="126" t="n"/>
      <c r="L75" s="126" t="n"/>
      <c r="M75" s="126" t="n"/>
    </row>
    <row r="76">
      <c r="D76" s="140" t="n"/>
      <c r="F76" s="126" t="n"/>
      <c r="G76" s="126" t="n"/>
      <c r="I76" s="126" t="n"/>
      <c r="J76" s="126" t="n"/>
      <c r="K76" s="126" t="n"/>
      <c r="L76" s="126" t="n"/>
      <c r="M76" s="126" t="n"/>
    </row>
    <row r="77">
      <c r="D77" s="140" t="n"/>
      <c r="F77" s="126" t="n"/>
      <c r="G77" s="126" t="n"/>
      <c r="I77" s="126" t="n"/>
      <c r="J77" s="126" t="n"/>
      <c r="K77" s="126" t="n"/>
      <c r="L77" s="126" t="n"/>
      <c r="M77" s="126" t="n"/>
    </row>
    <row r="78">
      <c r="D78" s="140" t="n"/>
      <c r="F78" s="126" t="n"/>
      <c r="G78" s="126" t="n"/>
      <c r="I78" s="126" t="n"/>
      <c r="J78" s="126" t="n"/>
      <c r="K78" s="126" t="n"/>
      <c r="L78" s="126" t="n"/>
      <c r="M78" s="126" t="n"/>
    </row>
    <row r="79">
      <c r="D79" s="140" t="n"/>
      <c r="F79" s="126" t="n"/>
      <c r="G79" s="126" t="n"/>
      <c r="I79" s="126" t="n"/>
      <c r="J79" s="126" t="n"/>
      <c r="K79" s="126" t="n"/>
      <c r="L79" s="126" t="n"/>
      <c r="M79" s="126" t="n"/>
    </row>
    <row r="80">
      <c r="B80" s="152" t="n"/>
      <c r="C80" s="152" t="n"/>
      <c r="D80" s="153" t="n"/>
      <c r="F80" s="126" t="n"/>
      <c r="G80" s="126" t="n"/>
      <c r="I80" s="126" t="n"/>
      <c r="J80" s="126" t="n"/>
      <c r="K80" s="126" t="n"/>
      <c r="L80" s="126" t="n"/>
      <c r="M80" s="126" t="n"/>
    </row>
    <row r="81">
      <c r="B81" s="152" t="n"/>
      <c r="C81" s="152" t="n"/>
      <c r="D81" s="153" t="n"/>
      <c r="F81" s="126" t="n"/>
      <c r="G81" s="126" t="n"/>
      <c r="I81" s="126" t="n"/>
      <c r="J81" s="126" t="n"/>
      <c r="K81" s="126" t="n"/>
      <c r="L81" s="126" t="n"/>
      <c r="M81" s="126" t="n"/>
    </row>
    <row r="82">
      <c r="F82" s="126" t="n"/>
      <c r="G82" s="126" t="n"/>
      <c r="I82" s="126" t="n"/>
      <c r="J82" s="126" t="n"/>
      <c r="K82" s="126" t="n"/>
      <c r="L82" s="126" t="n"/>
      <c r="M82" s="126" t="n"/>
    </row>
    <row r="83">
      <c r="F83" s="126" t="n"/>
      <c r="G83" s="126" t="n"/>
      <c r="I83" s="126" t="n"/>
      <c r="J83" s="126" t="n"/>
      <c r="K83" s="126" t="n"/>
      <c r="L83" s="126" t="n"/>
      <c r="M83" s="126" t="n"/>
    </row>
    <row r="84">
      <c r="F84" s="126" t="n"/>
      <c r="G84" s="126" t="n"/>
      <c r="I84" s="126" t="n"/>
      <c r="J84" s="126" t="n"/>
      <c r="K84" s="126" t="n"/>
      <c r="L84" s="126" t="n"/>
      <c r="M84" s="126" t="n"/>
    </row>
    <row r="85">
      <c r="F85" s="126" t="n"/>
      <c r="G85" s="126" t="n"/>
      <c r="I85" s="126" t="n"/>
      <c r="J85" s="126" t="n"/>
      <c r="K85" s="126" t="n"/>
      <c r="L85" s="126" t="n"/>
      <c r="M85" s="126" t="n"/>
    </row>
    <row r="86">
      <c r="F86" s="126" t="n"/>
      <c r="G86" s="126" t="n"/>
      <c r="I86" s="126" t="n"/>
      <c r="J86" s="126" t="n"/>
      <c r="K86" s="126" t="n"/>
      <c r="L86" s="126" t="n"/>
      <c r="M86" s="126" t="n"/>
    </row>
    <row r="87">
      <c r="F87" s="126" t="n"/>
      <c r="G87" s="126" t="n"/>
      <c r="I87" s="126" t="n"/>
      <c r="J87" s="126" t="n"/>
      <c r="K87" s="126" t="n"/>
      <c r="L87" s="126" t="n"/>
      <c r="M87" s="126" t="n"/>
    </row>
    <row r="88">
      <c r="F88" s="126" t="n"/>
      <c r="G88" s="126" t="n"/>
      <c r="I88" s="126" t="n"/>
      <c r="J88" s="126" t="n"/>
      <c r="K88" s="126" t="n"/>
      <c r="L88" s="126" t="n"/>
      <c r="M88" s="126" t="n"/>
    </row>
    <row r="89">
      <c r="F89" s="126" t="n"/>
      <c r="G89" s="126" t="n"/>
      <c r="I89" s="126" t="n"/>
      <c r="J89" s="126" t="n"/>
      <c r="K89" s="126" t="n"/>
      <c r="L89" s="126" t="n"/>
      <c r="M89" s="126" t="n"/>
    </row>
    <row r="90">
      <c r="F90" s="126" t="n"/>
      <c r="G90" s="126" t="n"/>
      <c r="I90" s="126" t="n"/>
      <c r="J90" s="126" t="n"/>
      <c r="K90" s="126" t="n"/>
      <c r="L90" s="126" t="n"/>
      <c r="M90" s="126" t="n"/>
    </row>
    <row r="91">
      <c r="F91" s="126" t="n"/>
      <c r="G91" s="126" t="n"/>
      <c r="I91" s="126" t="n"/>
      <c r="J91" s="126" t="n"/>
      <c r="K91" s="126" t="n"/>
      <c r="L91" s="126" t="n"/>
      <c r="M91" s="126" t="n"/>
    </row>
    <row r="92">
      <c r="F92" s="126" t="n"/>
      <c r="G92" s="126" t="n"/>
      <c r="I92" s="126" t="n"/>
      <c r="J92" s="126" t="n"/>
      <c r="K92" s="126" t="n"/>
      <c r="L92" s="126" t="n"/>
      <c r="M92" s="126" t="n"/>
    </row>
    <row r="93">
      <c r="F93" s="126" t="n"/>
      <c r="G93" s="126" t="n"/>
      <c r="I93" s="126" t="n"/>
      <c r="J93" s="126" t="n"/>
      <c r="K93" s="126" t="n"/>
      <c r="L93" s="126" t="n"/>
      <c r="M93" s="126" t="n"/>
    </row>
    <row r="94">
      <c r="F94" s="126" t="n"/>
      <c r="G94" s="126" t="n"/>
      <c r="I94" s="126" t="n"/>
      <c r="J94" s="126" t="n"/>
      <c r="K94" s="126" t="n"/>
      <c r="L94" s="126" t="n"/>
      <c r="M94" s="126" t="n"/>
    </row>
    <row r="95">
      <c r="F95" s="126" t="n"/>
      <c r="G95" s="126" t="n"/>
      <c r="I95" s="126" t="n"/>
      <c r="J95" s="126" t="n"/>
      <c r="K95" s="126" t="n"/>
      <c r="L95" s="126" t="n"/>
      <c r="M95" s="126" t="n"/>
    </row>
    <row r="96">
      <c r="F96" s="126" t="n"/>
      <c r="G96" s="126" t="n"/>
      <c r="I96" s="126" t="n"/>
      <c r="J96" s="126" t="n"/>
      <c r="K96" s="126" t="n"/>
      <c r="L96" s="126" t="n"/>
      <c r="M96" s="126" t="n"/>
    </row>
    <row r="97">
      <c r="F97" s="126" t="n"/>
      <c r="G97" s="126" t="n"/>
      <c r="I97" s="126" t="n"/>
      <c r="J97" s="126" t="n"/>
      <c r="K97" s="126" t="n"/>
      <c r="L97" s="126" t="n"/>
      <c r="M97" s="126" t="n"/>
    </row>
    <row r="98">
      <c r="F98" s="126" t="n"/>
      <c r="G98" s="126" t="n"/>
      <c r="I98" s="126" t="n"/>
      <c r="J98" s="126" t="n"/>
      <c r="K98" s="126" t="n"/>
      <c r="L98" s="126" t="n"/>
      <c r="M98" s="126" t="n"/>
    </row>
    <row r="99">
      <c r="F99" s="126" t="n"/>
      <c r="G99" s="126" t="n"/>
      <c r="I99" s="126" t="n"/>
      <c r="J99" s="126" t="n"/>
      <c r="K99" s="126" t="n"/>
      <c r="L99" s="126" t="n"/>
      <c r="M99" s="126" t="n"/>
    </row>
    <row r="100">
      <c r="F100" s="126" t="n"/>
      <c r="G100" s="126" t="n"/>
      <c r="I100" s="126" t="n"/>
      <c r="J100" s="126" t="n"/>
      <c r="K100" s="126" t="n"/>
      <c r="L100" s="126" t="n"/>
      <c r="M100" s="126" t="n"/>
    </row>
    <row r="101">
      <c r="F101" s="126" t="n"/>
      <c r="G101" s="126" t="n"/>
      <c r="I101" s="126" t="n"/>
      <c r="J101" s="126" t="n"/>
      <c r="K101" s="126" t="n"/>
      <c r="L101" s="126" t="n"/>
      <c r="M101" s="126" t="n"/>
    </row>
    <row r="102">
      <c r="F102" s="126" t="n"/>
      <c r="G102" s="126" t="n"/>
      <c r="I102" s="126" t="n"/>
      <c r="J102" s="126" t="n"/>
      <c r="K102" s="126" t="n"/>
      <c r="L102" s="126" t="n"/>
      <c r="M102" s="126" t="n"/>
    </row>
    <row r="103">
      <c r="F103" s="126" t="n"/>
      <c r="G103" s="126" t="n"/>
      <c r="I103" s="126" t="n"/>
      <c r="J103" s="126" t="n"/>
      <c r="K103" s="126" t="n"/>
      <c r="L103" s="126" t="n"/>
      <c r="M103" s="126" t="n"/>
    </row>
    <row r="104">
      <c r="F104" s="126" t="n"/>
      <c r="G104" s="126" t="n"/>
      <c r="I104" s="126" t="n"/>
      <c r="J104" s="126" t="n"/>
      <c r="K104" s="126" t="n"/>
      <c r="L104" s="126" t="n"/>
      <c r="M104" s="126" t="n"/>
    </row>
    <row r="105">
      <c r="F105" s="126" t="n"/>
      <c r="G105" s="126" t="n"/>
      <c r="I105" s="126" t="n"/>
      <c r="J105" s="126" t="n"/>
      <c r="K105" s="126" t="n"/>
      <c r="L105" s="126" t="n"/>
      <c r="M105" s="126" t="n"/>
    </row>
    <row r="106">
      <c r="F106" s="126" t="n"/>
      <c r="G106" s="126" t="n"/>
      <c r="I106" s="126" t="n"/>
      <c r="J106" s="126" t="n"/>
      <c r="K106" s="126" t="n"/>
      <c r="L106" s="126" t="n"/>
      <c r="M106" s="126" t="n"/>
    </row>
    <row r="107">
      <c r="F107" s="126" t="n"/>
      <c r="G107" s="126" t="n"/>
      <c r="I107" s="126" t="n"/>
      <c r="J107" s="126" t="n"/>
      <c r="K107" s="126" t="n"/>
      <c r="L107" s="126" t="n"/>
      <c r="M107" s="126" t="n"/>
    </row>
    <row r="108">
      <c r="F108" s="126" t="n"/>
      <c r="G108" s="126" t="n"/>
      <c r="I108" s="126" t="n"/>
      <c r="J108" s="126" t="n"/>
      <c r="K108" s="126" t="n"/>
      <c r="L108" s="126" t="n"/>
      <c r="M108" s="126" t="n"/>
    </row>
    <row r="109">
      <c r="F109" s="126" t="n"/>
      <c r="G109" s="126" t="n"/>
      <c r="I109" s="126" t="n"/>
      <c r="J109" s="126" t="n"/>
      <c r="K109" s="126" t="n"/>
      <c r="L109" s="126" t="n"/>
      <c r="M109" s="126" t="n"/>
    </row>
    <row r="110">
      <c r="F110" s="126" t="n"/>
      <c r="G110" s="126" t="n"/>
      <c r="I110" s="126" t="n"/>
      <c r="J110" s="126" t="n"/>
      <c r="K110" s="126" t="n"/>
      <c r="L110" s="126" t="n"/>
      <c r="M110" s="126" t="n"/>
    </row>
    <row r="111">
      <c r="F111" s="126" t="n"/>
      <c r="G111" s="126" t="n"/>
      <c r="I111" s="126" t="n"/>
      <c r="J111" s="126" t="n"/>
      <c r="K111" s="126" t="n"/>
      <c r="L111" s="126" t="n"/>
      <c r="M111" s="126" t="n"/>
    </row>
    <row r="112">
      <c r="F112" s="126" t="n"/>
      <c r="G112" s="126" t="n"/>
      <c r="I112" s="126" t="n"/>
      <c r="J112" s="126" t="n"/>
      <c r="K112" s="126" t="n"/>
      <c r="L112" s="126" t="n"/>
      <c r="M112" s="126" t="n"/>
    </row>
    <row r="113">
      <c r="F113" s="126" t="n"/>
      <c r="G113" s="126" t="n"/>
      <c r="I113" s="126" t="n"/>
      <c r="J113" s="126" t="n"/>
      <c r="K113" s="126" t="n"/>
      <c r="L113" s="126" t="n"/>
      <c r="M113" s="126" t="n"/>
    </row>
    <row r="114">
      <c r="F114" s="126" t="n"/>
      <c r="G114" s="126" t="n"/>
      <c r="I114" s="126" t="n"/>
      <c r="J114" s="126" t="n"/>
      <c r="K114" s="126" t="n"/>
      <c r="L114" s="126" t="n"/>
      <c r="M114" s="126" t="n"/>
    </row>
    <row r="115">
      <c r="F115" s="126" t="n"/>
      <c r="G115" s="126" t="n"/>
      <c r="I115" s="126" t="n"/>
      <c r="J115" s="126" t="n"/>
      <c r="K115" s="126" t="n"/>
      <c r="L115" s="126" t="n"/>
      <c r="M115" s="126" t="n"/>
    </row>
    <row r="116">
      <c r="F116" s="126" t="n"/>
      <c r="G116" s="126" t="n"/>
      <c r="I116" s="126" t="n"/>
      <c r="J116" s="126" t="n"/>
      <c r="K116" s="126" t="n"/>
      <c r="L116" s="126" t="n"/>
      <c r="M116" s="126" t="n"/>
    </row>
    <row r="117">
      <c r="F117" s="126" t="n"/>
      <c r="G117" s="126" t="n"/>
      <c r="I117" s="126" t="n"/>
      <c r="J117" s="126" t="n"/>
      <c r="K117" s="126" t="n"/>
      <c r="L117" s="126" t="n"/>
      <c r="M117" s="126" t="n"/>
    </row>
    <row r="118">
      <c r="F118" s="126" t="n"/>
      <c r="G118" s="126" t="n"/>
      <c r="I118" s="126" t="n"/>
      <c r="J118" s="126" t="n"/>
      <c r="K118" s="126" t="n"/>
      <c r="L118" s="126" t="n"/>
      <c r="M118" s="126" t="n"/>
    </row>
    <row r="119">
      <c r="F119" s="126" t="n"/>
      <c r="G119" s="126" t="n"/>
      <c r="I119" s="126" t="n"/>
      <c r="J119" s="126" t="n"/>
      <c r="K119" s="126" t="n"/>
      <c r="L119" s="126" t="n"/>
      <c r="M119" s="126" t="n"/>
    </row>
    <row r="120">
      <c r="F120" s="126" t="n"/>
      <c r="G120" s="126" t="n"/>
      <c r="I120" s="126" t="n"/>
      <c r="J120" s="126" t="n"/>
      <c r="K120" s="126" t="n"/>
      <c r="L120" s="126" t="n"/>
      <c r="M120" s="126" t="n"/>
    </row>
    <row r="121">
      <c r="F121" s="126" t="n"/>
      <c r="G121" s="126" t="n"/>
      <c r="I121" s="126" t="n"/>
      <c r="J121" s="126" t="n"/>
      <c r="K121" s="126" t="n"/>
      <c r="L121" s="126" t="n"/>
      <c r="M121" s="126" t="n"/>
    </row>
    <row r="122">
      <c r="F122" s="126" t="n"/>
      <c r="G122" s="126" t="n"/>
      <c r="I122" s="126" t="n"/>
      <c r="J122" s="126" t="n"/>
      <c r="K122" s="126" t="n"/>
      <c r="L122" s="126" t="n"/>
      <c r="M122" s="126" t="n"/>
    </row>
    <row r="123">
      <c r="F123" s="126" t="n"/>
      <c r="G123" s="126" t="n"/>
      <c r="I123" s="126" t="n"/>
      <c r="J123" s="126" t="n"/>
      <c r="K123" s="126" t="n"/>
      <c r="L123" s="126" t="n"/>
      <c r="M123" s="126" t="n"/>
    </row>
    <row r="124">
      <c r="F124" s="126" t="n"/>
      <c r="G124" s="126" t="n"/>
      <c r="I124" s="126" t="n"/>
      <c r="J124" s="126" t="n"/>
      <c r="K124" s="126" t="n"/>
      <c r="L124" s="126" t="n"/>
      <c r="M124" s="126" t="n"/>
    </row>
    <row r="125">
      <c r="F125" s="126" t="n"/>
      <c r="G125" s="126" t="n"/>
      <c r="I125" s="126" t="n"/>
      <c r="J125" s="126" t="n"/>
      <c r="K125" s="126" t="n"/>
      <c r="L125" s="126" t="n"/>
      <c r="M125" s="126" t="n"/>
    </row>
    <row r="126">
      <c r="F126" s="126" t="n"/>
      <c r="G126" s="126" t="n"/>
      <c r="I126" s="126" t="n"/>
      <c r="J126" s="126" t="n"/>
      <c r="K126" s="126" t="n"/>
      <c r="L126" s="126" t="n"/>
      <c r="M126" s="126" t="n"/>
    </row>
    <row r="127">
      <c r="F127" s="126" t="n"/>
      <c r="G127" s="126" t="n"/>
      <c r="I127" s="126" t="n"/>
      <c r="J127" s="126" t="n"/>
      <c r="K127" s="126" t="n"/>
      <c r="L127" s="126" t="n"/>
      <c r="M127" s="126" t="n"/>
    </row>
    <row r="128">
      <c r="F128" s="126" t="n"/>
      <c r="G128" s="126" t="n"/>
      <c r="I128" s="126" t="n"/>
      <c r="J128" s="126" t="n"/>
      <c r="K128" s="126" t="n"/>
      <c r="L128" s="126" t="n"/>
      <c r="M128" s="126" t="n"/>
    </row>
    <row r="129">
      <c r="F129" s="126" t="n"/>
      <c r="G129" s="126" t="n"/>
      <c r="I129" s="126" t="n"/>
      <c r="J129" s="126" t="n"/>
      <c r="K129" s="126" t="n"/>
      <c r="L129" s="126" t="n"/>
      <c r="M129" s="126" t="n"/>
    </row>
    <row r="130">
      <c r="F130" s="126" t="n"/>
      <c r="G130" s="126" t="n"/>
      <c r="I130" s="126" t="n"/>
      <c r="J130" s="126" t="n"/>
      <c r="K130" s="126" t="n"/>
      <c r="L130" s="126" t="n"/>
      <c r="M130" s="126" t="n"/>
    </row>
    <row r="131">
      <c r="F131" s="126" t="n"/>
      <c r="G131" s="126" t="n"/>
      <c r="I131" s="126" t="n"/>
      <c r="J131" s="126" t="n"/>
      <c r="K131" s="126" t="n"/>
      <c r="L131" s="126" t="n"/>
      <c r="M131" s="126" t="n"/>
    </row>
    <row r="132">
      <c r="F132" s="126" t="n"/>
      <c r="G132" s="126" t="n"/>
      <c r="I132" s="126" t="n"/>
      <c r="J132" s="126" t="n"/>
      <c r="K132" s="126" t="n"/>
      <c r="L132" s="126" t="n"/>
      <c r="M132" s="126" t="n"/>
    </row>
    <row r="133">
      <c r="F133" s="126" t="n"/>
      <c r="G133" s="126" t="n"/>
      <c r="I133" s="126" t="n"/>
      <c r="J133" s="126" t="n"/>
      <c r="K133" s="126" t="n"/>
      <c r="L133" s="126" t="n"/>
      <c r="M133" s="126" t="n"/>
    </row>
    <row r="134">
      <c r="F134" s="126" t="n"/>
      <c r="G134" s="126" t="n"/>
      <c r="I134" s="126" t="n"/>
      <c r="J134" s="126" t="n"/>
      <c r="K134" s="126" t="n"/>
      <c r="L134" s="126" t="n"/>
      <c r="M134" s="126" t="n"/>
    </row>
    <row r="135">
      <c r="F135" s="126" t="n"/>
      <c r="G135" s="126" t="n"/>
      <c r="I135" s="126" t="n"/>
      <c r="J135" s="126" t="n"/>
      <c r="K135" s="126" t="n"/>
      <c r="L135" s="126" t="n"/>
      <c r="M135" s="126" t="n"/>
    </row>
    <row r="136">
      <c r="F136" s="126" t="n"/>
      <c r="G136" s="126" t="n"/>
      <c r="I136" s="126" t="n"/>
      <c r="J136" s="126" t="n"/>
      <c r="K136" s="126" t="n"/>
      <c r="L136" s="126" t="n"/>
      <c r="M136" s="126" t="n"/>
    </row>
    <row r="137">
      <c r="F137" s="126" t="n"/>
      <c r="G137" s="126" t="n"/>
      <c r="I137" s="126" t="n"/>
      <c r="J137" s="126" t="n"/>
      <c r="K137" s="126" t="n"/>
      <c r="L137" s="126" t="n"/>
      <c r="M137" s="126" t="n"/>
    </row>
    <row r="138">
      <c r="F138" s="126" t="n"/>
      <c r="G138" s="126" t="n"/>
      <c r="I138" s="126" t="n"/>
      <c r="J138" s="126" t="n"/>
      <c r="K138" s="126" t="n"/>
      <c r="L138" s="126" t="n"/>
      <c r="M138" s="126" t="n"/>
    </row>
    <row r="139">
      <c r="F139" s="126" t="n"/>
      <c r="G139" s="126" t="n"/>
      <c r="I139" s="126" t="n"/>
      <c r="J139" s="126" t="n"/>
      <c r="K139" s="126" t="n"/>
      <c r="L139" s="126" t="n"/>
      <c r="M139" s="126" t="n"/>
    </row>
    <row r="140">
      <c r="F140" s="126" t="n"/>
      <c r="G140" s="126" t="n"/>
      <c r="I140" s="126" t="n"/>
      <c r="J140" s="126" t="n"/>
      <c r="K140" s="126" t="n"/>
      <c r="L140" s="126" t="n"/>
      <c r="M140" s="126" t="n"/>
    </row>
    <row r="141">
      <c r="F141" s="126" t="n"/>
      <c r="G141" s="126" t="n"/>
      <c r="I141" s="126" t="n"/>
      <c r="J141" s="126" t="n"/>
      <c r="K141" s="126" t="n"/>
      <c r="L141" s="126" t="n"/>
      <c r="M141" s="126" t="n"/>
    </row>
    <row r="142">
      <c r="F142" s="126" t="n"/>
      <c r="G142" s="126" t="n"/>
      <c r="I142" s="126" t="n"/>
      <c r="J142" s="126" t="n"/>
      <c r="K142" s="126" t="n"/>
      <c r="L142" s="126" t="n"/>
      <c r="M142" s="126" t="n"/>
    </row>
    <row r="143">
      <c r="F143" s="126" t="n"/>
      <c r="G143" s="126" t="n"/>
      <c r="I143" s="126" t="n"/>
      <c r="J143" s="126" t="n"/>
      <c r="K143" s="126" t="n"/>
      <c r="L143" s="126" t="n"/>
      <c r="M143" s="126" t="n"/>
    </row>
    <row r="144">
      <c r="F144" s="126" t="n"/>
      <c r="G144" s="126" t="n"/>
      <c r="I144" s="126" t="n"/>
      <c r="J144" s="126" t="n"/>
      <c r="K144" s="126" t="n"/>
      <c r="L144" s="126" t="n"/>
      <c r="M144" s="126" t="n"/>
    </row>
    <row r="145">
      <c r="F145" s="126" t="n"/>
      <c r="G145" s="126" t="n"/>
      <c r="I145" s="126" t="n"/>
      <c r="J145" s="126" t="n"/>
      <c r="K145" s="126" t="n"/>
      <c r="L145" s="126" t="n"/>
      <c r="M145" s="126" t="n"/>
    </row>
    <row r="146">
      <c r="F146" s="126" t="n"/>
      <c r="G146" s="126" t="n"/>
      <c r="I146" s="126" t="n"/>
      <c r="J146" s="126" t="n"/>
      <c r="K146" s="126" t="n"/>
      <c r="L146" s="126" t="n"/>
      <c r="M146" s="126" t="n"/>
    </row>
    <row r="147">
      <c r="F147" s="126" t="n"/>
      <c r="G147" s="126" t="n"/>
      <c r="I147" s="126" t="n"/>
      <c r="J147" s="126" t="n"/>
      <c r="K147" s="126" t="n"/>
      <c r="L147" s="126" t="n"/>
      <c r="M147" s="126" t="n"/>
    </row>
    <row r="148">
      <c r="F148" s="126" t="n"/>
      <c r="G148" s="126" t="n"/>
      <c r="I148" s="126" t="n"/>
      <c r="J148" s="126" t="n"/>
      <c r="K148" s="126" t="n"/>
      <c r="L148" s="126" t="n"/>
      <c r="M148" s="126" t="n"/>
    </row>
    <row r="149">
      <c r="F149" s="126" t="n"/>
      <c r="G149" s="126" t="n"/>
      <c r="I149" s="126" t="n"/>
      <c r="J149" s="126" t="n"/>
      <c r="K149" s="126" t="n"/>
      <c r="L149" s="126" t="n"/>
      <c r="M149" s="126" t="n"/>
    </row>
    <row r="150">
      <c r="F150" s="126" t="n"/>
      <c r="G150" s="126" t="n"/>
      <c r="I150" s="126" t="n"/>
      <c r="J150" s="126" t="n"/>
      <c r="K150" s="126" t="n"/>
      <c r="L150" s="126" t="n"/>
      <c r="M150" s="126" t="n"/>
    </row>
    <row r="151">
      <c r="F151" s="126" t="n"/>
      <c r="G151" s="126" t="n"/>
      <c r="I151" s="126" t="n"/>
      <c r="J151" s="126" t="n"/>
      <c r="K151" s="126" t="n"/>
      <c r="L151" s="126" t="n"/>
      <c r="M151" s="126" t="n"/>
    </row>
    <row r="152">
      <c r="F152" s="126" t="n"/>
      <c r="G152" s="126" t="n"/>
      <c r="I152" s="126" t="n"/>
      <c r="J152" s="126" t="n"/>
      <c r="K152" s="126" t="n"/>
      <c r="L152" s="126" t="n"/>
      <c r="M152" s="126" t="n"/>
    </row>
    <row r="153">
      <c r="F153" s="126" t="n"/>
      <c r="G153" s="126" t="n"/>
      <c r="I153" s="126" t="n"/>
      <c r="J153" s="126" t="n"/>
      <c r="K153" s="126" t="n"/>
      <c r="L153" s="126" t="n"/>
      <c r="M153" s="126" t="n"/>
    </row>
    <row r="154">
      <c r="F154" s="126" t="n"/>
      <c r="G154" s="126" t="n"/>
      <c r="I154" s="126" t="n"/>
      <c r="J154" s="126" t="n"/>
      <c r="K154" s="126" t="n"/>
      <c r="L154" s="126" t="n"/>
      <c r="M154" s="126" t="n"/>
    </row>
    <row r="155">
      <c r="F155" s="126" t="n"/>
      <c r="G155" s="126" t="n"/>
      <c r="I155" s="126" t="n"/>
      <c r="J155" s="126" t="n"/>
      <c r="K155" s="126" t="n"/>
      <c r="L155" s="126" t="n"/>
      <c r="M155" s="126" t="n"/>
    </row>
    <row r="156">
      <c r="F156" s="126" t="n"/>
      <c r="G156" s="126" t="n"/>
      <c r="I156" s="126" t="n"/>
      <c r="J156" s="126" t="n"/>
      <c r="K156" s="126" t="n"/>
      <c r="L156" s="126" t="n"/>
      <c r="M156" s="126" t="n"/>
    </row>
    <row r="157">
      <c r="F157" s="126" t="n"/>
      <c r="G157" s="126" t="n"/>
      <c r="I157" s="126" t="n"/>
      <c r="J157" s="126" t="n"/>
      <c r="K157" s="126" t="n"/>
      <c r="L157" s="126" t="n"/>
      <c r="M157" s="126" t="n"/>
    </row>
    <row r="158">
      <c r="F158" s="126" t="n"/>
      <c r="G158" s="126" t="n"/>
      <c r="I158" s="126" t="n"/>
      <c r="J158" s="126" t="n"/>
      <c r="K158" s="126" t="n"/>
      <c r="L158" s="126" t="n"/>
      <c r="M158" s="126" t="n"/>
    </row>
    <row r="159">
      <c r="F159" s="126" t="n"/>
      <c r="G159" s="126" t="n"/>
      <c r="I159" s="126" t="n"/>
      <c r="J159" s="126" t="n"/>
      <c r="K159" s="126" t="n"/>
      <c r="L159" s="126" t="n"/>
      <c r="M159" s="126" t="n"/>
    </row>
    <row r="160">
      <c r="F160" s="126" t="n"/>
      <c r="G160" s="126" t="n"/>
      <c r="I160" s="126" t="n"/>
      <c r="J160" s="126" t="n"/>
      <c r="K160" s="126" t="n"/>
      <c r="L160" s="126" t="n"/>
      <c r="M160" s="126" t="n"/>
    </row>
    <row r="161">
      <c r="F161" s="126" t="n"/>
      <c r="G161" s="126" t="n"/>
      <c r="I161" s="126" t="n"/>
      <c r="J161" s="126" t="n"/>
      <c r="K161" s="126" t="n"/>
      <c r="L161" s="126" t="n"/>
      <c r="M161" s="126" t="n"/>
    </row>
    <row r="162">
      <c r="F162" s="126" t="n"/>
      <c r="G162" s="126" t="n"/>
      <c r="I162" s="126" t="n"/>
      <c r="J162" s="126" t="n"/>
      <c r="K162" s="126" t="n"/>
      <c r="L162" s="126" t="n"/>
      <c r="M162" s="126" t="n"/>
    </row>
    <row r="163">
      <c r="F163" s="126" t="n"/>
      <c r="G163" s="126" t="n"/>
      <c r="I163" s="126" t="n"/>
      <c r="J163" s="126" t="n"/>
      <c r="K163" s="126" t="n"/>
      <c r="L163" s="126" t="n"/>
      <c r="M163" s="126" t="n"/>
    </row>
    <row r="164">
      <c r="F164" s="126" t="n"/>
      <c r="G164" s="126" t="n"/>
      <c r="I164" s="126" t="n"/>
      <c r="J164" s="126" t="n"/>
      <c r="K164" s="126" t="n"/>
      <c r="L164" s="126" t="n"/>
      <c r="M164" s="126" t="n"/>
    </row>
    <row r="165">
      <c r="F165" s="126" t="n"/>
      <c r="G165" s="126" t="n"/>
      <c r="I165" s="126" t="n"/>
      <c r="J165" s="126" t="n"/>
      <c r="K165" s="126" t="n"/>
      <c r="L165" s="126" t="n"/>
      <c r="M165" s="126" t="n"/>
    </row>
    <row r="166">
      <c r="F166" s="126" t="n"/>
      <c r="G166" s="126" t="n"/>
      <c r="I166" s="126" t="n"/>
      <c r="J166" s="126" t="n"/>
      <c r="K166" s="126" t="n"/>
      <c r="L166" s="126" t="n"/>
      <c r="M166" s="126" t="n"/>
    </row>
    <row r="167">
      <c r="F167" s="126" t="n"/>
      <c r="G167" s="126" t="n"/>
      <c r="I167" s="126" t="n"/>
      <c r="J167" s="126" t="n"/>
      <c r="K167" s="126" t="n"/>
      <c r="L167" s="126" t="n"/>
      <c r="M167" s="126" t="n"/>
    </row>
    <row r="168">
      <c r="F168" s="126" t="n"/>
      <c r="G168" s="126" t="n"/>
      <c r="I168" s="126" t="n"/>
      <c r="J168" s="126" t="n"/>
      <c r="K168" s="126" t="n"/>
      <c r="L168" s="126" t="n"/>
      <c r="M168" s="126" t="n"/>
    </row>
    <row r="169">
      <c r="F169" s="126" t="n"/>
      <c r="G169" s="126" t="n"/>
      <c r="I169" s="126" t="n"/>
      <c r="J169" s="126" t="n"/>
      <c r="K169" s="126" t="n"/>
      <c r="L169" s="126" t="n"/>
      <c r="M169" s="126" t="n"/>
    </row>
    <row r="170">
      <c r="F170" s="126" t="n"/>
      <c r="G170" s="126" t="n"/>
      <c r="I170" s="126" t="n"/>
      <c r="J170" s="126" t="n"/>
      <c r="K170" s="126" t="n"/>
      <c r="L170" s="126" t="n"/>
      <c r="M170" s="126" t="n"/>
    </row>
    <row r="171">
      <c r="F171" s="126" t="n"/>
      <c r="G171" s="126" t="n"/>
      <c r="I171" s="126" t="n"/>
      <c r="J171" s="126" t="n"/>
      <c r="K171" s="126" t="n"/>
      <c r="L171" s="126" t="n"/>
      <c r="M171" s="126" t="n"/>
    </row>
    <row r="172">
      <c r="F172" s="126" t="n"/>
      <c r="G172" s="126" t="n"/>
      <c r="I172" s="126" t="n"/>
      <c r="J172" s="126" t="n"/>
      <c r="K172" s="126" t="n"/>
      <c r="L172" s="126" t="n"/>
      <c r="M172" s="126" t="n"/>
    </row>
    <row r="173">
      <c r="F173" s="126" t="n"/>
      <c r="G173" s="126" t="n"/>
      <c r="I173" s="126" t="n"/>
      <c r="J173" s="126" t="n"/>
      <c r="K173" s="126" t="n"/>
      <c r="L173" s="126" t="n"/>
      <c r="M173" s="126" t="n"/>
    </row>
    <row r="174">
      <c r="F174" s="126" t="n"/>
      <c r="G174" s="126" t="n"/>
      <c r="I174" s="126" t="n"/>
      <c r="J174" s="126" t="n"/>
      <c r="K174" s="126" t="n"/>
      <c r="L174" s="126" t="n"/>
      <c r="M174" s="126" t="n"/>
    </row>
    <row r="175">
      <c r="F175" s="126" t="n"/>
      <c r="G175" s="126" t="n"/>
      <c r="I175" s="126" t="n"/>
      <c r="J175" s="126" t="n"/>
      <c r="K175" s="126" t="n"/>
      <c r="L175" s="126" t="n"/>
      <c r="M175" s="126" t="n"/>
    </row>
    <row r="176">
      <c r="F176" s="126" t="n"/>
      <c r="G176" s="126" t="n"/>
      <c r="I176" s="126" t="n"/>
      <c r="J176" s="126" t="n"/>
      <c r="K176" s="126" t="n"/>
      <c r="L176" s="126" t="n"/>
      <c r="M176" s="126" t="n"/>
    </row>
    <row r="177">
      <c r="F177" s="126" t="n"/>
      <c r="G177" s="126" t="n"/>
      <c r="I177" s="126" t="n"/>
      <c r="J177" s="126" t="n"/>
      <c r="K177" s="126" t="n"/>
      <c r="L177" s="126" t="n"/>
      <c r="M177" s="126" t="n"/>
    </row>
    <row r="178">
      <c r="F178" s="126" t="n"/>
      <c r="G178" s="126" t="n"/>
      <c r="I178" s="126" t="n"/>
      <c r="J178" s="126" t="n"/>
      <c r="K178" s="126" t="n"/>
      <c r="L178" s="126" t="n"/>
      <c r="M178" s="126" t="n"/>
    </row>
    <row r="179">
      <c r="F179" s="126" t="n"/>
      <c r="G179" s="126" t="n"/>
      <c r="I179" s="126" t="n"/>
      <c r="J179" s="126" t="n"/>
      <c r="K179" s="126" t="n"/>
      <c r="L179" s="126" t="n"/>
      <c r="M179" s="126" t="n"/>
    </row>
    <row r="180">
      <c r="F180" s="126" t="n"/>
      <c r="G180" s="126" t="n"/>
      <c r="I180" s="126" t="n"/>
      <c r="J180" s="126" t="n"/>
      <c r="K180" s="126" t="n"/>
      <c r="L180" s="126" t="n"/>
      <c r="M180" s="126" t="n"/>
    </row>
    <row r="181">
      <c r="K181" s="126" t="n"/>
      <c r="L181" s="126" t="n"/>
      <c r="M181" s="126" t="n"/>
    </row>
  </sheetData>
  <mergeCells count="9">
    <mergeCell ref="B1:C1"/>
    <mergeCell ref="C7:D7"/>
    <mergeCell ref="F5:H5"/>
    <mergeCell ref="C5:D5"/>
    <mergeCell ref="D14:E14"/>
    <mergeCell ref="F7:H7"/>
    <mergeCell ref="F3:H3"/>
    <mergeCell ref="C3:D3"/>
    <mergeCell ref="L7:N7"/>
  </mergeCells>
  <conditionalFormatting sqref="B9">
    <cfRule type="containsText" priority="30" operator="containsText" dxfId="680" text="SELECT">
      <formula>NOT(ISERROR(SEARCH("SELECT",B9)))</formula>
    </cfRule>
    <cfRule type="expression" priority="31" dxfId="680">
      <formula>B9="CURRENCY"</formula>
    </cfRule>
    <cfRule type="expression" priority="23" dxfId="3">
      <formula>$B$9="USD"</formula>
    </cfRule>
  </conditionalFormatting>
  <conditionalFormatting sqref="B13:B21">
    <cfRule type="expression" priority="12" dxfId="633">
      <formula>$C13&gt;0</formula>
    </cfRule>
  </conditionalFormatting>
  <conditionalFormatting sqref="B24:B31">
    <cfRule type="expression" priority="11" dxfId="633">
      <formula>$C24&gt;0</formula>
    </cfRule>
  </conditionalFormatting>
  <conditionalFormatting sqref="B34:B42">
    <cfRule type="expression" priority="10" dxfId="633">
      <formula>$C34&gt;0</formula>
    </cfRule>
  </conditionalFormatting>
  <conditionalFormatting sqref="B45:B51">
    <cfRule type="expression" priority="9" dxfId="633">
      <formula>$C45&gt;0</formula>
    </cfRule>
  </conditionalFormatting>
  <conditionalFormatting sqref="B54:B60">
    <cfRule type="expression" priority="8" dxfId="633">
      <formula>$C54&gt;0</formula>
    </cfRule>
  </conditionalFormatting>
  <conditionalFormatting sqref="C13:C21">
    <cfRule type="cellIs" priority="6" operator="equal" dxfId="561">
      <formula>0</formula>
    </cfRule>
  </conditionalFormatting>
  <conditionalFormatting sqref="C24:C31">
    <cfRule type="cellIs" priority="5" operator="equal" dxfId="561">
      <formula>0</formula>
    </cfRule>
  </conditionalFormatting>
  <conditionalFormatting sqref="C34:C42">
    <cfRule type="cellIs" priority="4" operator="equal" dxfId="561">
      <formula>0</formula>
    </cfRule>
  </conditionalFormatting>
  <conditionalFormatting sqref="C45:C51">
    <cfRule type="cellIs" priority="3" operator="equal" dxfId="561">
      <formula>0</formula>
    </cfRule>
  </conditionalFormatting>
  <conditionalFormatting sqref="C54:C60">
    <cfRule type="cellIs" priority="2" operator="equal" dxfId="561">
      <formula>0</formula>
    </cfRule>
  </conditionalFormatting>
  <conditionalFormatting sqref="C9:D9">
    <cfRule type="cellIs" priority="16" operator="lessThan" dxfId="207">
      <formula>0</formula>
    </cfRule>
    <cfRule type="cellIs" priority="17" operator="greaterThan" dxfId="552">
      <formula>0</formula>
    </cfRule>
  </conditionalFormatting>
  <conditionalFormatting sqref="D14">
    <cfRule type="expression" priority="1" dxfId="633">
      <formula>$C14&gt;0</formula>
    </cfRule>
  </conditionalFormatting>
  <conditionalFormatting sqref="F13:F21 F24:F31 F34:F42 F45:F51 F54:F60">
    <cfRule type="expression" priority="15" dxfId="10537">
      <formula>C13&gt;0</formula>
    </cfRule>
  </conditionalFormatting>
  <conditionalFormatting sqref="G13:G21 G24:G31 G34:G42 G45:G51 G54:G60">
    <cfRule type="cellIs" priority="14" operator="greaterThan" dxfId="141">
      <formula>0</formula>
    </cfRule>
  </conditionalFormatting>
  <conditionalFormatting sqref="H13:H21 H24:H31 H34:H42 H45:H51 H54:H60">
    <cfRule type="expression" priority="232" dxfId="552">
      <formula>$C$9&gt;0</formula>
    </cfRule>
    <cfRule type="expression" priority="233" dxfId="175">
      <formula>$C$9&lt;0</formula>
    </cfRule>
  </conditionalFormatting>
  <conditionalFormatting sqref="J1:J1048576">
    <cfRule type="expression" priority="201" dxfId="4">
      <formula>$B$9="PLN"</formula>
    </cfRule>
    <cfRule type="expression" priority="202" dxfId="0">
      <formula>$B$9="CZK"</formula>
    </cfRule>
    <cfRule type="expression" priority="203" dxfId="3">
      <formula>$B$9="USD"</formula>
    </cfRule>
    <cfRule type="expression" priority="204" dxfId="2">
      <formula>$B$9="EURO"</formula>
    </cfRule>
  </conditionalFormatting>
  <conditionalFormatting sqref="J13:K21 J24:K31 J34:K42 J45:K51 J54:K60">
    <cfRule type="cellIs" priority="13" operator="greaterThan" dxfId="141">
      <formula>0</formula>
    </cfRule>
  </conditionalFormatting>
  <pageMargins left="0.2362204724409449" right="0.1968503937007874" top="0.3543307086614174" bottom="0.2362204724409449" header="0.3149606299212598" footer="0.2362204724409449"/>
  <pageSetup orientation="portrait" paperSize="9" scale="60" cellComments="asDisplayed"/>
  <drawing xmlns:r="http://schemas.openxmlformats.org/officeDocument/2006/relationships" r:id="rId1"/>
  <legacyDrawing xmlns:r="http://schemas.openxmlformats.org/officeDocument/2006/relationships" r:id="anysvml"/>
</worksheet>
</file>

<file path=xl/worksheets/sheet34.xml><?xml version="1.0" encoding="utf-8"?>
<worksheet xmlns="http://schemas.openxmlformats.org/spreadsheetml/2006/main">
  <sheetPr>
    <tabColor theme="8" tint="0.7999816888943144"/>
    <outlinePr summaryBelow="1" summaryRight="1"/>
    <pageSetUpPr fitToPage="1"/>
  </sheetPr>
  <dimension ref="A1:AB161"/>
  <sheetViews>
    <sheetView showGridLines="0" zoomScale="70" zoomScaleNormal="70" zoomScaleSheetLayoutView="50" workbookViewId="0">
      <selection activeCell="Q35" sqref="Q35"/>
    </sheetView>
  </sheetViews>
  <sheetFormatPr baseColWidth="10" defaultColWidth="8.83203125" defaultRowHeight="15" customHeight="1"/>
  <cols>
    <col width="2" customWidth="1" style="215" min="1" max="2"/>
    <col width="39.5" customWidth="1" style="1070" min="3" max="3"/>
    <col width="39.83203125" customWidth="1" style="1070" min="4" max="4"/>
    <col width="27.1640625" customWidth="1" style="1070" min="5" max="5"/>
    <col width="16.83203125" customWidth="1" style="1070" min="6" max="6"/>
    <col width="15.5" customWidth="1" style="1070" min="7" max="7"/>
    <col width="19.6640625" customWidth="1" style="1070" min="8" max="8"/>
    <col width="10" bestFit="1" customWidth="1" style="1072" min="9" max="9"/>
    <col width="14.83203125" bestFit="1" customWidth="1" style="1073" min="10" max="10"/>
    <col width="17.5" customWidth="1" style="228" min="11" max="11"/>
    <col width="10.5" customWidth="1" style="228" min="12" max="12"/>
    <col hidden="1" width="10.6640625" customWidth="1" style="346" min="13" max="13"/>
    <col width="14.5" bestFit="1" customWidth="1" style="1073" min="14" max="14"/>
    <col width="13.6640625" bestFit="1" customWidth="1" style="14" min="15" max="15"/>
    <col width="8.83203125" customWidth="1" style="1070" min="16" max="17"/>
    <col width="18.6640625" customWidth="1" style="1070" min="18" max="18"/>
    <col width="8.83203125" customWidth="1" style="1070" min="19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0"/>
    <col width="8.83203125" customWidth="1" style="1070" min="101" max="16384"/>
  </cols>
  <sheetData>
    <row r="1" ht="15" customHeight="1" s="1085">
      <c r="C1" s="1148" t="inlineStr">
        <is>
          <t>Main Kitchen - First Floor</t>
        </is>
      </c>
      <c r="E1" s="216" t="n"/>
      <c r="F1" s="216" t="n"/>
      <c r="G1" s="216" t="n"/>
      <c r="H1" s="216" t="n"/>
      <c r="I1" s="29" t="n"/>
      <c r="J1" s="336" t="n"/>
      <c r="K1" s="337" t="n"/>
      <c r="L1" s="338" t="n"/>
      <c r="M1" s="339" t="n"/>
      <c r="N1" s="336" t="n"/>
      <c r="O1" s="975" t="inlineStr">
        <is>
          <t>JAN25-19</t>
        </is>
      </c>
      <c r="S1" s="80" t="n"/>
      <c r="T1" s="218" t="n"/>
    </row>
    <row r="2" ht="15" customHeight="1" s="1085">
      <c r="C2" s="79" t="n"/>
      <c r="D2" s="221" t="n"/>
      <c r="E2" s="221" t="n"/>
      <c r="G2" s="79" t="n"/>
      <c r="H2" s="77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C3" s="78" t="inlineStr">
        <is>
          <t>Job No.</t>
        </is>
      </c>
      <c r="D3" s="1130" t="inlineStr">
        <is>
          <t>3232</t>
        </is>
      </c>
      <c r="G3" s="76" t="inlineStr">
        <is>
          <t>Project Name</t>
        </is>
      </c>
      <c r="H3" s="1071" t="inlineStr">
        <is>
          <t>Cardiff Arena</t>
        </is>
      </c>
      <c r="L3" s="342" t="n"/>
      <c r="M3" s="343" t="n"/>
      <c r="N3" s="344" t="n"/>
      <c r="T3" s="225" t="n"/>
    </row>
    <row r="4" ht="15" customHeight="1" s="1085">
      <c r="C4" s="79" t="n"/>
      <c r="D4" s="223" t="n"/>
      <c r="E4" s="223" t="n"/>
      <c r="G4" s="77" t="n"/>
      <c r="H4" s="222" t="n"/>
      <c r="I4" s="227" t="n"/>
      <c r="J4" s="341" t="n"/>
      <c r="L4" s="342" t="n"/>
      <c r="M4" s="343" t="n"/>
      <c r="N4" s="344" t="n"/>
      <c r="T4" s="225" t="n"/>
    </row>
    <row r="5" ht="15" customHeight="1" s="1085">
      <c r="C5" s="78" t="inlineStr">
        <is>
          <t>Customer</t>
        </is>
      </c>
      <c r="D5" s="1074" t="inlineStr">
        <is>
          <t>Yazan Hunjul (Halton)</t>
        </is>
      </c>
      <c r="G5" s="76" t="inlineStr">
        <is>
          <t>Location</t>
        </is>
      </c>
      <c r="H5" s="1071" t="inlineStr">
        <is>
          <t>London</t>
        </is>
      </c>
      <c r="M5" s="343" t="n"/>
      <c r="N5" s="344" t="n"/>
      <c r="Q5" s="229" t="n"/>
      <c r="R5" s="229" t="n"/>
      <c r="T5" s="225" t="n"/>
      <c r="U5" s="226" t="n"/>
    </row>
    <row r="6" ht="15" customHeight="1" s="1085">
      <c r="C6" s="78" t="n"/>
      <c r="D6" s="230" t="n"/>
      <c r="E6" s="230" t="n"/>
      <c r="G6" s="76" t="n"/>
      <c r="H6" s="222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C7" s="80" t="inlineStr">
        <is>
          <t>Sales Manager / Estimator initials</t>
        </is>
      </c>
      <c r="D7" s="1074" t="inlineStr">
        <is>
          <t>KN/CD</t>
        </is>
      </c>
      <c r="G7" s="76" t="inlineStr">
        <is>
          <t>Date</t>
        </is>
      </c>
      <c r="H7" s="1075" t="inlineStr">
        <is>
          <t>02/04/2025</t>
        </is>
      </c>
      <c r="N7" s="347" t="inlineStr">
        <is>
          <t>Revision No</t>
        </is>
      </c>
      <c r="O7" s="900">
        <f>IF(CANOPY!O7="","",CANOPY!O7)</f>
        <v/>
      </c>
      <c r="P7" s="1157" t="inlineStr">
        <is>
          <t>GP SHOULD BE MINIMUM 44%</t>
        </is>
      </c>
      <c r="T7" s="225" t="n"/>
      <c r="U7" s="226" t="n"/>
      <c r="AA7" s="231" t="n"/>
    </row>
    <row r="8" ht="15" customHeight="1" s="1085">
      <c r="E8" s="219" t="n"/>
      <c r="F8" s="219" t="n"/>
      <c r="H8" s="219" t="n"/>
      <c r="J8" s="346" t="n"/>
      <c r="K8" s="14" t="n"/>
      <c r="T8" s="225" t="n"/>
      <c r="AA8" s="231" t="n"/>
    </row>
    <row r="9" ht="15" customFormat="1" customHeight="1" s="80">
      <c r="A9" s="215" t="n"/>
      <c r="B9" s="215" t="n"/>
      <c r="C9" s="38" t="inlineStr">
        <is>
          <t>CURRENCY</t>
        </is>
      </c>
      <c r="D9" s="951" t="n">
        <v>0</v>
      </c>
      <c r="E9" s="377">
        <f>IF(D9=0,0,(SUBTOTAL(9,M14:M48)/(1-D9))-M9)</f>
        <v/>
      </c>
      <c r="I9" s="234" t="n"/>
      <c r="K9" s="25">
        <f>SUBTOTAL(9,K12:K48)</f>
        <v/>
      </c>
      <c r="L9" s="970">
        <f>IF(O9=0,"-",O9/M9)</f>
        <v/>
      </c>
      <c r="M9" s="25">
        <f>SUBTOTAL(9,M12:M48)</f>
        <v/>
      </c>
      <c r="N9" s="464">
        <f>SUBTOTAL(9,N12:N48)</f>
        <v/>
      </c>
      <c r="O9" s="25">
        <f>SUBTOTAL(9,O12:O48)</f>
        <v/>
      </c>
      <c r="P9" s="1070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215" t="n"/>
      <c r="C12" s="1089" t="inlineStr">
        <is>
          <t>UV-C</t>
        </is>
      </c>
      <c r="D12" s="236" t="n"/>
      <c r="E12" s="237">
        <f>E14</f>
        <v/>
      </c>
      <c r="F12" s="838" t="n">
        <v>0</v>
      </c>
      <c r="G12" s="838">
        <f>IF(I12&lt;1,0,CEILING((G14-100)/I14,250))</f>
        <v/>
      </c>
      <c r="H12" s="237">
        <f>E12&amp;G12&amp;F12</f>
        <v/>
      </c>
      <c r="I12" s="236">
        <f>IF(F14=0,0,IF(G14=0,0,(F14/(IF(D14="WALL",F14,(F14/2)))*I14)))</f>
        <v/>
      </c>
      <c r="J12" s="238" t="n"/>
      <c r="K12" s="154">
        <f>SUBTOTAL(9,K14:K34)</f>
        <v/>
      </c>
      <c r="L12" s="15">
        <f>IF(K14=0,"-",O12/M12)</f>
        <v/>
      </c>
      <c r="M12" s="154">
        <f>SUBTOTAL(9,M14:M34)</f>
        <v/>
      </c>
      <c r="N12" s="464">
        <f>SUBTOTAL(9,N14:N34)</f>
        <v/>
      </c>
      <c r="O12" s="154">
        <f>SUBTOTAL(9,O14:O34)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LENGTH</t>
        </is>
      </c>
      <c r="G13" s="10" t="inlineStr">
        <is>
          <t>WIDTH</t>
        </is>
      </c>
      <c r="H13" s="10" t="inlineStr">
        <is>
          <t>HEIGHT</t>
        </is>
      </c>
      <c r="I13" s="10" t="inlineStr">
        <is>
          <t>SECTIONS</t>
        </is>
      </c>
      <c r="J13" s="349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A14" s="215" t="n">
        <v>210</v>
      </c>
      <c r="C14" s="791" t="inlineStr">
        <is>
          <t xml:space="preserve">PS-150 TOUCH SCREEN </t>
        </is>
      </c>
      <c r="D14" s="460" t="inlineStr">
        <is>
          <t>TOUCH SCREEN REMOTE BOX - METAL</t>
        </is>
      </c>
      <c r="E14" s="448" t="n"/>
      <c r="F14" s="837" t="n">
        <v>300</v>
      </c>
      <c r="G14" s="835" t="n">
        <v>95</v>
      </c>
      <c r="H14" s="896" t="n">
        <v>250</v>
      </c>
      <c r="I14" s="31" t="n"/>
      <c r="J14" s="380" t="n">
        <v>419.97</v>
      </c>
      <c r="K14" s="378">
        <f>SUM(J14*E14)</f>
        <v/>
      </c>
      <c r="L14" s="392" t="n">
        <v>0.35</v>
      </c>
      <c r="M14" s="311">
        <f>(K14/(1-L14))*(1+$D$9)</f>
        <v/>
      </c>
      <c r="N14" s="378">
        <f>(M14*VLOOKUP($C$9,'Base Costs'!$A$32:$B$37,2,FALSE))</f>
        <v/>
      </c>
      <c r="O14" s="379">
        <f>M14-K14</f>
        <v/>
      </c>
      <c r="U14" s="229" t="n"/>
      <c r="AA14" s="1070" t="n"/>
    </row>
    <row r="15" ht="15" customHeight="1" s="1085">
      <c r="A15" s="215" t="n">
        <v>104</v>
      </c>
      <c r="C15" s="855" t="inlineStr">
        <is>
          <t>PS-152 EDGE BOX</t>
        </is>
      </c>
      <c r="D15" s="460" t="inlineStr">
        <is>
          <t>PEU/AEU/HOODS (Staged Alarms)</t>
        </is>
      </c>
      <c r="E15" s="448" t="n"/>
      <c r="F15" s="895" t="n">
        <v>380</v>
      </c>
      <c r="G15" s="835" t="n">
        <v>300</v>
      </c>
      <c r="H15" s="896" t="n">
        <v>180</v>
      </c>
      <c r="I15" s="31" t="n"/>
      <c r="J15" s="380" t="n">
        <v>1030.52</v>
      </c>
      <c r="K15" s="378">
        <f>SUM(J15*E15)</f>
        <v/>
      </c>
      <c r="L15" s="392" t="n">
        <v>0.35</v>
      </c>
      <c r="M15" s="311">
        <f>(K15/(1-L15))*(1+$D$9)</f>
        <v/>
      </c>
      <c r="N15" s="378">
        <f>(M15*VLOOKUP($C$9,'Base Costs'!$A$32:$B$37,2,FALSE))</f>
        <v/>
      </c>
      <c r="O15" s="379">
        <f>M15-K15</f>
        <v/>
      </c>
      <c r="U15" s="229" t="n"/>
      <c r="AA15" s="1070" t="n"/>
    </row>
    <row r="16" ht="15" customHeight="1" s="1085">
      <c r="A16" s="215" t="n">
        <v>234</v>
      </c>
      <c r="C16" s="855" t="inlineStr">
        <is>
          <t>PS-153 EDGE BOX</t>
        </is>
      </c>
      <c r="D16" s="460" t="inlineStr">
        <is>
          <t>PEU/HOODS (Staged Alarms)</t>
        </is>
      </c>
      <c r="E16" s="461" t="n"/>
      <c r="F16" s="895" t="n">
        <v>380</v>
      </c>
      <c r="G16" s="835" t="n">
        <v>300</v>
      </c>
      <c r="H16" s="896" t="n">
        <v>180</v>
      </c>
      <c r="I16" s="31" t="n"/>
      <c r="J16" s="380" t="n">
        <v>690.16</v>
      </c>
      <c r="K16" s="378">
        <f>SUM(J16*E16)</f>
        <v/>
      </c>
      <c r="L16" s="392" t="n">
        <v>0.35</v>
      </c>
      <c r="M16" s="311">
        <f>(K16/(1-L16))*(1+$D$9)</f>
        <v/>
      </c>
      <c r="N16" s="378">
        <f>(M16*VLOOKUP($C$9,'Base Costs'!$A$32:$B$37,2,FALSE))</f>
        <v/>
      </c>
      <c r="O16" s="379">
        <f>M16-K16</f>
        <v/>
      </c>
      <c r="U16" s="229" t="n"/>
      <c r="AA16" s="1070" t="n"/>
    </row>
    <row r="17" ht="15" customHeight="1" s="1085">
      <c r="C17" s="855" t="inlineStr">
        <is>
          <t>PS-154 EDGE BOX</t>
        </is>
      </c>
      <c r="D17" s="460" t="inlineStr">
        <is>
          <t>PEU/MRV/HOODS (Staged Alarms)</t>
        </is>
      </c>
      <c r="E17" s="448" t="n"/>
      <c r="F17" s="895" t="n">
        <v>380</v>
      </c>
      <c r="G17" s="895" t="n">
        <v>300</v>
      </c>
      <c r="H17" s="896" t="n">
        <v>180</v>
      </c>
      <c r="I17" s="31" t="n"/>
      <c r="J17" s="380" t="n">
        <v>894.01</v>
      </c>
      <c r="K17" s="378">
        <f>SUM(J17*E17)</f>
        <v/>
      </c>
      <c r="L17" s="392" t="n">
        <v>0.35</v>
      </c>
      <c r="M17" s="311">
        <f>(K17/(1-L17))*(1+$D$9)</f>
        <v/>
      </c>
      <c r="N17" s="378">
        <f>(M17*VLOOKUP($C$9,'Base Costs'!$A$32:$B$37,2,FALSE))</f>
        <v/>
      </c>
      <c r="O17" s="379">
        <f>M17-K17</f>
        <v/>
      </c>
      <c r="U17" s="229" t="n"/>
      <c r="AA17" s="1070" t="n"/>
    </row>
    <row r="18" ht="15" customHeight="1" s="1085">
      <c r="C18" s="855" t="inlineStr">
        <is>
          <t>PS-155 EDGE BOX</t>
        </is>
      </c>
      <c r="D18" s="460" t="inlineStr">
        <is>
          <t>PEU/AEU/ MRV/HOOD (No Staged Alarms)</t>
        </is>
      </c>
      <c r="E18" s="448" t="n"/>
      <c r="F18" s="895" t="n">
        <v>380</v>
      </c>
      <c r="G18" s="895" t="n">
        <v>300</v>
      </c>
      <c r="H18" s="896" t="n">
        <v>180</v>
      </c>
      <c r="I18" s="31" t="n"/>
      <c r="J18" s="380" t="n">
        <v>1039.58</v>
      </c>
      <c r="K18" s="378">
        <f>SUM(J18*E18)</f>
        <v/>
      </c>
      <c r="L18" s="392" t="n">
        <v>0.35</v>
      </c>
      <c r="M18" s="311">
        <f>(K18/(1-L18))*(1+$D$9)</f>
        <v/>
      </c>
      <c r="N18" s="378">
        <f>(M18*VLOOKUP($C$9,'Base Costs'!$A$32:$B$37,2,FALSE))</f>
        <v/>
      </c>
      <c r="O18" s="379">
        <f>M18-K18</f>
        <v/>
      </c>
      <c r="U18" s="229" t="n"/>
      <c r="AA18" s="1070" t="n"/>
    </row>
    <row r="19" ht="15" customHeight="1" s="1085">
      <c r="C19" s="855" t="n"/>
      <c r="D19" s="460" t="n"/>
      <c r="E19" s="448" t="n"/>
      <c r="F19" s="895" t="n"/>
      <c r="G19" s="895" t="n"/>
      <c r="H19" s="896" t="n"/>
      <c r="I19" s="31" t="n"/>
      <c r="J19" s="380" t="n"/>
      <c r="K19" s="378" t="n"/>
      <c r="L19" s="392" t="n"/>
      <c r="M19" s="311" t="n"/>
      <c r="N19" s="378" t="n"/>
      <c r="O19" s="379" t="n"/>
      <c r="U19" s="229" t="n"/>
      <c r="AA19" s="1070" t="n"/>
    </row>
    <row r="20" ht="15" customHeight="1" s="1085">
      <c r="C20" s="791" t="inlineStr">
        <is>
          <t>RCL-329 LPC-3 GOT.112 (CANOPY CONTROL)</t>
        </is>
      </c>
      <c r="D20" s="1065" t="inlineStr">
        <is>
          <t>GOT Panel Comp for UV-c (24 Sections Max)</t>
        </is>
      </c>
      <c r="E20" s="448" t="n"/>
      <c r="F20" s="895" t="n">
        <v>160</v>
      </c>
      <c r="G20" s="895" t="n">
        <v>34</v>
      </c>
      <c r="H20" s="896" t="n">
        <v>106</v>
      </c>
      <c r="I20" s="31" t="n"/>
      <c r="J20" s="380" t="n">
        <v>336.21</v>
      </c>
      <c r="K20" s="378">
        <f>SUM(J20*E20)</f>
        <v/>
      </c>
      <c r="L20" s="392" t="n">
        <v>0.35</v>
      </c>
      <c r="M20" s="311">
        <f>(K20/(1-L20))*(1+$D$9)</f>
        <v/>
      </c>
      <c r="N20" s="378">
        <f>(M20*VLOOKUP($C$9,'Base Costs'!$A$32:$B$37,2,FALSE))</f>
        <v/>
      </c>
      <c r="O20" s="379">
        <f>M20-K20</f>
        <v/>
      </c>
      <c r="U20" s="229" t="n"/>
      <c r="AA20" s="1070" t="n"/>
    </row>
    <row r="21" ht="15" customHeight="1" s="1085">
      <c r="C21" s="791" t="inlineStr">
        <is>
          <t>RCL-342 GOT-112 WALL BOX</t>
        </is>
      </c>
      <c r="D21" s="460" t="inlineStr">
        <is>
          <t>Remote Mounting box if Required</t>
        </is>
      </c>
      <c r="E21" s="448" t="n"/>
      <c r="F21" s="895" t="n">
        <v>270</v>
      </c>
      <c r="G21" s="895" t="n">
        <v>200</v>
      </c>
      <c r="H21" s="896" t="n">
        <v>150</v>
      </c>
      <c r="I21" s="31" t="n"/>
      <c r="J21" s="380" t="n">
        <v>82</v>
      </c>
      <c r="K21" s="378">
        <f>SUM(J21*E21)</f>
        <v/>
      </c>
      <c r="L21" s="392" t="n">
        <v>0.35</v>
      </c>
      <c r="M21" s="311">
        <f>(K21/(1-L21))*(1+$D$9)</f>
        <v/>
      </c>
      <c r="N21" s="378">
        <f>(M21*VLOOKUP($C$9,'Base Costs'!$A$32:$B$37,2,FALSE))</f>
        <v/>
      </c>
      <c r="O21" s="379">
        <f>M21-K21</f>
        <v/>
      </c>
      <c r="U21" s="229" t="n"/>
      <c r="AA21" s="1070" t="n"/>
    </row>
    <row r="22" ht="15" customHeight="1" s="1085">
      <c r="C22" s="270" t="inlineStr">
        <is>
          <t>RCL-280 STAGED ALARM BOX</t>
        </is>
      </c>
      <c r="D22" s="460" t="inlineStr">
        <is>
          <t>MU5 CONTROLLER BOX</t>
        </is>
      </c>
      <c r="E22" s="448" t="n"/>
      <c r="F22" s="895" t="n">
        <v>179</v>
      </c>
      <c r="G22" s="895" t="n">
        <v>129</v>
      </c>
      <c r="H22" s="896" t="n">
        <v>100</v>
      </c>
      <c r="I22" s="31" t="n"/>
      <c r="J22" s="380" t="n">
        <v>212.86</v>
      </c>
      <c r="K22" s="378">
        <f>SUM(J22*E22)</f>
        <v/>
      </c>
      <c r="L22" s="392" t="n">
        <v>0.35</v>
      </c>
      <c r="M22" s="311">
        <f>(K22/(1-L22))*(1+$D$9)</f>
        <v/>
      </c>
      <c r="N22" s="378">
        <f>(M22*VLOOKUP($C$9,'Base Costs'!$A$32:$B$37,2,FALSE))</f>
        <v/>
      </c>
      <c r="O22" s="379">
        <f>M22-K22</f>
        <v/>
      </c>
      <c r="P22" s="1064" t="inlineStr">
        <is>
          <t xml:space="preserve">Add if Alarms requested for a GOT panel </t>
        </is>
      </c>
      <c r="U22" s="229" t="n"/>
      <c r="AA22" s="1070" t="n"/>
    </row>
    <row r="23" ht="15" customHeight="1" s="1085">
      <c r="A23" s="215" t="n">
        <v>289</v>
      </c>
      <c r="C23" s="270" t="n"/>
      <c r="D23" s="460" t="n"/>
      <c r="E23" s="448" t="n"/>
      <c r="F23" s="895" t="n"/>
      <c r="G23" s="895" t="n"/>
      <c r="H23" s="896" t="n"/>
      <c r="I23" s="31" t="n"/>
      <c r="J23" s="380" t="n"/>
      <c r="K23" s="378">
        <f>SUM(J23*E23)</f>
        <v/>
      </c>
      <c r="L23" s="392" t="n"/>
      <c r="M23" s="311">
        <f>(K23/(1-L23))*(1+$D$9)</f>
        <v/>
      </c>
      <c r="N23" s="378">
        <f>(M23*VLOOKUP($C$9,'Base Costs'!$A$32:$B$37,2,FALSE))</f>
        <v/>
      </c>
      <c r="O23" s="379">
        <f>M23-K23</f>
        <v/>
      </c>
      <c r="U23" s="229" t="n"/>
      <c r="AA23" s="1070" t="n"/>
    </row>
    <row r="24" ht="15" customHeight="1" s="1085">
      <c r="A24" s="215" t="n">
        <v>242</v>
      </c>
      <c r="C24" s="270" t="inlineStr">
        <is>
          <t xml:space="preserve">PS-160 EXTERNAL AERIAL </t>
        </is>
      </c>
      <c r="D24" s="460" t="inlineStr">
        <is>
          <t>EXTERNAL AERIAL BOX</t>
        </is>
      </c>
      <c r="E24" s="448" t="n"/>
      <c r="F24" s="895" t="n">
        <v>250</v>
      </c>
      <c r="G24" s="895" t="n">
        <v>175</v>
      </c>
      <c r="H24" s="896" t="n">
        <v>100</v>
      </c>
      <c r="I24" s="31" t="n"/>
      <c r="J24" s="380" t="n">
        <v>100.91</v>
      </c>
      <c r="K24" s="378">
        <f>SUM(J24*E24)</f>
        <v/>
      </c>
      <c r="L24" s="392" t="n">
        <v>0.35</v>
      </c>
      <c r="M24" s="311">
        <f>(K24/(1-L24))*(1+$D$9)</f>
        <v/>
      </c>
      <c r="N24" s="378">
        <f>(M24*VLOOKUP($C$9,'Base Costs'!$A$32:$B$37,2,FALSE))</f>
        <v/>
      </c>
      <c r="O24" s="379">
        <f>M24-K24</f>
        <v/>
      </c>
      <c r="U24" s="229" t="n"/>
      <c r="AA24" s="1070" t="n"/>
    </row>
    <row r="25" ht="15" customHeight="1" s="1085">
      <c r="A25" s="215" t="n">
        <v>220</v>
      </c>
      <c r="C25" s="855" t="inlineStr">
        <is>
          <t xml:space="preserve">PS-156 EDGE BOX REMOTE ROUTER (UV-GOT)  </t>
        </is>
      </c>
      <c r="D25" s="1066" t="inlineStr">
        <is>
          <t>EXTERNAL ROUTER</t>
        </is>
      </c>
      <c r="E25" s="448" t="n"/>
      <c r="F25" s="837" t="n">
        <v>250</v>
      </c>
      <c r="G25" s="895" t="n">
        <v>175</v>
      </c>
      <c r="H25" s="896" t="n">
        <v>100</v>
      </c>
      <c r="I25" s="31" t="n"/>
      <c r="J25" s="380" t="n">
        <v>484.58</v>
      </c>
      <c r="K25" s="378">
        <f>SUM(J25*E25)</f>
        <v/>
      </c>
      <c r="L25" s="392" t="n">
        <v>0.35</v>
      </c>
      <c r="M25" s="311">
        <f>(K25/(1-L25))*(1+$D$9)</f>
        <v/>
      </c>
      <c r="N25" s="378">
        <f>(M25*VLOOKUP($C$9,'Base Costs'!$A$32:$B$37,2,FALSE))</f>
        <v/>
      </c>
      <c r="O25" s="379">
        <f>M25-K25</f>
        <v/>
      </c>
      <c r="U25" s="229" t="n"/>
      <c r="AA25" s="1070" t="n"/>
    </row>
    <row r="26" ht="15" customHeight="1" s="1085">
      <c r="A26" s="215" t="n">
        <v>103</v>
      </c>
      <c r="C26" s="855" t="n"/>
      <c r="D26" s="460" t="n"/>
      <c r="E26" s="448" t="n"/>
      <c r="F26" s="837" t="n"/>
      <c r="G26" s="895" t="n"/>
      <c r="H26" s="896" t="n"/>
      <c r="I26" s="31" t="n"/>
      <c r="J26" s="380" t="n"/>
      <c r="K26" s="378">
        <f>SUM(J26*E26)</f>
        <v/>
      </c>
      <c r="L26" s="392" t="n"/>
      <c r="M26" s="311">
        <f>(K26/(1-L26))*(1+$D$9)</f>
        <v/>
      </c>
      <c r="N26" s="378">
        <f>(M26*VLOOKUP($C$9,'Base Costs'!$A$32:$B$37,2,FALSE))</f>
        <v/>
      </c>
      <c r="O26" s="379">
        <f>M26-K26</f>
        <v/>
      </c>
      <c r="U26" s="229" t="n"/>
      <c r="AA26" s="1070" t="n"/>
    </row>
    <row r="27" ht="15" customHeight="1" s="1085">
      <c r="A27" s="215" t="n">
        <v>103</v>
      </c>
      <c r="C27" s="855" t="inlineStr">
        <is>
          <t>CONNECTIVITY PS-153/152/154/155</t>
        </is>
      </c>
      <c r="D27" s="921" t="inlineStr">
        <is>
          <t xml:space="preserve"> NOT INCLUDED IN THE ABOVE</t>
        </is>
      </c>
      <c r="E27" s="448" t="n"/>
      <c r="F27" s="837" t="n"/>
      <c r="G27" s="895" t="n"/>
      <c r="H27" s="896" t="n"/>
      <c r="I27" s="31" t="n"/>
      <c r="J27" s="380" t="n">
        <v>522.38</v>
      </c>
      <c r="K27" s="378">
        <f>SUM(J27*E27)</f>
        <v/>
      </c>
      <c r="L27" s="392" t="n">
        <v>0.35</v>
      </c>
      <c r="M27" s="311">
        <f>(K27/(1-L27))*(1+$D$9)</f>
        <v/>
      </c>
      <c r="N27" s="378">
        <f>(M27*VLOOKUP($C$9,'Base Costs'!$A$32:$B$37,2,FALSE))</f>
        <v/>
      </c>
      <c r="O27" s="379">
        <f>M27-K27</f>
        <v/>
      </c>
      <c r="P27" s="990" t="inlineStr">
        <is>
          <t>EDGE UP2 Plus First Year Connectivity Fee from Group</t>
        </is>
      </c>
      <c r="U27" s="229" t="n"/>
      <c r="AA27" s="1070" t="n"/>
    </row>
    <row r="28" ht="15" customHeight="1" s="1085">
      <c r="C28" s="855" t="inlineStr">
        <is>
          <t>CONNECTIVITY  (UV-GOT)</t>
        </is>
      </c>
      <c r="D28" s="1067" t="inlineStr">
        <is>
          <t xml:space="preserve"> NOT INCLUDED IN THE ABOVE</t>
        </is>
      </c>
      <c r="E28" s="448" t="n"/>
      <c r="F28" s="895" t="n"/>
      <c r="G28" s="895" t="n"/>
      <c r="H28" s="896" t="n"/>
      <c r="I28" s="31" t="n"/>
      <c r="J28" s="380" t="n">
        <v>130</v>
      </c>
      <c r="K28" s="378">
        <f>SUM(J28*E28)</f>
        <v/>
      </c>
      <c r="L28" s="392" t="n">
        <v>0.35</v>
      </c>
      <c r="M28" s="311">
        <f>(K28/(1-L28))*(1+$D$9)</f>
        <v/>
      </c>
      <c r="N28" s="378">
        <f>(M28*VLOOKUP($C$9,'Base Costs'!$A$32:$B$37,2,FALSE))</f>
        <v/>
      </c>
      <c r="O28" s="379">
        <f>M28-K28</f>
        <v/>
      </c>
      <c r="P28" s="990" t="inlineStr">
        <is>
          <t>First Year Connectivity Fee from Group</t>
        </is>
      </c>
      <c r="U28" s="229" t="n"/>
      <c r="AA28" s="1070" t="n"/>
    </row>
    <row r="29" ht="15" customHeight="1" s="1085">
      <c r="A29" s="215" t="n">
        <v>285</v>
      </c>
      <c r="C29" s="855" t="n"/>
      <c r="D29" s="460" t="n"/>
      <c r="E29" s="448" t="n"/>
      <c r="F29" s="898" t="n"/>
      <c r="G29" s="898" t="n"/>
      <c r="H29" s="899" t="n"/>
      <c r="I29" s="31" t="n"/>
      <c r="J29" s="380" t="n"/>
      <c r="K29" s="378">
        <f>SUM(J29*E29)</f>
        <v/>
      </c>
      <c r="L29" s="392" t="n"/>
      <c r="M29" s="311">
        <f>(K29/(1-L29))*(1+$D$9)</f>
        <v/>
      </c>
      <c r="N29" s="378">
        <f>(M29*VLOOKUP($C$9,'Base Costs'!$A$32:$B$37,2,FALSE))</f>
        <v/>
      </c>
      <c r="O29" s="379">
        <f>M29-K29</f>
        <v/>
      </c>
      <c r="U29" s="229" t="n"/>
      <c r="AA29" s="1070" t="n"/>
    </row>
    <row r="30" ht="15" customHeight="1" s="1085">
      <c r="C30" s="855" t="n"/>
      <c r="D30" s="460" t="n"/>
      <c r="E30" s="448" t="n"/>
      <c r="F30" s="898" t="n"/>
      <c r="G30" s="898" t="n"/>
      <c r="H30" s="899" t="n"/>
      <c r="I30" s="31" t="n"/>
      <c r="J30" s="380" t="n"/>
      <c r="K30" s="378">
        <f>SUM(J30*E30)</f>
        <v/>
      </c>
      <c r="L30" s="392" t="n"/>
      <c r="M30" s="311">
        <f>(K30/(1-L30))*(1+$D$9)</f>
        <v/>
      </c>
      <c r="N30" s="378">
        <f>(M30*VLOOKUP($C$9,'Base Costs'!$A$32:$B$37,2,FALSE))</f>
        <v/>
      </c>
      <c r="O30" s="379">
        <f>M30-K30</f>
        <v/>
      </c>
      <c r="U30" s="229" t="n"/>
      <c r="AA30" s="1070" t="n"/>
    </row>
    <row r="31" ht="15" customHeight="1" s="1085">
      <c r="C31" s="269" t="n"/>
      <c r="D31" s="460" t="n"/>
      <c r="E31" s="448" t="n"/>
      <c r="F31" s="895" t="n"/>
      <c r="G31" s="895" t="n"/>
      <c r="H31" s="896" t="n"/>
      <c r="I31" s="31" t="n"/>
      <c r="J31" s="380" t="n">
        <v>0</v>
      </c>
      <c r="K31" s="378">
        <f>SUM(J31*E31)</f>
        <v/>
      </c>
      <c r="L31" s="392" t="n"/>
      <c r="M31" s="311">
        <f>(K31/(1-L31))*(1+$D$9)</f>
        <v/>
      </c>
      <c r="N31" s="378">
        <f>(M31*VLOOKUP($C$9,'Base Costs'!$A$32:$B$37,2,FALSE))</f>
        <v/>
      </c>
      <c r="O31" s="379">
        <f>M31-K31</f>
        <v/>
      </c>
      <c r="U31" s="229" t="n"/>
      <c r="AA31" s="1070" t="n"/>
    </row>
    <row r="32" ht="15" customHeight="1" s="1085">
      <c r="A32" s="215" t="n">
        <v>286</v>
      </c>
      <c r="C32" s="270" t="n"/>
      <c r="D32" s="460" t="n"/>
      <c r="E32" s="448" t="n"/>
      <c r="F32" s="895" t="n"/>
      <c r="G32" s="895" t="n"/>
      <c r="H32" s="896" t="n"/>
      <c r="I32" s="31" t="n"/>
      <c r="J32" s="380" t="n">
        <v>0</v>
      </c>
      <c r="K32" s="378">
        <f>SUM(J32*E32)</f>
        <v/>
      </c>
      <c r="L32" s="392" t="n"/>
      <c r="M32" s="311">
        <f>(K32/(1-L32))*(1+$D$9)</f>
        <v/>
      </c>
      <c r="N32" s="378">
        <f>(M32*VLOOKUP($C$9,'Base Costs'!$A$32:$B$37,2,FALSE))</f>
        <v/>
      </c>
      <c r="O32" s="379">
        <f>M32-K32</f>
        <v/>
      </c>
      <c r="U32" s="229" t="n"/>
      <c r="AA32" s="1070" t="n"/>
    </row>
    <row r="33" ht="15" customHeight="1" s="1085">
      <c r="C33" s="269" t="n"/>
      <c r="D33" s="460" t="n"/>
      <c r="E33" s="448" t="n"/>
      <c r="F33" s="462" t="n"/>
      <c r="G33" s="32" t="n"/>
      <c r="H33" s="30" t="n"/>
      <c r="I33" s="31" t="n"/>
      <c r="J33" s="933" t="n"/>
      <c r="K33" s="378">
        <f>SUM(J33*E33)</f>
        <v/>
      </c>
      <c r="L33" s="392" t="n"/>
      <c r="M33" s="311">
        <f>(K33/(1-L33))*(1+$D$9)</f>
        <v/>
      </c>
      <c r="N33" s="378">
        <f>(M33*VLOOKUP($C$9,'Base Costs'!$A$32:$B$37,2,FALSE))</f>
        <v/>
      </c>
      <c r="O33" s="379">
        <f>M33-K33</f>
        <v/>
      </c>
      <c r="U33" s="229" t="n"/>
      <c r="AA33" s="1070" t="n"/>
    </row>
    <row r="34" ht="15" customHeight="1" s="1085">
      <c r="C34" s="855" t="n"/>
      <c r="D34" s="460" t="n"/>
      <c r="E34" s="448" t="n"/>
      <c r="F34" s="462" t="n"/>
      <c r="G34" s="32" t="n"/>
      <c r="H34" s="30" t="n"/>
      <c r="I34" s="31" t="n"/>
      <c r="J34" s="933" t="n"/>
      <c r="K34" s="378">
        <f>SUM(J34*E34)</f>
        <v/>
      </c>
      <c r="L34" s="392" t="n"/>
      <c r="M34" s="311">
        <f>(K34/(1-L34))*(1+$D$9)</f>
        <v/>
      </c>
      <c r="N34" s="378">
        <f>(M34*VLOOKUP($C$9,'Base Costs'!$A$32:$B$37,2,FALSE))</f>
        <v/>
      </c>
      <c r="O34" s="379">
        <f>M34-K34</f>
        <v/>
      </c>
      <c r="U34" s="229" t="n"/>
      <c r="AA34" s="1070" t="n"/>
    </row>
    <row r="35" ht="15" customHeight="1" s="1085">
      <c r="H35" s="34" t="inlineStr">
        <is>
          <t>SECTION UNDER 1000mm</t>
        </is>
      </c>
    </row>
    <row r="36" ht="15" customHeight="1" s="1085">
      <c r="C36" s="239" t="n"/>
      <c r="D36" s="239" t="n"/>
      <c r="E36" s="239" t="n"/>
      <c r="F36" s="239" t="n"/>
      <c r="G36" s="239" t="n"/>
      <c r="H36" s="239" t="n"/>
      <c r="I36" s="9" t="n"/>
      <c r="J36" s="11" t="n"/>
      <c r="K36" s="353" t="n"/>
      <c r="L36" s="240" t="n"/>
      <c r="M36" s="353" t="n"/>
      <c r="N36" s="353" t="n"/>
      <c r="U36" s="229" t="n"/>
      <c r="AA36" s="1070" t="n"/>
    </row>
    <row r="37" ht="15" customHeight="1" s="1085">
      <c r="C37" s="1089" t="inlineStr">
        <is>
          <t xml:space="preserve">DELIVERY &amp; INSTALLATION </t>
        </is>
      </c>
      <c r="I37" s="236" t="n"/>
      <c r="J37" s="330" t="n"/>
      <c r="K37" s="154">
        <f>SUBTOTAL(9,K38:K48)</f>
        <v/>
      </c>
      <c r="L37" s="15">
        <f>IF(K38=0,"-",O37/M37)</f>
        <v/>
      </c>
      <c r="M37" s="154">
        <f>SUBTOTAL(9,M38:M48)</f>
        <v/>
      </c>
      <c r="N37" s="464">
        <f>SUBTOTAL(9,N38:N48)</f>
        <v/>
      </c>
      <c r="O37" s="154">
        <f>SUBTOTAL(9,O39:O48)</f>
        <v/>
      </c>
      <c r="U37" s="229" t="n"/>
    </row>
    <row r="38" ht="15" customHeight="1" s="1085">
      <c r="A38" s="215" t="n">
        <v>222</v>
      </c>
      <c r="C38" s="269" t="inlineStr">
        <is>
          <t xml:space="preserve">DELIVERIES </t>
        </is>
      </c>
      <c r="D38" s="242" t="n"/>
      <c r="E38" s="309" t="inlineStr">
        <is>
          <t>SELECT LOCATION…</t>
        </is>
      </c>
      <c r="F38" s="28" t="n"/>
      <c r="G38" s="30" t="n"/>
      <c r="H38" s="28" t="n"/>
      <c r="I38" s="28" t="n"/>
      <c r="J38" s="385">
        <f>VLOOKUP(E38,'Base Costs'!E4:G213,2,FALSE)</f>
        <v/>
      </c>
      <c r="K38" s="378">
        <f>D38*J38</f>
        <v/>
      </c>
      <c r="L38" s="392" t="n">
        <v>0.33</v>
      </c>
      <c r="M38" s="311">
        <f>(K38/(1-L38))*(1+$D$9)</f>
        <v/>
      </c>
      <c r="N38" s="378">
        <f>(M38*VLOOKUP($C$9,'Base Costs'!$A$32:$B$37,2,FALSE))</f>
        <v/>
      </c>
      <c r="O38" s="379">
        <f>M38-K38</f>
        <v/>
      </c>
      <c r="U38" s="229" t="n"/>
    </row>
    <row r="39" ht="15" customHeight="1" s="1085">
      <c r="A39" s="215" t="n">
        <v>257</v>
      </c>
      <c r="C39" s="269" t="inlineStr">
        <is>
          <t>PLANT HIRE</t>
        </is>
      </c>
      <c r="D39" s="242" t="n"/>
      <c r="E39" s="309" t="inlineStr">
        <is>
          <t>PLANT SELECTION (weekly)</t>
        </is>
      </c>
      <c r="F39" s="28" t="n"/>
      <c r="G39" s="28" t="n"/>
      <c r="H39" s="28" t="n"/>
      <c r="I39" s="28" t="n"/>
      <c r="J39" s="385">
        <f>VLOOKUP(E39,'Base Costs'!$A$4:$B$16,2,FALSE)</f>
        <v/>
      </c>
      <c r="K39" s="378">
        <f>D39*J39</f>
        <v/>
      </c>
      <c r="L39" s="392" t="n">
        <v>0.33</v>
      </c>
      <c r="M39" s="311">
        <f>(K39/(1-L39))*(1+$D$9)</f>
        <v/>
      </c>
      <c r="N39" s="378">
        <f>(M39*VLOOKUP($C$9,'Base Costs'!$A$32:$B$37,2,FALSE))</f>
        <v/>
      </c>
      <c r="O39" s="379">
        <f>M39-K39</f>
        <v/>
      </c>
      <c r="U39" s="229" t="n"/>
    </row>
    <row r="40" ht="15" customHeight="1" s="1085">
      <c r="A40" s="215" t="n">
        <v>257</v>
      </c>
      <c r="C40" s="269" t="inlineStr">
        <is>
          <t>PLANT HIRE</t>
        </is>
      </c>
      <c r="D40" s="242" t="n"/>
      <c r="E40" s="309" t="inlineStr">
        <is>
          <t>PLANT SELECTION (weekly)</t>
        </is>
      </c>
      <c r="F40" s="28" t="n"/>
      <c r="G40" s="28" t="n"/>
      <c r="H40" s="28" t="n"/>
      <c r="I40" s="28" t="n"/>
      <c r="J40" s="385">
        <f>VLOOKUP(E40,'Base Costs'!$A$4:$B$16,2,FALSE)</f>
        <v/>
      </c>
      <c r="K40" s="378">
        <f>D40*J40</f>
        <v/>
      </c>
      <c r="L40" s="392" t="n">
        <v>0.33</v>
      </c>
      <c r="M40" s="311">
        <f>(K40/(1-L40))*(1+$D$9)</f>
        <v/>
      </c>
      <c r="N40" s="378">
        <f>(M40*VLOOKUP($C$9,'Base Costs'!$A$32:$B$37,2,FALSE))</f>
        <v/>
      </c>
      <c r="O40" s="379">
        <f>M40-K40</f>
        <v/>
      </c>
      <c r="U40" s="229" t="n"/>
    </row>
    <row r="41" ht="15" customHeight="1" s="1085">
      <c r="A41" s="215" t="n">
        <v>400</v>
      </c>
      <c r="C41" s="269" t="inlineStr">
        <is>
          <t>STRIP OUT</t>
        </is>
      </c>
      <c r="D41" s="242" t="n"/>
      <c r="E41" s="28" t="inlineStr">
        <is>
          <t>PER DAY</t>
        </is>
      </c>
      <c r="F41" s="28" t="n"/>
      <c r="G41" s="28" t="n"/>
      <c r="H41" s="28" t="n"/>
      <c r="I41" s="28" t="n"/>
      <c r="J41" s="385" t="n">
        <v>450</v>
      </c>
      <c r="K41" s="378">
        <f>D41*J41</f>
        <v/>
      </c>
      <c r="L41" s="392" t="n">
        <v>0.33</v>
      </c>
      <c r="M41" s="311">
        <f>(K41/(1-L41))*(1+$D$9)</f>
        <v/>
      </c>
      <c r="N41" s="378">
        <f>(M41*VLOOKUP($C$9,'Base Costs'!$A$32:$B$37,2,FALSE))</f>
        <v/>
      </c>
      <c r="O41" s="379">
        <f>M41-K41</f>
        <v/>
      </c>
      <c r="U41" s="229" t="n"/>
    </row>
    <row r="42" ht="15" customHeight="1" s="1085">
      <c r="A42" s="215" t="n">
        <v>102</v>
      </c>
      <c r="C42" s="269" t="inlineStr">
        <is>
          <t xml:space="preserve">CONSUMABLES </t>
        </is>
      </c>
      <c r="D42" s="242" t="n">
        <v>1</v>
      </c>
      <c r="E42" s="28" t="inlineStr">
        <is>
          <t>ON SITE FIXINGS</t>
        </is>
      </c>
      <c r="F42" s="28" t="n"/>
      <c r="G42" s="28" t="n"/>
      <c r="H42" s="28" t="n"/>
      <c r="I42" s="28" t="n"/>
      <c r="J42" s="385" t="n">
        <v>15</v>
      </c>
      <c r="K42" s="378">
        <f>D42*J42</f>
        <v/>
      </c>
      <c r="L42" s="392" t="n">
        <v>0.33</v>
      </c>
      <c r="M42" s="311">
        <f>(K42/(1-L42))*(1+$D$9)</f>
        <v/>
      </c>
      <c r="N42" s="378">
        <f>(M42*VLOOKUP($C$9,'Base Costs'!$A$32:$B$37,2,FALSE))</f>
        <v/>
      </c>
      <c r="O42" s="379">
        <f>M42-K42</f>
        <v/>
      </c>
      <c r="U42" s="229" t="n"/>
    </row>
    <row r="43" ht="15" customHeight="1" s="1085">
      <c r="A43" s="215" t="n">
        <v>400</v>
      </c>
      <c r="C43" s="269" t="inlineStr">
        <is>
          <t>INSTALLATION NORMAL HOURS</t>
        </is>
      </c>
      <c r="D43" s="242" t="n">
        <v>1</v>
      </c>
      <c r="E43" s="28" t="inlineStr">
        <is>
          <t>PER BOX</t>
        </is>
      </c>
      <c r="F43" s="28" t="n"/>
      <c r="G43" s="28" t="n"/>
      <c r="H43" s="28" t="n"/>
      <c r="I43" s="28" t="n"/>
      <c r="J43" s="385" t="n">
        <v>152.5</v>
      </c>
      <c r="K43" s="378">
        <f>D43*J43</f>
        <v/>
      </c>
      <c r="L43" s="392" t="n">
        <v>0.4</v>
      </c>
      <c r="M43" s="311">
        <f>(K43/(1-L43))*(1+$D$9)</f>
        <v/>
      </c>
      <c r="N43" s="378">
        <f>(M43*VLOOKUP($C$9,'Base Costs'!$A$32:$B$37,2,FALSE))</f>
        <v/>
      </c>
      <c r="O43" s="379">
        <f>M43-K43</f>
        <v/>
      </c>
      <c r="U43" s="229" t="n"/>
    </row>
    <row r="44" ht="15" customHeight="1" s="1085">
      <c r="A44" s="215" t="n">
        <v>400</v>
      </c>
      <c r="C44" s="269" t="inlineStr">
        <is>
          <t>INSTALLATION AFTER HOURS</t>
        </is>
      </c>
      <c r="D44" s="242" t="n"/>
      <c r="E44" s="28" t="inlineStr">
        <is>
          <t>PER BOX</t>
        </is>
      </c>
      <c r="F44" s="28" t="n"/>
      <c r="G44" s="28" t="n"/>
      <c r="H44" s="28" t="n"/>
      <c r="I44" s="28" t="n"/>
      <c r="J44" s="385" t="n">
        <v>861</v>
      </c>
      <c r="K44" s="378">
        <f>D44*J44</f>
        <v/>
      </c>
      <c r="L44" s="392" t="n">
        <v>0.4</v>
      </c>
      <c r="M44" s="311">
        <f>(K44/(1-L44))*(1+$D$9)</f>
        <v/>
      </c>
      <c r="N44" s="378">
        <f>(M44*VLOOKUP($C$9,'Base Costs'!$A$32:$B$37,2,FALSE))</f>
        <v/>
      </c>
      <c r="O44" s="379">
        <f>M44-K44</f>
        <v/>
      </c>
      <c r="U44" s="229" t="n"/>
    </row>
    <row r="45" ht="15" customHeight="1" s="1085">
      <c r="A45" s="215" t="n">
        <v>253</v>
      </c>
      <c r="C45" s="269" t="inlineStr">
        <is>
          <t>TRAVEL EXPENSES</t>
        </is>
      </c>
      <c r="D45" s="242" t="n"/>
      <c r="E45" s="28" t="inlineStr">
        <is>
          <t>PER NIGHT PER TEAM</t>
        </is>
      </c>
      <c r="F45" s="28" t="n"/>
      <c r="G45" s="28" t="n"/>
      <c r="H45" s="28" t="n"/>
      <c r="I45" s="28" t="n"/>
      <c r="J45" s="385" t="n"/>
      <c r="K45" s="378">
        <f>D45*J45</f>
        <v/>
      </c>
      <c r="L45" s="392" t="n">
        <v>0.33</v>
      </c>
      <c r="M45" s="311">
        <f>(K45/(1-L45))*(1+$D$9)</f>
        <v/>
      </c>
      <c r="N45" s="378">
        <f>(M45*VLOOKUP($C$9,'Base Costs'!$A$32:$B$37,2,FALSE))</f>
        <v/>
      </c>
      <c r="O45" s="379">
        <f>M45-K45</f>
        <v/>
      </c>
      <c r="U45" s="229" t="n"/>
    </row>
    <row r="46" ht="15" customHeight="1" s="1085">
      <c r="A46" s="215" t="n">
        <v>253</v>
      </c>
      <c r="C46" s="269" t="inlineStr">
        <is>
          <t>OVERNIGHT</t>
        </is>
      </c>
      <c r="D46" s="242" t="n"/>
      <c r="E46" s="28" t="inlineStr">
        <is>
          <t>PER NIGHT PER TEAM</t>
        </is>
      </c>
      <c r="F46" s="28" t="n"/>
      <c r="G46" s="28" t="n"/>
      <c r="H46" s="28" t="n"/>
      <c r="I46" s="28" t="n"/>
      <c r="J46" s="385" t="n">
        <v>170</v>
      </c>
      <c r="K46" s="378">
        <f>D46*J46</f>
        <v/>
      </c>
      <c r="L46" s="392" t="n">
        <v>0.33</v>
      </c>
      <c r="M46" s="311">
        <f>(K46/(1-L46))*(1+$D$9)</f>
        <v/>
      </c>
      <c r="N46" s="378">
        <f>(M46*VLOOKUP($C$9,'Base Costs'!$A$32:$B$37,2,FALSE))</f>
        <v/>
      </c>
      <c r="O46" s="379">
        <f>M46-K46</f>
        <v/>
      </c>
      <c r="U46" s="229" t="n"/>
    </row>
    <row r="47" ht="15" customHeight="1" s="1085">
      <c r="A47" s="215" t="n">
        <v>280</v>
      </c>
      <c r="C47" s="269" t="inlineStr">
        <is>
          <t>TEST &amp; COMMISSION</t>
        </is>
      </c>
      <c r="D47" s="242" t="n"/>
      <c r="E47" s="28" t="inlineStr">
        <is>
          <t>ONE ENGINEER</t>
        </is>
      </c>
      <c r="F47" s="28" t="n"/>
      <c r="G47" s="28" t="n"/>
      <c r="H47" s="28" t="n"/>
      <c r="I47" s="28" t="n"/>
      <c r="J47" s="385" t="n">
        <v>604</v>
      </c>
      <c r="K47" s="378">
        <f>D47*J47</f>
        <v/>
      </c>
      <c r="L47" s="392" t="n">
        <v>0.33</v>
      </c>
      <c r="M47" s="311">
        <f>(K47/(1-L47))*(1+$D$9)</f>
        <v/>
      </c>
      <c r="N47" s="378">
        <f>(M47*VLOOKUP($C$9,'Base Costs'!$A$32:$B$37,2,FALSE))</f>
        <v/>
      </c>
      <c r="O47" s="379">
        <f>M47-K47</f>
        <v/>
      </c>
      <c r="U47" s="229" t="n"/>
    </row>
    <row r="48" ht="15" customHeight="1" s="1085">
      <c r="A48" s="215" t="n">
        <v>284</v>
      </c>
      <c r="C48" s="269" t="n"/>
      <c r="D48" s="242" t="n"/>
      <c r="E48" s="28" t="inlineStr">
        <is>
          <t>OPTIONAL ITEM</t>
        </is>
      </c>
      <c r="F48" s="28" t="n"/>
      <c r="G48" s="28" t="n"/>
      <c r="H48" s="28" t="n"/>
      <c r="I48" s="28" t="n"/>
      <c r="J48" s="385" t="n">
        <v>200</v>
      </c>
      <c r="K48" s="378">
        <f>D48*J48</f>
        <v/>
      </c>
      <c r="L48" s="392" t="n">
        <v>0.33</v>
      </c>
      <c r="M48" s="311">
        <f>(K48/(1-L48))*(1+$D$9)</f>
        <v/>
      </c>
      <c r="N48" s="378">
        <f>(M48*VLOOKUP($C$9,'Base Costs'!$A$32:$B$37,2,FALSE))</f>
        <v/>
      </c>
      <c r="O48" s="379">
        <f>M48-K48</f>
        <v/>
      </c>
      <c r="U48" s="229" t="n"/>
    </row>
    <row r="49" ht="15" customHeight="1" s="1085">
      <c r="C49" s="239" t="n"/>
      <c r="D49" s="239" t="n"/>
      <c r="E49" s="239" t="n"/>
      <c r="F49" s="239" t="n"/>
      <c r="G49" s="239" t="n"/>
      <c r="H49" s="243" t="n"/>
      <c r="I49" s="244" t="n"/>
      <c r="J49" s="354" t="n"/>
      <c r="K49" s="353" t="n"/>
      <c r="L49" s="355" t="n"/>
      <c r="M49" s="353" t="n"/>
      <c r="N49" s="353" t="n"/>
      <c r="U49" s="229" t="n"/>
    </row>
    <row r="50" ht="15" customHeight="1" s="1085">
      <c r="C50" s="197" t="inlineStr">
        <is>
          <t>Office Use Only</t>
        </is>
      </c>
      <c r="D50" s="198" t="n"/>
      <c r="E50" s="199" t="n"/>
      <c r="F50" s="199" t="n"/>
      <c r="G50" s="198" t="n"/>
      <c r="H50" s="200" t="n"/>
      <c r="I50" s="198" t="n"/>
      <c r="J50" s="198" t="n"/>
      <c r="K50" s="198" t="n"/>
      <c r="L50" s="198" t="n"/>
      <c r="M50" s="198" t="n"/>
      <c r="N50" s="198" t="n"/>
      <c r="O50" s="198" t="n"/>
      <c r="U50" s="229" t="n"/>
    </row>
    <row r="51" ht="15" customHeight="1" s="1085">
      <c r="C51" s="202" t="n"/>
      <c r="D51" s="203" t="n"/>
      <c r="E51" s="202" t="n"/>
      <c r="F51" s="204" t="n"/>
      <c r="G51" s="202" t="n"/>
      <c r="H51" s="209" t="n"/>
      <c r="I51" s="203" t="n"/>
      <c r="J51" s="203" t="n"/>
      <c r="K51" s="205" t="n"/>
      <c r="L51" s="205" t="n"/>
      <c r="M51" s="205" t="n"/>
      <c r="N51" s="205" t="n"/>
      <c r="O51" s="205" t="n"/>
      <c r="U51" s="229" t="n"/>
    </row>
    <row r="52" ht="15" customHeight="1" s="1085">
      <c r="C52" s="202" t="n"/>
      <c r="D52" s="203" t="n"/>
      <c r="E52" s="202" t="n"/>
      <c r="F52" s="204" t="n"/>
      <c r="G52" s="202" t="n"/>
      <c r="H52" s="209" t="n"/>
      <c r="I52" s="203" t="n"/>
      <c r="J52" s="203" t="n"/>
      <c r="K52" s="205" t="n"/>
      <c r="L52" s="205" t="n"/>
      <c r="M52" s="205" t="n"/>
      <c r="N52" s="205" t="n"/>
      <c r="O52" s="205" t="n"/>
      <c r="U52" s="229" t="n"/>
    </row>
    <row r="53" ht="15" customHeight="1" s="1085">
      <c r="C53" s="202" t="n"/>
      <c r="D53" s="203" t="n"/>
      <c r="E53" s="202" t="n"/>
      <c r="F53" s="204" t="n"/>
      <c r="G53" s="202" t="n"/>
      <c r="H53" s="209" t="n"/>
      <c r="I53" s="203" t="n"/>
      <c r="J53" s="203" t="n"/>
      <c r="K53" s="209" t="n"/>
      <c r="L53" s="209" t="n"/>
      <c r="M53" s="209" t="n"/>
      <c r="N53" s="209" t="n"/>
      <c r="O53" s="209" t="n"/>
      <c r="U53" s="229" t="n"/>
    </row>
    <row r="54" ht="15" customHeight="1" s="1085">
      <c r="C54" s="202" t="n"/>
      <c r="D54" s="203" t="n"/>
      <c r="E54" s="202" t="n"/>
      <c r="F54" s="204" t="n"/>
      <c r="G54" s="202" t="n"/>
      <c r="H54" s="209" t="n"/>
      <c r="I54" s="206" t="n"/>
      <c r="J54" s="203" t="n"/>
      <c r="K54" s="209" t="n"/>
      <c r="L54" s="209" t="n"/>
      <c r="M54" s="209" t="n"/>
      <c r="N54" s="209" t="n"/>
      <c r="O54" s="209" t="n"/>
      <c r="U54" s="229" t="n"/>
    </row>
    <row r="55" ht="15" customHeight="1" s="1085">
      <c r="C55" s="202" t="n"/>
      <c r="D55" s="203" t="n"/>
      <c r="E55" s="202" t="n"/>
      <c r="F55" s="202" t="n"/>
      <c r="G55" s="202" t="n"/>
      <c r="H55" s="207" t="n"/>
      <c r="I55" s="209" t="n"/>
      <c r="J55" s="203" t="n"/>
      <c r="K55" s="205" t="n"/>
      <c r="L55" s="205" t="n"/>
      <c r="M55" s="205" t="n"/>
      <c r="N55" s="205" t="n"/>
      <c r="O55" s="205" t="n"/>
      <c r="U55" s="229" t="n"/>
    </row>
    <row r="56" ht="15" customHeight="1" s="1085">
      <c r="C56" s="202" t="n"/>
      <c r="D56" s="202" t="n"/>
      <c r="E56" s="202" t="n"/>
      <c r="F56" s="202" t="n"/>
      <c r="G56" s="202" t="n"/>
      <c r="H56" s="207" t="n"/>
      <c r="I56" s="209" t="n"/>
      <c r="J56" s="203" t="n"/>
      <c r="K56" s="205" t="n"/>
      <c r="L56" s="205" t="n"/>
      <c r="M56" s="205" t="n"/>
      <c r="N56" s="205" t="n"/>
      <c r="O56" s="205" t="n"/>
      <c r="U56" s="229" t="n"/>
    </row>
    <row r="57" ht="15" customHeight="1" s="1085">
      <c r="J57" s="228" t="n"/>
      <c r="M57" s="228" t="n"/>
      <c r="O57" s="228" t="n"/>
      <c r="U57" s="229" t="n"/>
    </row>
    <row r="58" ht="15" customHeight="1" s="1085">
      <c r="J58" s="228" t="n"/>
      <c r="M58" s="228" t="n"/>
      <c r="O58" s="228" t="n"/>
      <c r="U58" s="229" t="n"/>
    </row>
    <row r="59" ht="15" customHeight="1" s="1085">
      <c r="H59" s="219" t="n"/>
      <c r="U59" s="229" t="n"/>
    </row>
    <row r="60" ht="15" customHeight="1" s="1085">
      <c r="H60" s="219" t="n"/>
      <c r="U60" s="229" t="n"/>
    </row>
    <row r="61" ht="15" customHeight="1" s="1085">
      <c r="H61" s="219" t="n"/>
      <c r="U61" s="229" t="n"/>
    </row>
    <row r="62" ht="15" customHeight="1" s="1085">
      <c r="H62" s="219" t="n"/>
      <c r="U62" s="229" t="n"/>
    </row>
    <row r="63" ht="15" customHeight="1" s="1085">
      <c r="H63" s="219" t="n"/>
      <c r="U63" s="229" t="n"/>
    </row>
    <row r="64" ht="15" customHeight="1" s="1085">
      <c r="H64" s="219" t="n"/>
      <c r="U64" s="229" t="n"/>
    </row>
    <row r="65" ht="15" customHeight="1" s="1085">
      <c r="H65" s="219" t="n"/>
      <c r="U65" s="229" t="n"/>
    </row>
    <row r="66" ht="15" customHeight="1" s="1085">
      <c r="H66" s="219" t="n"/>
      <c r="U66" s="229" t="n"/>
    </row>
    <row r="67" ht="15" customHeight="1" s="1085">
      <c r="H67" s="219" t="n"/>
      <c r="U67" s="229" t="n"/>
    </row>
    <row r="68" ht="15" customHeight="1" s="1085">
      <c r="C68" s="245" t="n"/>
      <c r="D68" s="245" t="n"/>
      <c r="E68" s="245" t="n"/>
      <c r="F68" s="245" t="n"/>
      <c r="G68" s="245" t="n"/>
      <c r="H68" s="245" t="n"/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3" ht="15" customHeight="1" s="1085">
      <c r="U103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2" ht="15" customHeight="1" s="1085">
      <c r="U112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1" ht="15" customHeight="1" s="1085">
      <c r="U121" s="229" t="n"/>
    </row>
    <row r="122" ht="15" customHeight="1" s="1085">
      <c r="U122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  <row r="142" ht="15" customHeight="1" s="1085">
      <c r="U142" s="229" t="n"/>
    </row>
    <row r="143" ht="15" customHeight="1" s="1085">
      <c r="U143" s="229" t="n"/>
    </row>
    <row r="144" ht="15" customHeight="1" s="1085">
      <c r="U144" s="229" t="n"/>
    </row>
    <row r="145" ht="15" customHeight="1" s="1085">
      <c r="U145" s="229" t="n"/>
    </row>
    <row r="146" ht="15" customHeight="1" s="1085">
      <c r="U146" s="229" t="n"/>
    </row>
    <row r="147" ht="15" customHeight="1" s="1085">
      <c r="U147" s="229" t="n"/>
    </row>
    <row r="148" ht="15" customHeight="1" s="1085">
      <c r="U148" s="229" t="n"/>
    </row>
    <row r="149" ht="15" customHeight="1" s="1085">
      <c r="U149" s="229" t="n"/>
    </row>
    <row r="150" ht="15" customHeight="1" s="1085">
      <c r="U150" s="229" t="n"/>
    </row>
    <row r="151" ht="15" customHeight="1" s="1085">
      <c r="U151" s="229" t="n"/>
    </row>
    <row r="152" ht="15" customHeight="1" s="1085">
      <c r="U152" s="229" t="n"/>
    </row>
    <row r="153" ht="15" customHeight="1" s="1085">
      <c r="U153" s="229" t="n"/>
    </row>
    <row r="154" ht="15" customHeight="1" s="1085">
      <c r="U154" s="229" t="n"/>
    </row>
    <row r="155" ht="15" customHeight="1" s="1085">
      <c r="U155" s="229" t="n"/>
    </row>
    <row r="156" ht="15" customHeight="1" s="1085">
      <c r="U156" s="229" t="n"/>
    </row>
    <row r="157" ht="15" customHeight="1" s="1085">
      <c r="U157" s="229" t="n"/>
    </row>
    <row r="158" ht="15" customHeight="1" s="1085">
      <c r="U158" s="229" t="n"/>
    </row>
    <row r="159" ht="15" customHeight="1" s="1085">
      <c r="U159" s="229" t="n"/>
    </row>
    <row r="160" ht="15" customHeight="1" s="1085">
      <c r="U160" s="229" t="n"/>
    </row>
    <row r="161" ht="15" customHeight="1" s="1085">
      <c r="U161" s="229" t="n"/>
    </row>
  </sheetData>
  <mergeCells count="9">
    <mergeCell ref="P7:R7"/>
    <mergeCell ref="D7:E7"/>
    <mergeCell ref="C1:D1"/>
    <mergeCell ref="H5:J5"/>
    <mergeCell ref="C37:H37"/>
    <mergeCell ref="D5:E5"/>
    <mergeCell ref="H3:J3"/>
    <mergeCell ref="D3:E3"/>
    <mergeCell ref="H7:J7"/>
  </mergeCells>
  <conditionalFormatting sqref="C9">
    <cfRule type="containsText" priority="35" operator="containsText" dxfId="680" text="SELECT">
      <formula>NOT(ISERROR(SEARCH("SELECT",C9)))</formula>
    </cfRule>
    <cfRule type="expression" priority="36" dxfId="680">
      <formula>C9="CURRENCY"</formula>
    </cfRule>
  </conditionalFormatting>
  <conditionalFormatting sqref="C14:C34">
    <cfRule type="expression" priority="1" dxfId="633">
      <formula>$J14&gt;0</formula>
    </cfRule>
  </conditionalFormatting>
  <conditionalFormatting sqref="C38:C48">
    <cfRule type="expression" priority="12" dxfId="633">
      <formula>$D38&gt;0</formula>
    </cfRule>
  </conditionalFormatting>
  <conditionalFormatting sqref="D38:D39 D41:D48">
    <cfRule type="cellIs" priority="37" operator="lessThan" dxfId="554">
      <formula>1</formula>
    </cfRule>
  </conditionalFormatting>
  <conditionalFormatting sqref="D40">
    <cfRule type="cellIs" priority="32" operator="lessThan" dxfId="164">
      <formula>1</formula>
    </cfRule>
  </conditionalFormatting>
  <conditionalFormatting sqref="D9:E9">
    <cfRule type="cellIs" priority="33" operator="lessThan" dxfId="207">
      <formula>0</formula>
    </cfRule>
    <cfRule type="cellIs" priority="34" operator="greaterThan" dxfId="552">
      <formula>0</formula>
    </cfRule>
  </conditionalFormatting>
  <conditionalFormatting sqref="F12">
    <cfRule type="expression" priority="42" dxfId="386">
      <formula>AND((ISNUMBER(SEARCH("I-MUAP",$E$14))),F12&lt;2500)</formula>
    </cfRule>
    <cfRule type="expression" priority="43" dxfId="387">
      <formula>ISNUMBER(SEARCH("I-MUAP",$E$14))</formula>
    </cfRule>
    <cfRule type="cellIs" priority="44" operator="greaterThan" dxfId="204">
      <formula>2000</formula>
    </cfRule>
  </conditionalFormatting>
  <conditionalFormatting sqref="F12:G12">
    <cfRule type="cellIs" priority="38" operator="lessThan" dxfId="204">
      <formula>1000</formula>
    </cfRule>
  </conditionalFormatting>
  <conditionalFormatting sqref="F14:G28">
    <cfRule type="cellIs" priority="5" operator="lessThan" dxfId="164">
      <formula>1000</formula>
    </cfRule>
  </conditionalFormatting>
  <conditionalFormatting sqref="F31:G32">
    <cfRule type="cellIs" priority="2" operator="lessThan" dxfId="164">
      <formula>1000</formula>
    </cfRule>
  </conditionalFormatting>
  <conditionalFormatting sqref="G12">
    <cfRule type="cellIs" priority="39" operator="greaterThan" dxfId="204">
      <formula>3001</formula>
    </cfRule>
  </conditionalFormatting>
  <conditionalFormatting sqref="H11">
    <cfRule type="expression" priority="41" dxfId="176">
      <formula>((G14-50)/I14)&lt;950</formula>
    </cfRule>
  </conditionalFormatting>
  <conditionalFormatting sqref="H12">
    <cfRule type="expression" priority="40" dxfId="175">
      <formula>((G14-50)/I14)&lt;950</formula>
    </cfRule>
  </conditionalFormatting>
  <conditionalFormatting sqref="H14:H28">
    <cfRule type="cellIs" priority="6" operator="lessThan" dxfId="164">
      <formula>400</formula>
    </cfRule>
  </conditionalFormatting>
  <conditionalFormatting sqref="H31:H32">
    <cfRule type="cellIs" priority="3" operator="lessThan" dxfId="164">
      <formula>400</formula>
    </cfRule>
  </conditionalFormatting>
  <conditionalFormatting sqref="H35">
    <cfRule type="expression" priority="49" dxfId="176">
      <formula>((#REF!-50)/#REF!)&lt;950</formula>
    </cfRule>
  </conditionalFormatting>
  <conditionalFormatting sqref="J14:J32">
    <cfRule type="cellIs" priority="17" operator="greaterThan" dxfId="153">
      <formula>0</formula>
    </cfRule>
  </conditionalFormatting>
  <conditionalFormatting sqref="J38:J48">
    <cfRule type="expression" priority="25" dxfId="153">
      <formula>D38&gt;0</formula>
    </cfRule>
  </conditionalFormatting>
  <conditionalFormatting sqref="J50:J56">
    <cfRule type="expression" priority="30" dxfId="2">
      <formula>#REF!="EURO"</formula>
    </cfRule>
  </conditionalFormatting>
  <conditionalFormatting sqref="K14:K34">
    <cfRule type="cellIs" priority="4" operator="greaterThan" dxfId="141">
      <formula>0</formula>
    </cfRule>
  </conditionalFormatting>
  <conditionalFormatting sqref="K38:K48">
    <cfRule type="cellIs" priority="31" operator="greaterThan" dxfId="141">
      <formula>0</formula>
    </cfRule>
  </conditionalFormatting>
  <conditionalFormatting sqref="K50:K56">
    <cfRule type="expression" priority="26" dxfId="4">
      <formula>$C$9="PLN"</formula>
    </cfRule>
    <cfRule type="expression" priority="27" dxfId="0">
      <formula>$C$9="CZK"</formula>
    </cfRule>
    <cfRule type="expression" priority="28" dxfId="3">
      <formula>$C$9="USD"</formula>
    </cfRule>
    <cfRule type="expression" priority="29" dxfId="2">
      <formula>$C$9="EURO"</formula>
    </cfRule>
  </conditionalFormatting>
  <conditionalFormatting sqref="L14:L34">
    <cfRule type="expression" priority="15" dxfId="116">
      <formula>$D$9&lt;0</formula>
    </cfRule>
    <cfRule type="expression" priority="16" dxfId="115">
      <formula>$D$9&gt;0</formula>
    </cfRule>
  </conditionalFormatting>
  <conditionalFormatting sqref="L38:L48">
    <cfRule type="expression" priority="13" dxfId="116">
      <formula>$D$9&lt;0</formula>
    </cfRule>
    <cfRule type="expression" priority="14" dxfId="115">
      <formula>$D$9&gt;0</formula>
    </cfRule>
  </conditionalFormatting>
  <conditionalFormatting sqref="N9 N12">
    <cfRule type="expression" priority="45" dxfId="4">
      <formula>$C$9="PLN"</formula>
    </cfRule>
    <cfRule type="expression" priority="46" dxfId="0">
      <formula>$C$9="CZK"</formula>
    </cfRule>
    <cfRule type="expression" priority="47" dxfId="3">
      <formula>$C$9="USD"</formula>
    </cfRule>
    <cfRule type="expression" priority="48" dxfId="2">
      <formula>$C$9="EURO"</formula>
    </cfRule>
  </conditionalFormatting>
  <conditionalFormatting sqref="N14:N34">
    <cfRule type="expression" priority="19" dxfId="4">
      <formula>$C$9="PLN"</formula>
    </cfRule>
    <cfRule type="expression" priority="20" dxfId="0">
      <formula>$C$9="CZK"</formula>
    </cfRule>
    <cfRule type="expression" priority="21" dxfId="3">
      <formula>$C$9="USD"</formula>
    </cfRule>
    <cfRule type="expression" priority="22" dxfId="2">
      <formula>$C$9="EURO"</formula>
    </cfRule>
  </conditionalFormatting>
  <conditionalFormatting sqref="N18:N22">
    <cfRule type="cellIs" priority="23" operator="greaterThan" dxfId="5">
      <formula>0</formula>
    </cfRule>
  </conditionalFormatting>
  <conditionalFormatting sqref="N37:N48">
    <cfRule type="expression" priority="8" dxfId="4">
      <formula>$C$9="PLN"</formula>
    </cfRule>
    <cfRule type="expression" priority="9" dxfId="0">
      <formula>$C$9="CZK"</formula>
    </cfRule>
    <cfRule type="expression" priority="10" dxfId="3">
      <formula>$C$9="USD"</formula>
    </cfRule>
    <cfRule type="expression" priority="11" dxfId="2">
      <formula>$C$9="EURO"</formula>
    </cfRule>
  </conditionalFormatting>
  <conditionalFormatting sqref="N14:O34">
    <cfRule type="cellIs" priority="18" operator="greaterThan" dxfId="5">
      <formula>0</formula>
    </cfRule>
  </conditionalFormatting>
  <conditionalFormatting sqref="N38:O48">
    <cfRule type="cellIs" priority="7" operator="greaterThan" dxfId="141">
      <formula>0</formula>
    </cfRule>
  </conditionalFormatting>
  <conditionalFormatting sqref="O14:O22">
    <cfRule type="cellIs" priority="24" operator="greaterThan" dxfId="5">
      <formula>0</formula>
    </cfRule>
  </conditionalFormatting>
  <dataValidations count="3">
    <dataValidation sqref="H36" showDropDown="0" showInputMessage="1" showErrorMessage="1" allowBlank="1" type="list">
      <formula1>#REF!</formula1>
    </dataValidation>
    <dataValidation sqref="F14:F28 F31:F32" showDropDown="0" showInputMessage="1" showErrorMessage="1" allowBlank="1" operator="greaterThan"/>
    <dataValidation sqref="E14:E34" showDropDown="0" showInputMessage="1" showErrorMessage="1" allowBlank="1" type="list">
      <formula1>"0,1,2,3,4,5,6,7,8,9,10,11,12,13,14,15,16,17,18,19,20"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61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tabColor theme="8" tint="0.7999816888943144"/>
    <outlinePr summaryBelow="1" summaryRight="1"/>
    <pageSetUpPr fitToPage="1"/>
  </sheetPr>
  <dimension ref="A1:AB161"/>
  <sheetViews>
    <sheetView showGridLines="0" zoomScale="70" zoomScaleNormal="70" zoomScaleSheetLayoutView="50" workbookViewId="0">
      <selection activeCell="Q35" sqref="Q35"/>
    </sheetView>
  </sheetViews>
  <sheetFormatPr baseColWidth="10" defaultColWidth="8.83203125" defaultRowHeight="15" customHeight="1"/>
  <cols>
    <col width="2" customWidth="1" style="215" min="1" max="2"/>
    <col width="39.5" customWidth="1" style="1070" min="3" max="3"/>
    <col width="39.83203125" customWidth="1" style="1070" min="4" max="4"/>
    <col width="27.1640625" customWidth="1" style="1070" min="5" max="5"/>
    <col width="16.83203125" customWidth="1" style="1070" min="6" max="6"/>
    <col width="15.5" customWidth="1" style="1070" min="7" max="7"/>
    <col width="19.6640625" customWidth="1" style="1070" min="8" max="8"/>
    <col width="10" bestFit="1" customWidth="1" style="1072" min="9" max="9"/>
    <col width="14.83203125" bestFit="1" customWidth="1" style="1073" min="10" max="10"/>
    <col width="17.5" customWidth="1" style="228" min="11" max="11"/>
    <col width="10.5" customWidth="1" style="228" min="12" max="12"/>
    <col hidden="1" width="10.6640625" customWidth="1" style="346" min="13" max="13"/>
    <col width="14.5" bestFit="1" customWidth="1" style="1073" min="14" max="14"/>
    <col width="13.6640625" bestFit="1" customWidth="1" style="14" min="15" max="15"/>
    <col width="8.83203125" customWidth="1" style="1070" min="16" max="17"/>
    <col width="18.6640625" customWidth="1" style="1070" min="18" max="18"/>
    <col width="8.83203125" customWidth="1" style="1070" min="19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0"/>
    <col width="8.83203125" customWidth="1" style="1070" min="101" max="16384"/>
  </cols>
  <sheetData>
    <row r="1" ht="15" customHeight="1" s="1085">
      <c r="C1" s="1148" t="inlineStr">
        <is>
          <t xml:space="preserve">F24-19    EDGE BOX COST SHEET </t>
        </is>
      </c>
      <c r="E1" s="216" t="n"/>
      <c r="F1" s="216" t="n"/>
      <c r="G1" s="216" t="n"/>
      <c r="H1" s="216" t="n"/>
      <c r="I1" s="29" t="n"/>
      <c r="J1" s="336" t="n"/>
      <c r="K1" s="337" t="n"/>
      <c r="L1" s="338" t="n"/>
      <c r="M1" s="339" t="n"/>
      <c r="N1" s="336" t="n"/>
      <c r="O1" s="975" t="inlineStr">
        <is>
          <t>JAN25-19</t>
        </is>
      </c>
      <c r="S1" s="80" t="n"/>
      <c r="T1" s="218" t="n"/>
    </row>
    <row r="2" ht="15" customHeight="1" s="1085">
      <c r="C2" s="79" t="n"/>
      <c r="D2" s="221" t="n"/>
      <c r="E2" s="221" t="n"/>
      <c r="G2" s="79" t="n"/>
      <c r="H2" s="77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C3" s="78" t="inlineStr">
        <is>
          <t>Job No.</t>
        </is>
      </c>
      <c r="D3" s="1130">
        <f>IF(CANOPY!C3="","",CANOPY!C3)</f>
        <v/>
      </c>
      <c r="G3" s="76" t="inlineStr">
        <is>
          <t>Project Name</t>
        </is>
      </c>
      <c r="H3" s="1071">
        <f>IF(CANOPY!G3="","",CANOPY!G3)</f>
        <v/>
      </c>
      <c r="L3" s="342" t="n"/>
      <c r="M3" s="343" t="n"/>
      <c r="N3" s="344" t="n"/>
      <c r="T3" s="225" t="n"/>
    </row>
    <row r="4" ht="15" customHeight="1" s="1085">
      <c r="C4" s="79" t="n"/>
      <c r="D4" s="223" t="n"/>
      <c r="E4" s="223" t="n"/>
      <c r="G4" s="77" t="n"/>
      <c r="H4" s="222" t="n"/>
      <c r="I4" s="227" t="n"/>
      <c r="J4" s="341" t="n"/>
      <c r="L4" s="342" t="n"/>
      <c r="M4" s="343" t="n"/>
      <c r="N4" s="344" t="n"/>
      <c r="T4" s="225" t="n"/>
    </row>
    <row r="5" ht="15" customHeight="1" s="1085">
      <c r="C5" s="78" t="inlineStr">
        <is>
          <t>Customer</t>
        </is>
      </c>
      <c r="D5" s="1074">
        <f>IF(CANOPY!C5="","",CANOPY!C5)</f>
        <v/>
      </c>
      <c r="G5" s="76" t="inlineStr">
        <is>
          <t>Location</t>
        </is>
      </c>
      <c r="H5" s="1071">
        <f>IF(CANOPY!G5="","",CANOPY!G5)</f>
        <v/>
      </c>
      <c r="M5" s="343" t="n"/>
      <c r="N5" s="344" t="n"/>
      <c r="Q5" s="229" t="n"/>
      <c r="R5" s="229" t="n"/>
      <c r="T5" s="225" t="n"/>
      <c r="U5" s="226" t="n"/>
    </row>
    <row r="6" ht="15" customHeight="1" s="1085">
      <c r="C6" s="78" t="n"/>
      <c r="D6" s="230" t="n"/>
      <c r="E6" s="230" t="n"/>
      <c r="G6" s="76" t="n"/>
      <c r="H6" s="222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C7" s="80" t="inlineStr">
        <is>
          <t>Sales Manager / Estimator initials</t>
        </is>
      </c>
      <c r="D7" s="1074">
        <f>IF(CANOPY!C7="","",CANOPY!C7)</f>
        <v/>
      </c>
      <c r="G7" s="76" t="inlineStr">
        <is>
          <t>Date</t>
        </is>
      </c>
      <c r="H7" s="1075">
        <f>IF(CANOPY!G7="","",CANOPY!G7)</f>
        <v/>
      </c>
      <c r="N7" s="347" t="inlineStr">
        <is>
          <t>Revision No</t>
        </is>
      </c>
      <c r="O7" s="900">
        <f>IF(CANOPY!O7="","",CANOPY!O7)</f>
        <v/>
      </c>
      <c r="P7" s="1157" t="inlineStr">
        <is>
          <t>GP SHOULD BE MINIMUM 44%</t>
        </is>
      </c>
      <c r="T7" s="225" t="n"/>
      <c r="U7" s="226" t="n"/>
      <c r="AA7" s="231" t="n"/>
    </row>
    <row r="8" ht="15" customHeight="1" s="1085">
      <c r="E8" s="219" t="n"/>
      <c r="F8" s="219" t="n"/>
      <c r="H8" s="219" t="n"/>
      <c r="J8" s="346" t="n"/>
      <c r="K8" s="14" t="n"/>
      <c r="T8" s="225" t="n"/>
      <c r="AA8" s="231" t="n"/>
    </row>
    <row r="9" ht="15" customFormat="1" customHeight="1" s="80">
      <c r="A9" s="215" t="n"/>
      <c r="B9" s="215" t="n"/>
      <c r="C9" s="38" t="inlineStr">
        <is>
          <t>CURRENCY</t>
        </is>
      </c>
      <c r="D9" s="951" t="n">
        <v>0</v>
      </c>
      <c r="E9" s="377">
        <f>IF(D9=0,0,(SUBTOTAL(9,M14:M48)/(1-D9))-M9)</f>
        <v/>
      </c>
      <c r="I9" s="234" t="n"/>
      <c r="K9" s="25">
        <f>SUBTOTAL(9,K12:K48)</f>
        <v/>
      </c>
      <c r="L9" s="970">
        <f>IF(O9=0,"-",O9/M9)</f>
        <v/>
      </c>
      <c r="M9" s="25">
        <f>SUBTOTAL(9,M12:M48)</f>
        <v/>
      </c>
      <c r="N9" s="464">
        <f>SUBTOTAL(9,N12:N48)</f>
        <v/>
      </c>
      <c r="O9" s="25">
        <f>SUBTOTAL(9,O12:O48)</f>
        <v/>
      </c>
      <c r="P9" s="1070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215" t="n"/>
      <c r="C12" s="1089" t="inlineStr">
        <is>
          <t xml:space="preserve">ITEM </t>
        </is>
      </c>
      <c r="D12" s="236" t="n"/>
      <c r="E12" s="237">
        <f>E14</f>
        <v/>
      </c>
      <c r="F12" s="838" t="n">
        <v>0</v>
      </c>
      <c r="G12" s="838">
        <f>IF(I12&lt;1,0,CEILING((G14-100)/I14,250))</f>
        <v/>
      </c>
      <c r="H12" s="237">
        <f>E12&amp;G12&amp;F12</f>
        <v/>
      </c>
      <c r="I12" s="236">
        <f>IF(F14=0,0,IF(G14=0,0,(F14/(IF(D14="WALL",F14,(F14/2)))*I14)))</f>
        <v/>
      </c>
      <c r="J12" s="238" t="n"/>
      <c r="K12" s="154">
        <f>SUBTOTAL(9,K14:K34)</f>
        <v/>
      </c>
      <c r="L12" s="15">
        <f>IF(K14=0,"-",O12/M12)</f>
        <v/>
      </c>
      <c r="M12" s="154">
        <f>SUBTOTAL(9,M14:M34)</f>
        <v/>
      </c>
      <c r="N12" s="464">
        <f>SUBTOTAL(9,N14:N34)</f>
        <v/>
      </c>
      <c r="O12" s="154">
        <f>SUBTOTAL(9,O14:O34)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LENGTH</t>
        </is>
      </c>
      <c r="G13" s="10" t="inlineStr">
        <is>
          <t>WIDTH</t>
        </is>
      </c>
      <c r="H13" s="10" t="inlineStr">
        <is>
          <t>HEIGHT</t>
        </is>
      </c>
      <c r="I13" s="10" t="inlineStr">
        <is>
          <t>SECTIONS</t>
        </is>
      </c>
      <c r="J13" s="349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A14" s="215" t="n">
        <v>210</v>
      </c>
      <c r="C14" s="791" t="inlineStr">
        <is>
          <t xml:space="preserve">PS-150 TOUCH SCREEN </t>
        </is>
      </c>
      <c r="D14" s="460" t="inlineStr">
        <is>
          <t>TOUCH SCREEN REMOTE BOX - METAL</t>
        </is>
      </c>
      <c r="E14" s="448" t="n"/>
      <c r="F14" s="837" t="n">
        <v>300</v>
      </c>
      <c r="G14" s="835" t="n">
        <v>95</v>
      </c>
      <c r="H14" s="896" t="n">
        <v>250</v>
      </c>
      <c r="I14" s="31" t="n"/>
      <c r="J14" s="380" t="n">
        <v>419.97</v>
      </c>
      <c r="K14" s="378">
        <f>SUM(J14*E14)</f>
        <v/>
      </c>
      <c r="L14" s="392" t="n">
        <v>0.35</v>
      </c>
      <c r="M14" s="311">
        <f>(K14/(1-L14))*(1+$D$9)</f>
        <v/>
      </c>
      <c r="N14" s="378">
        <f>(M14*VLOOKUP($C$9,'Base Costs'!$A$32:$B$37,2,FALSE))</f>
        <v/>
      </c>
      <c r="O14" s="379">
        <f>M14-K14</f>
        <v/>
      </c>
      <c r="U14" s="229" t="n"/>
      <c r="AA14" s="1070" t="n"/>
    </row>
    <row r="15" ht="15" customHeight="1" s="1085">
      <c r="A15" s="215" t="n">
        <v>104</v>
      </c>
      <c r="C15" s="855" t="inlineStr">
        <is>
          <t>PS-152 EDGE BOX</t>
        </is>
      </c>
      <c r="D15" s="460" t="inlineStr">
        <is>
          <t>PEU/AEU/HOODS (Staged Alarms)</t>
        </is>
      </c>
      <c r="E15" s="448" t="n"/>
      <c r="F15" s="895" t="n">
        <v>380</v>
      </c>
      <c r="G15" s="835" t="n">
        <v>300</v>
      </c>
      <c r="H15" s="896" t="n">
        <v>180</v>
      </c>
      <c r="I15" s="31" t="n"/>
      <c r="J15" s="380" t="n">
        <v>1030.52</v>
      </c>
      <c r="K15" s="378">
        <f>SUM(J15*E15)</f>
        <v/>
      </c>
      <c r="L15" s="392" t="n">
        <v>0.35</v>
      </c>
      <c r="M15" s="311">
        <f>(K15/(1-L15))*(1+$D$9)</f>
        <v/>
      </c>
      <c r="N15" s="378">
        <f>(M15*VLOOKUP($C$9,'Base Costs'!$A$32:$B$37,2,FALSE))</f>
        <v/>
      </c>
      <c r="O15" s="379">
        <f>M15-K15</f>
        <v/>
      </c>
      <c r="U15" s="229" t="n"/>
      <c r="AA15" s="1070" t="n"/>
    </row>
    <row r="16" ht="15" customHeight="1" s="1085">
      <c r="A16" s="215" t="n">
        <v>234</v>
      </c>
      <c r="C16" s="855" t="inlineStr">
        <is>
          <t>PS-153 EDGE BOX</t>
        </is>
      </c>
      <c r="D16" s="460" t="inlineStr">
        <is>
          <t>PEU/HOODS (Staged Alarms)</t>
        </is>
      </c>
      <c r="E16" s="461" t="n"/>
      <c r="F16" s="895" t="n">
        <v>380</v>
      </c>
      <c r="G16" s="835" t="n">
        <v>300</v>
      </c>
      <c r="H16" s="896" t="n">
        <v>180</v>
      </c>
      <c r="I16" s="31" t="n"/>
      <c r="J16" s="380" t="n">
        <v>690.16</v>
      </c>
      <c r="K16" s="378">
        <f>SUM(J16*E16)</f>
        <v/>
      </c>
      <c r="L16" s="392" t="n">
        <v>0.35</v>
      </c>
      <c r="M16" s="311">
        <f>(K16/(1-L16))*(1+$D$9)</f>
        <v/>
      </c>
      <c r="N16" s="378">
        <f>(M16*VLOOKUP($C$9,'Base Costs'!$A$32:$B$37,2,FALSE))</f>
        <v/>
      </c>
      <c r="O16" s="379">
        <f>M16-K16</f>
        <v/>
      </c>
      <c r="U16" s="229" t="n"/>
      <c r="AA16" s="1070" t="n"/>
    </row>
    <row r="17" ht="15" customHeight="1" s="1085">
      <c r="C17" s="855" t="inlineStr">
        <is>
          <t>PS-154 EDGE BOX</t>
        </is>
      </c>
      <c r="D17" s="460" t="inlineStr">
        <is>
          <t>PEU/MRV/HOODS (Staged Alarms)</t>
        </is>
      </c>
      <c r="E17" s="448" t="n"/>
      <c r="F17" s="895" t="n">
        <v>380</v>
      </c>
      <c r="G17" s="895" t="n">
        <v>300</v>
      </c>
      <c r="H17" s="896" t="n">
        <v>180</v>
      </c>
      <c r="I17" s="31" t="n"/>
      <c r="J17" s="380" t="n">
        <v>894.01</v>
      </c>
      <c r="K17" s="378">
        <f>SUM(J17*E17)</f>
        <v/>
      </c>
      <c r="L17" s="392" t="n">
        <v>0.35</v>
      </c>
      <c r="M17" s="311">
        <f>(K17/(1-L17))*(1+$D$9)</f>
        <v/>
      </c>
      <c r="N17" s="378">
        <f>(M17*VLOOKUP($C$9,'Base Costs'!$A$32:$B$37,2,FALSE))</f>
        <v/>
      </c>
      <c r="O17" s="379">
        <f>M17-K17</f>
        <v/>
      </c>
      <c r="U17" s="229" t="n"/>
      <c r="AA17" s="1070" t="n"/>
    </row>
    <row r="18" ht="15" customHeight="1" s="1085">
      <c r="C18" s="855" t="inlineStr">
        <is>
          <t>PS-155 EDGE BOX</t>
        </is>
      </c>
      <c r="D18" s="460" t="inlineStr">
        <is>
          <t>PEU/AEU/ MRV/HOOD (No Staged Alarms)</t>
        </is>
      </c>
      <c r="E18" s="448" t="n"/>
      <c r="F18" s="895" t="n">
        <v>380</v>
      </c>
      <c r="G18" s="895" t="n">
        <v>300</v>
      </c>
      <c r="H18" s="896" t="n">
        <v>180</v>
      </c>
      <c r="I18" s="31" t="n"/>
      <c r="J18" s="380" t="n">
        <v>1039.58</v>
      </c>
      <c r="K18" s="378">
        <f>SUM(J18*E18)</f>
        <v/>
      </c>
      <c r="L18" s="392" t="n">
        <v>0.35</v>
      </c>
      <c r="M18" s="311">
        <f>(K18/(1-L18))*(1+$D$9)</f>
        <v/>
      </c>
      <c r="N18" s="378">
        <f>(M18*VLOOKUP($C$9,'Base Costs'!$A$32:$B$37,2,FALSE))</f>
        <v/>
      </c>
      <c r="O18" s="379">
        <f>M18-K18</f>
        <v/>
      </c>
      <c r="U18" s="229" t="n"/>
      <c r="AA18" s="1070" t="n"/>
    </row>
    <row r="19" ht="15" customHeight="1" s="1085">
      <c r="C19" s="855" t="n"/>
      <c r="D19" s="460" t="n"/>
      <c r="E19" s="448" t="n"/>
      <c r="F19" s="895" t="n"/>
      <c r="G19" s="895" t="n"/>
      <c r="H19" s="896" t="n"/>
      <c r="I19" s="31" t="n"/>
      <c r="J19" s="380" t="n"/>
      <c r="K19" s="378" t="n"/>
      <c r="L19" s="392" t="n"/>
      <c r="M19" s="311" t="n"/>
      <c r="N19" s="378" t="n"/>
      <c r="O19" s="379" t="n"/>
      <c r="U19" s="229" t="n"/>
      <c r="AA19" s="1070" t="n"/>
    </row>
    <row r="20" ht="15" customHeight="1" s="1085">
      <c r="C20" s="791" t="inlineStr">
        <is>
          <t>RCL-329 LPC-3 GOT.112 (CANOPY CONTROL)</t>
        </is>
      </c>
      <c r="D20" s="1065" t="inlineStr">
        <is>
          <t>GOT Panel Comp for UV-c (24 Sections Max)</t>
        </is>
      </c>
      <c r="E20" s="448" t="n"/>
      <c r="F20" s="895" t="n">
        <v>160</v>
      </c>
      <c r="G20" s="895" t="n">
        <v>34</v>
      </c>
      <c r="H20" s="896" t="n">
        <v>106</v>
      </c>
      <c r="I20" s="31" t="n"/>
      <c r="J20" s="380" t="n">
        <v>336.21</v>
      </c>
      <c r="K20" s="378">
        <f>SUM(J20*E20)</f>
        <v/>
      </c>
      <c r="L20" s="392" t="n">
        <v>0.35</v>
      </c>
      <c r="M20" s="311">
        <f>(K20/(1-L20))*(1+$D$9)</f>
        <v/>
      </c>
      <c r="N20" s="378">
        <f>(M20*VLOOKUP($C$9,'Base Costs'!$A$32:$B$37,2,FALSE))</f>
        <v/>
      </c>
      <c r="O20" s="379">
        <f>M20-K20</f>
        <v/>
      </c>
      <c r="U20" s="229" t="n"/>
      <c r="AA20" s="1070" t="n"/>
    </row>
    <row r="21" ht="15" customHeight="1" s="1085">
      <c r="C21" s="791" t="inlineStr">
        <is>
          <t>RCL-342 GOT-112 WALL BOX</t>
        </is>
      </c>
      <c r="D21" s="460" t="inlineStr">
        <is>
          <t>Remote Mounting box if Required</t>
        </is>
      </c>
      <c r="E21" s="448" t="n"/>
      <c r="F21" s="895" t="n">
        <v>270</v>
      </c>
      <c r="G21" s="895" t="n">
        <v>200</v>
      </c>
      <c r="H21" s="896" t="n">
        <v>150</v>
      </c>
      <c r="I21" s="31" t="n"/>
      <c r="J21" s="380" t="n">
        <v>82</v>
      </c>
      <c r="K21" s="378">
        <f>SUM(J21*E21)</f>
        <v/>
      </c>
      <c r="L21" s="392" t="n">
        <v>0.35</v>
      </c>
      <c r="M21" s="311">
        <f>(K21/(1-L21))*(1+$D$9)</f>
        <v/>
      </c>
      <c r="N21" s="378">
        <f>(M21*VLOOKUP($C$9,'Base Costs'!$A$32:$B$37,2,FALSE))</f>
        <v/>
      </c>
      <c r="O21" s="379">
        <f>M21-K21</f>
        <v/>
      </c>
      <c r="U21" s="229" t="n"/>
      <c r="AA21" s="1070" t="n"/>
    </row>
    <row r="22" ht="15" customHeight="1" s="1085">
      <c r="C22" s="270" t="inlineStr">
        <is>
          <t>RCL-280 STAGED ALARM BOX</t>
        </is>
      </c>
      <c r="D22" s="460" t="inlineStr">
        <is>
          <t>MU5 CONTROLLER BOX</t>
        </is>
      </c>
      <c r="E22" s="448" t="n"/>
      <c r="F22" s="895" t="n">
        <v>179</v>
      </c>
      <c r="G22" s="895" t="n">
        <v>129</v>
      </c>
      <c r="H22" s="896" t="n">
        <v>100</v>
      </c>
      <c r="I22" s="31" t="n"/>
      <c r="J22" s="380" t="n">
        <v>212.86</v>
      </c>
      <c r="K22" s="378">
        <f>SUM(J22*E22)</f>
        <v/>
      </c>
      <c r="L22" s="392" t="n">
        <v>0.35</v>
      </c>
      <c r="M22" s="311">
        <f>(K22/(1-L22))*(1+$D$9)</f>
        <v/>
      </c>
      <c r="N22" s="378">
        <f>(M22*VLOOKUP($C$9,'Base Costs'!$A$32:$B$37,2,FALSE))</f>
        <v/>
      </c>
      <c r="O22" s="379">
        <f>M22-K22</f>
        <v/>
      </c>
      <c r="P22" s="1064" t="inlineStr">
        <is>
          <t xml:space="preserve">Add if Alarms requested for a GOT panel </t>
        </is>
      </c>
      <c r="U22" s="229" t="n"/>
      <c r="AA22" s="1070" t="n"/>
    </row>
    <row r="23" ht="15" customHeight="1" s="1085">
      <c r="A23" s="215" t="n">
        <v>289</v>
      </c>
      <c r="C23" s="270" t="n"/>
      <c r="D23" s="460" t="n"/>
      <c r="E23" s="448" t="n"/>
      <c r="F23" s="895" t="n"/>
      <c r="G23" s="895" t="n"/>
      <c r="H23" s="896" t="n"/>
      <c r="I23" s="31" t="n"/>
      <c r="J23" s="380" t="n"/>
      <c r="K23" s="378">
        <f>SUM(J23*E23)</f>
        <v/>
      </c>
      <c r="L23" s="392" t="n"/>
      <c r="M23" s="311">
        <f>(K23/(1-L23))*(1+$D$9)</f>
        <v/>
      </c>
      <c r="N23" s="378">
        <f>(M23*VLOOKUP($C$9,'Base Costs'!$A$32:$B$37,2,FALSE))</f>
        <v/>
      </c>
      <c r="O23" s="379">
        <f>M23-K23</f>
        <v/>
      </c>
      <c r="U23" s="229" t="n"/>
      <c r="AA23" s="1070" t="n"/>
    </row>
    <row r="24" ht="15" customHeight="1" s="1085">
      <c r="A24" s="215" t="n">
        <v>242</v>
      </c>
      <c r="C24" s="270" t="inlineStr">
        <is>
          <t xml:space="preserve">PS-160 EXTERNAL AERIAL </t>
        </is>
      </c>
      <c r="D24" s="460" t="inlineStr">
        <is>
          <t>EXTERNAL AERIAL BOX</t>
        </is>
      </c>
      <c r="E24" s="448" t="n"/>
      <c r="F24" s="895" t="n">
        <v>250</v>
      </c>
      <c r="G24" s="895" t="n">
        <v>175</v>
      </c>
      <c r="H24" s="896" t="n">
        <v>100</v>
      </c>
      <c r="I24" s="31" t="n"/>
      <c r="J24" s="380" t="n">
        <v>100.91</v>
      </c>
      <c r="K24" s="378">
        <f>SUM(J24*E24)</f>
        <v/>
      </c>
      <c r="L24" s="392" t="n">
        <v>0.35</v>
      </c>
      <c r="M24" s="311">
        <f>(K24/(1-L24))*(1+$D$9)</f>
        <v/>
      </c>
      <c r="N24" s="378">
        <f>(M24*VLOOKUP($C$9,'Base Costs'!$A$32:$B$37,2,FALSE))</f>
        <v/>
      </c>
      <c r="O24" s="379">
        <f>M24-K24</f>
        <v/>
      </c>
      <c r="U24" s="229" t="n"/>
      <c r="AA24" s="1070" t="n"/>
    </row>
    <row r="25" ht="15" customHeight="1" s="1085">
      <c r="A25" s="215" t="n">
        <v>220</v>
      </c>
      <c r="C25" s="855" t="inlineStr">
        <is>
          <t xml:space="preserve">PS-156 EDGE BOX REMOTE ROUTER (UV-GOT)  </t>
        </is>
      </c>
      <c r="D25" s="1066" t="inlineStr">
        <is>
          <t>EXTERNAL ROUTER</t>
        </is>
      </c>
      <c r="E25" s="448" t="n"/>
      <c r="F25" s="837" t="n">
        <v>250</v>
      </c>
      <c r="G25" s="895" t="n">
        <v>175</v>
      </c>
      <c r="H25" s="896" t="n">
        <v>100</v>
      </c>
      <c r="I25" s="31" t="n"/>
      <c r="J25" s="380" t="n">
        <v>484.58</v>
      </c>
      <c r="K25" s="378">
        <f>SUM(J25*E25)</f>
        <v/>
      </c>
      <c r="L25" s="392" t="n">
        <v>0.35</v>
      </c>
      <c r="M25" s="311">
        <f>(K25/(1-L25))*(1+$D$9)</f>
        <v/>
      </c>
      <c r="N25" s="378">
        <f>(M25*VLOOKUP($C$9,'Base Costs'!$A$32:$B$37,2,FALSE))</f>
        <v/>
      </c>
      <c r="O25" s="379">
        <f>M25-K25</f>
        <v/>
      </c>
      <c r="U25" s="229" t="n"/>
      <c r="AA25" s="1070" t="n"/>
    </row>
    <row r="26" ht="15" customHeight="1" s="1085">
      <c r="A26" s="215" t="n">
        <v>103</v>
      </c>
      <c r="C26" s="855" t="n"/>
      <c r="D26" s="460" t="n"/>
      <c r="E26" s="448" t="n"/>
      <c r="F26" s="837" t="n"/>
      <c r="G26" s="895" t="n"/>
      <c r="H26" s="896" t="n"/>
      <c r="I26" s="31" t="n"/>
      <c r="J26" s="380" t="n"/>
      <c r="K26" s="378">
        <f>SUM(J26*E26)</f>
        <v/>
      </c>
      <c r="L26" s="392" t="n"/>
      <c r="M26" s="311">
        <f>(K26/(1-L26))*(1+$D$9)</f>
        <v/>
      </c>
      <c r="N26" s="378">
        <f>(M26*VLOOKUP($C$9,'Base Costs'!$A$32:$B$37,2,FALSE))</f>
        <v/>
      </c>
      <c r="O26" s="379">
        <f>M26-K26</f>
        <v/>
      </c>
      <c r="U26" s="229" t="n"/>
      <c r="AA26" s="1070" t="n"/>
    </row>
    <row r="27" ht="15" customHeight="1" s="1085">
      <c r="A27" s="215" t="n">
        <v>103</v>
      </c>
      <c r="C27" s="855" t="inlineStr">
        <is>
          <t>CONNECTIVITY PS-153/152/154/155</t>
        </is>
      </c>
      <c r="D27" s="921" t="inlineStr">
        <is>
          <t xml:space="preserve"> NOT INCLUDED IN THE ABOVE</t>
        </is>
      </c>
      <c r="E27" s="448" t="n"/>
      <c r="F27" s="837" t="n"/>
      <c r="G27" s="895" t="n"/>
      <c r="H27" s="896" t="n"/>
      <c r="I27" s="31" t="n"/>
      <c r="J27" s="380" t="n">
        <v>522.38</v>
      </c>
      <c r="K27" s="378">
        <f>SUM(J27*E27)</f>
        <v/>
      </c>
      <c r="L27" s="392" t="n">
        <v>0.35</v>
      </c>
      <c r="M27" s="311">
        <f>(K27/(1-L27))*(1+$D$9)</f>
        <v/>
      </c>
      <c r="N27" s="378">
        <f>(M27*VLOOKUP($C$9,'Base Costs'!$A$32:$B$37,2,FALSE))</f>
        <v/>
      </c>
      <c r="O27" s="379">
        <f>M27-K27</f>
        <v/>
      </c>
      <c r="P27" s="990" t="inlineStr">
        <is>
          <t>EDGE UP2 Plus First Year Connectivity Fee from Group</t>
        </is>
      </c>
      <c r="U27" s="229" t="n"/>
      <c r="AA27" s="1070" t="n"/>
    </row>
    <row r="28" ht="15" customHeight="1" s="1085">
      <c r="C28" s="855" t="inlineStr">
        <is>
          <t>CONNECTIVITY  (UV-GOT)</t>
        </is>
      </c>
      <c r="D28" s="1067" t="inlineStr">
        <is>
          <t xml:space="preserve"> NOT INCLUDED IN THE ABOVE</t>
        </is>
      </c>
      <c r="E28" s="448" t="n"/>
      <c r="F28" s="895" t="n"/>
      <c r="G28" s="895" t="n"/>
      <c r="H28" s="896" t="n"/>
      <c r="I28" s="31" t="n"/>
      <c r="J28" s="380" t="n">
        <v>130</v>
      </c>
      <c r="K28" s="378">
        <f>SUM(J28*E28)</f>
        <v/>
      </c>
      <c r="L28" s="392" t="n">
        <v>0.35</v>
      </c>
      <c r="M28" s="311">
        <f>(K28/(1-L28))*(1+$D$9)</f>
        <v/>
      </c>
      <c r="N28" s="378">
        <f>(M28*VLOOKUP($C$9,'Base Costs'!$A$32:$B$37,2,FALSE))</f>
        <v/>
      </c>
      <c r="O28" s="379">
        <f>M28-K28</f>
        <v/>
      </c>
      <c r="P28" s="990" t="inlineStr">
        <is>
          <t>First Year Connectivity Fee from Group</t>
        </is>
      </c>
      <c r="U28" s="229" t="n"/>
      <c r="AA28" s="1070" t="n"/>
    </row>
    <row r="29" ht="15" customHeight="1" s="1085">
      <c r="A29" s="215" t="n">
        <v>285</v>
      </c>
      <c r="C29" s="855" t="n"/>
      <c r="D29" s="460" t="n"/>
      <c r="E29" s="448" t="n"/>
      <c r="F29" s="898" t="n"/>
      <c r="G29" s="898" t="n"/>
      <c r="H29" s="899" t="n"/>
      <c r="I29" s="31" t="n"/>
      <c r="J29" s="380" t="n"/>
      <c r="K29" s="378">
        <f>SUM(J29*E29)</f>
        <v/>
      </c>
      <c r="L29" s="392" t="n"/>
      <c r="M29" s="311">
        <f>(K29/(1-L29))*(1+$D$9)</f>
        <v/>
      </c>
      <c r="N29" s="378">
        <f>(M29*VLOOKUP($C$9,'Base Costs'!$A$32:$B$37,2,FALSE))</f>
        <v/>
      </c>
      <c r="O29" s="379">
        <f>M29-K29</f>
        <v/>
      </c>
      <c r="U29" s="229" t="n"/>
      <c r="AA29" s="1070" t="n"/>
    </row>
    <row r="30" ht="15" customHeight="1" s="1085">
      <c r="C30" s="855" t="n"/>
      <c r="D30" s="460" t="n"/>
      <c r="E30" s="448" t="n"/>
      <c r="F30" s="898" t="n"/>
      <c r="G30" s="898" t="n"/>
      <c r="H30" s="899" t="n"/>
      <c r="I30" s="31" t="n"/>
      <c r="J30" s="380" t="n"/>
      <c r="K30" s="378">
        <f>SUM(J30*E30)</f>
        <v/>
      </c>
      <c r="L30" s="392" t="n"/>
      <c r="M30" s="311">
        <f>(K30/(1-L30))*(1+$D$9)</f>
        <v/>
      </c>
      <c r="N30" s="378">
        <f>(M30*VLOOKUP($C$9,'Base Costs'!$A$32:$B$37,2,FALSE))</f>
        <v/>
      </c>
      <c r="O30" s="379">
        <f>M30-K30</f>
        <v/>
      </c>
      <c r="U30" s="229" t="n"/>
      <c r="AA30" s="1070" t="n"/>
    </row>
    <row r="31" ht="15" customHeight="1" s="1085">
      <c r="C31" s="269" t="n"/>
      <c r="D31" s="460" t="n"/>
      <c r="E31" s="448" t="n"/>
      <c r="F31" s="895" t="n"/>
      <c r="G31" s="895" t="n"/>
      <c r="H31" s="896" t="n"/>
      <c r="I31" s="31" t="n"/>
      <c r="J31" s="380" t="n">
        <v>0</v>
      </c>
      <c r="K31" s="378">
        <f>SUM(J31*E31)</f>
        <v/>
      </c>
      <c r="L31" s="392" t="n"/>
      <c r="M31" s="311">
        <f>(K31/(1-L31))*(1+$D$9)</f>
        <v/>
      </c>
      <c r="N31" s="378">
        <f>(M31*VLOOKUP($C$9,'Base Costs'!$A$32:$B$37,2,FALSE))</f>
        <v/>
      </c>
      <c r="O31" s="379">
        <f>M31-K31</f>
        <v/>
      </c>
      <c r="U31" s="229" t="n"/>
      <c r="AA31" s="1070" t="n"/>
    </row>
    <row r="32" ht="15" customHeight="1" s="1085">
      <c r="A32" s="215" t="n">
        <v>286</v>
      </c>
      <c r="C32" s="270" t="n"/>
      <c r="D32" s="460" t="n"/>
      <c r="E32" s="448" t="n"/>
      <c r="F32" s="895" t="n"/>
      <c r="G32" s="895" t="n"/>
      <c r="H32" s="896" t="n"/>
      <c r="I32" s="31" t="n"/>
      <c r="J32" s="380" t="n">
        <v>0</v>
      </c>
      <c r="K32" s="378">
        <f>SUM(J32*E32)</f>
        <v/>
      </c>
      <c r="L32" s="392" t="n"/>
      <c r="M32" s="311">
        <f>(K32/(1-L32))*(1+$D$9)</f>
        <v/>
      </c>
      <c r="N32" s="378">
        <f>(M32*VLOOKUP($C$9,'Base Costs'!$A$32:$B$37,2,FALSE))</f>
        <v/>
      </c>
      <c r="O32" s="379">
        <f>M32-K32</f>
        <v/>
      </c>
      <c r="U32" s="229" t="n"/>
      <c r="AA32" s="1070" t="n"/>
    </row>
    <row r="33" ht="15" customHeight="1" s="1085">
      <c r="C33" s="269" t="n"/>
      <c r="D33" s="460" t="n"/>
      <c r="E33" s="448" t="n"/>
      <c r="F33" s="462" t="n"/>
      <c r="G33" s="32" t="n"/>
      <c r="H33" s="30" t="n"/>
      <c r="I33" s="31" t="n"/>
      <c r="J33" s="933" t="n"/>
      <c r="K33" s="378">
        <f>SUM(J33*E33)</f>
        <v/>
      </c>
      <c r="L33" s="392" t="n"/>
      <c r="M33" s="311">
        <f>(K33/(1-L33))*(1+$D$9)</f>
        <v/>
      </c>
      <c r="N33" s="378">
        <f>(M33*VLOOKUP($C$9,'Base Costs'!$A$32:$B$37,2,FALSE))</f>
        <v/>
      </c>
      <c r="O33" s="379">
        <f>M33-K33</f>
        <v/>
      </c>
      <c r="U33" s="229" t="n"/>
      <c r="AA33" s="1070" t="n"/>
    </row>
    <row r="34" ht="15" customHeight="1" s="1085">
      <c r="C34" s="855" t="n"/>
      <c r="D34" s="460" t="n"/>
      <c r="E34" s="448" t="n"/>
      <c r="F34" s="462" t="n"/>
      <c r="G34" s="32" t="n"/>
      <c r="H34" s="30" t="n"/>
      <c r="I34" s="31" t="n"/>
      <c r="J34" s="933" t="n"/>
      <c r="K34" s="378">
        <f>SUM(J34*E34)</f>
        <v/>
      </c>
      <c r="L34" s="392" t="n"/>
      <c r="M34" s="311">
        <f>(K34/(1-L34))*(1+$D$9)</f>
        <v/>
      </c>
      <c r="N34" s="378">
        <f>(M34*VLOOKUP($C$9,'Base Costs'!$A$32:$B$37,2,FALSE))</f>
        <v/>
      </c>
      <c r="O34" s="379">
        <f>M34-K34</f>
        <v/>
      </c>
      <c r="U34" s="229" t="n"/>
      <c r="AA34" s="1070" t="n"/>
    </row>
    <row r="35" ht="15" customHeight="1" s="1085">
      <c r="H35" s="34" t="inlineStr">
        <is>
          <t>SECTION UNDER 1000mm</t>
        </is>
      </c>
    </row>
    <row r="36" ht="15" customHeight="1" s="1085">
      <c r="C36" s="239" t="n"/>
      <c r="D36" s="239" t="n"/>
      <c r="E36" s="239" t="n"/>
      <c r="F36" s="239" t="n"/>
      <c r="G36" s="239" t="n"/>
      <c r="H36" s="239" t="n"/>
      <c r="I36" s="9" t="n"/>
      <c r="J36" s="11" t="n"/>
      <c r="K36" s="353" t="n"/>
      <c r="L36" s="240" t="n"/>
      <c r="M36" s="353" t="n"/>
      <c r="N36" s="353" t="n"/>
      <c r="U36" s="229" t="n"/>
      <c r="AA36" s="1070" t="n"/>
    </row>
    <row r="37" ht="15" customHeight="1" s="1085">
      <c r="C37" s="1089" t="inlineStr">
        <is>
          <t xml:space="preserve">DELIVERY &amp; INSTALLATION </t>
        </is>
      </c>
      <c r="I37" s="236" t="n"/>
      <c r="J37" s="330" t="n"/>
      <c r="K37" s="154">
        <f>SUBTOTAL(9,K38:K48)</f>
        <v/>
      </c>
      <c r="L37" s="15">
        <f>IF(K38=0,"-",O37/M37)</f>
        <v/>
      </c>
      <c r="M37" s="154">
        <f>SUBTOTAL(9,M38:M48)</f>
        <v/>
      </c>
      <c r="N37" s="464">
        <f>SUBTOTAL(9,N38:N48)</f>
        <v/>
      </c>
      <c r="O37" s="154">
        <f>SUBTOTAL(9,O39:O48)</f>
        <v/>
      </c>
      <c r="U37" s="229" t="n"/>
    </row>
    <row r="38" ht="15" customHeight="1" s="1085">
      <c r="A38" s="215" t="n">
        <v>222</v>
      </c>
      <c r="C38" s="269" t="inlineStr">
        <is>
          <t xml:space="preserve">DELIVERIES </t>
        </is>
      </c>
      <c r="D38" s="242" t="n"/>
      <c r="E38" s="309" t="inlineStr">
        <is>
          <t>SELECT LOCATION…</t>
        </is>
      </c>
      <c r="F38" s="28" t="n"/>
      <c r="G38" s="30" t="n"/>
      <c r="H38" s="28" t="n"/>
      <c r="I38" s="28" t="n"/>
      <c r="J38" s="385">
        <f>VLOOKUP(E38,'Base Costs'!E4:G213,2,FALSE)</f>
        <v/>
      </c>
      <c r="K38" s="378">
        <f>D38*J38</f>
        <v/>
      </c>
      <c r="L38" s="392" t="n">
        <v>0.33</v>
      </c>
      <c r="M38" s="311">
        <f>(K38/(1-L38))*(1+$D$9)</f>
        <v/>
      </c>
      <c r="N38" s="378">
        <f>(M38*VLOOKUP($C$9,'Base Costs'!$A$32:$B$37,2,FALSE))</f>
        <v/>
      </c>
      <c r="O38" s="379">
        <f>M38-K38</f>
        <v/>
      </c>
      <c r="U38" s="229" t="n"/>
    </row>
    <row r="39" ht="15" customHeight="1" s="1085">
      <c r="A39" s="215" t="n">
        <v>257</v>
      </c>
      <c r="C39" s="269" t="inlineStr">
        <is>
          <t>PLANT HIRE</t>
        </is>
      </c>
      <c r="D39" s="242" t="n"/>
      <c r="E39" s="309" t="inlineStr">
        <is>
          <t>PLANT SELECTION (weekly)</t>
        </is>
      </c>
      <c r="F39" s="28" t="n"/>
      <c r="G39" s="28" t="n"/>
      <c r="H39" s="28" t="n"/>
      <c r="I39" s="28" t="n"/>
      <c r="J39" s="385">
        <f>VLOOKUP(E39,'Base Costs'!$A$4:$B$16,2,FALSE)</f>
        <v/>
      </c>
      <c r="K39" s="378">
        <f>D39*J39</f>
        <v/>
      </c>
      <c r="L39" s="392" t="n">
        <v>0.33</v>
      </c>
      <c r="M39" s="311">
        <f>(K39/(1-L39))*(1+$D$9)</f>
        <v/>
      </c>
      <c r="N39" s="378">
        <f>(M39*VLOOKUP($C$9,'Base Costs'!$A$32:$B$37,2,FALSE))</f>
        <v/>
      </c>
      <c r="O39" s="379">
        <f>M39-K39</f>
        <v/>
      </c>
      <c r="U39" s="229" t="n"/>
    </row>
    <row r="40" ht="15" customHeight="1" s="1085">
      <c r="A40" s="215" t="n">
        <v>257</v>
      </c>
      <c r="C40" s="269" t="inlineStr">
        <is>
          <t>PLANT HIRE</t>
        </is>
      </c>
      <c r="D40" s="242" t="n"/>
      <c r="E40" s="309" t="inlineStr">
        <is>
          <t>PLANT SELECTION (weekly)</t>
        </is>
      </c>
      <c r="F40" s="28" t="n"/>
      <c r="G40" s="28" t="n"/>
      <c r="H40" s="28" t="n"/>
      <c r="I40" s="28" t="n"/>
      <c r="J40" s="385">
        <f>VLOOKUP(E40,'Base Costs'!$A$4:$B$16,2,FALSE)</f>
        <v/>
      </c>
      <c r="K40" s="378">
        <f>D40*J40</f>
        <v/>
      </c>
      <c r="L40" s="392" t="n">
        <v>0.33</v>
      </c>
      <c r="M40" s="311">
        <f>(K40/(1-L40))*(1+$D$9)</f>
        <v/>
      </c>
      <c r="N40" s="378">
        <f>(M40*VLOOKUP($C$9,'Base Costs'!$A$32:$B$37,2,FALSE))</f>
        <v/>
      </c>
      <c r="O40" s="379">
        <f>M40-K40</f>
        <v/>
      </c>
      <c r="U40" s="229" t="n"/>
    </row>
    <row r="41" ht="15" customHeight="1" s="1085">
      <c r="A41" s="215" t="n">
        <v>400</v>
      </c>
      <c r="C41" s="269" t="inlineStr">
        <is>
          <t>STRIP OUT</t>
        </is>
      </c>
      <c r="D41" s="242" t="n"/>
      <c r="E41" s="28" t="inlineStr">
        <is>
          <t>PER DAY</t>
        </is>
      </c>
      <c r="F41" s="28" t="n"/>
      <c r="G41" s="28" t="n"/>
      <c r="H41" s="28" t="n"/>
      <c r="I41" s="28" t="n"/>
      <c r="J41" s="385" t="n">
        <v>450</v>
      </c>
      <c r="K41" s="378">
        <f>D41*J41</f>
        <v/>
      </c>
      <c r="L41" s="392" t="n">
        <v>0.33</v>
      </c>
      <c r="M41" s="311">
        <f>(K41/(1-L41))*(1+$D$9)</f>
        <v/>
      </c>
      <c r="N41" s="378">
        <f>(M41*VLOOKUP($C$9,'Base Costs'!$A$32:$B$37,2,FALSE))</f>
        <v/>
      </c>
      <c r="O41" s="379">
        <f>M41-K41</f>
        <v/>
      </c>
      <c r="U41" s="229" t="n"/>
    </row>
    <row r="42" ht="15" customHeight="1" s="1085">
      <c r="A42" s="215" t="n">
        <v>102</v>
      </c>
      <c r="C42" s="269" t="inlineStr">
        <is>
          <t xml:space="preserve">CONSUMABLES </t>
        </is>
      </c>
      <c r="D42" s="242" t="n">
        <v>1</v>
      </c>
      <c r="E42" s="28" t="inlineStr">
        <is>
          <t>ON SITE FIXINGS</t>
        </is>
      </c>
      <c r="F42" s="28" t="n"/>
      <c r="G42" s="28" t="n"/>
      <c r="H42" s="28" t="n"/>
      <c r="I42" s="28" t="n"/>
      <c r="J42" s="385" t="n">
        <v>15</v>
      </c>
      <c r="K42" s="378">
        <f>D42*J42</f>
        <v/>
      </c>
      <c r="L42" s="392" t="n">
        <v>0.33</v>
      </c>
      <c r="M42" s="311">
        <f>(K42/(1-L42))*(1+$D$9)</f>
        <v/>
      </c>
      <c r="N42" s="378">
        <f>(M42*VLOOKUP($C$9,'Base Costs'!$A$32:$B$37,2,FALSE))</f>
        <v/>
      </c>
      <c r="O42" s="379">
        <f>M42-K42</f>
        <v/>
      </c>
      <c r="U42" s="229" t="n"/>
    </row>
    <row r="43" ht="15" customHeight="1" s="1085">
      <c r="A43" s="215" t="n">
        <v>400</v>
      </c>
      <c r="C43" s="269" t="inlineStr">
        <is>
          <t>INSTALLATION NORMAL HOURS</t>
        </is>
      </c>
      <c r="D43" s="242" t="n">
        <v>1</v>
      </c>
      <c r="E43" s="28" t="inlineStr">
        <is>
          <t>PER BOX</t>
        </is>
      </c>
      <c r="F43" s="28" t="n"/>
      <c r="G43" s="28" t="n"/>
      <c r="H43" s="28" t="n"/>
      <c r="I43" s="28" t="n"/>
      <c r="J43" s="385" t="n">
        <v>152.5</v>
      </c>
      <c r="K43" s="378">
        <f>D43*J43</f>
        <v/>
      </c>
      <c r="L43" s="392" t="n">
        <v>0.4</v>
      </c>
      <c r="M43" s="311">
        <f>(K43/(1-L43))*(1+$D$9)</f>
        <v/>
      </c>
      <c r="N43" s="378">
        <f>(M43*VLOOKUP($C$9,'Base Costs'!$A$32:$B$37,2,FALSE))</f>
        <v/>
      </c>
      <c r="O43" s="379">
        <f>M43-K43</f>
        <v/>
      </c>
      <c r="U43" s="229" t="n"/>
    </row>
    <row r="44" ht="15" customHeight="1" s="1085">
      <c r="A44" s="215" t="n">
        <v>400</v>
      </c>
      <c r="C44" s="269" t="inlineStr">
        <is>
          <t>INSTALLATION AFTER HOURS</t>
        </is>
      </c>
      <c r="D44" s="242" t="n"/>
      <c r="E44" s="28" t="inlineStr">
        <is>
          <t>PER BOX</t>
        </is>
      </c>
      <c r="F44" s="28" t="n"/>
      <c r="G44" s="28" t="n"/>
      <c r="H44" s="28" t="n"/>
      <c r="I44" s="28" t="n"/>
      <c r="J44" s="385" t="n">
        <v>861</v>
      </c>
      <c r="K44" s="378">
        <f>D44*J44</f>
        <v/>
      </c>
      <c r="L44" s="392" t="n">
        <v>0.4</v>
      </c>
      <c r="M44" s="311">
        <f>(K44/(1-L44))*(1+$D$9)</f>
        <v/>
      </c>
      <c r="N44" s="378">
        <f>(M44*VLOOKUP($C$9,'Base Costs'!$A$32:$B$37,2,FALSE))</f>
        <v/>
      </c>
      <c r="O44" s="379">
        <f>M44-K44</f>
        <v/>
      </c>
      <c r="U44" s="229" t="n"/>
    </row>
    <row r="45" ht="15" customHeight="1" s="1085">
      <c r="A45" s="215" t="n">
        <v>253</v>
      </c>
      <c r="C45" s="269" t="inlineStr">
        <is>
          <t>TRAVEL EXPENSES</t>
        </is>
      </c>
      <c r="D45" s="242" t="n"/>
      <c r="E45" s="28" t="inlineStr">
        <is>
          <t>PER NIGHT PER TEAM</t>
        </is>
      </c>
      <c r="F45" s="28" t="n"/>
      <c r="G45" s="28" t="n"/>
      <c r="H45" s="28" t="n"/>
      <c r="I45" s="28" t="n"/>
      <c r="J45" s="385" t="n"/>
      <c r="K45" s="378">
        <f>D45*J45</f>
        <v/>
      </c>
      <c r="L45" s="392" t="n">
        <v>0.33</v>
      </c>
      <c r="M45" s="311">
        <f>(K45/(1-L45))*(1+$D$9)</f>
        <v/>
      </c>
      <c r="N45" s="378">
        <f>(M45*VLOOKUP($C$9,'Base Costs'!$A$32:$B$37,2,FALSE))</f>
        <v/>
      </c>
      <c r="O45" s="379">
        <f>M45-K45</f>
        <v/>
      </c>
      <c r="U45" s="229" t="n"/>
    </row>
    <row r="46" ht="15" customHeight="1" s="1085">
      <c r="A46" s="215" t="n">
        <v>253</v>
      </c>
      <c r="C46" s="269" t="inlineStr">
        <is>
          <t>OVERNIGHT</t>
        </is>
      </c>
      <c r="D46" s="242" t="n"/>
      <c r="E46" s="28" t="inlineStr">
        <is>
          <t>PER NIGHT PER TEAM</t>
        </is>
      </c>
      <c r="F46" s="28" t="n"/>
      <c r="G46" s="28" t="n"/>
      <c r="H46" s="28" t="n"/>
      <c r="I46" s="28" t="n"/>
      <c r="J46" s="385" t="n">
        <v>170</v>
      </c>
      <c r="K46" s="378">
        <f>D46*J46</f>
        <v/>
      </c>
      <c r="L46" s="392" t="n">
        <v>0.33</v>
      </c>
      <c r="M46" s="311">
        <f>(K46/(1-L46))*(1+$D$9)</f>
        <v/>
      </c>
      <c r="N46" s="378">
        <f>(M46*VLOOKUP($C$9,'Base Costs'!$A$32:$B$37,2,FALSE))</f>
        <v/>
      </c>
      <c r="O46" s="379">
        <f>M46-K46</f>
        <v/>
      </c>
      <c r="U46" s="229" t="n"/>
    </row>
    <row r="47" ht="15" customHeight="1" s="1085">
      <c r="A47" s="215" t="n">
        <v>280</v>
      </c>
      <c r="C47" s="269" t="inlineStr">
        <is>
          <t>TEST &amp; COMMISSION</t>
        </is>
      </c>
      <c r="D47" s="242" t="n"/>
      <c r="E47" s="28" t="inlineStr">
        <is>
          <t>ONE ENGINEER</t>
        </is>
      </c>
      <c r="F47" s="28" t="n"/>
      <c r="G47" s="28" t="n"/>
      <c r="H47" s="28" t="n"/>
      <c r="I47" s="28" t="n"/>
      <c r="J47" s="385" t="n">
        <v>604</v>
      </c>
      <c r="K47" s="378">
        <f>D47*J47</f>
        <v/>
      </c>
      <c r="L47" s="392" t="n">
        <v>0.33</v>
      </c>
      <c r="M47" s="311">
        <f>(K47/(1-L47))*(1+$D$9)</f>
        <v/>
      </c>
      <c r="N47" s="378">
        <f>(M47*VLOOKUP($C$9,'Base Costs'!$A$32:$B$37,2,FALSE))</f>
        <v/>
      </c>
      <c r="O47" s="379">
        <f>M47-K47</f>
        <v/>
      </c>
      <c r="U47" s="229" t="n"/>
    </row>
    <row r="48" ht="15" customHeight="1" s="1085">
      <c r="A48" s="215" t="n">
        <v>284</v>
      </c>
      <c r="C48" s="269" t="n"/>
      <c r="D48" s="242" t="n"/>
      <c r="E48" s="28" t="inlineStr">
        <is>
          <t>OPTIONAL ITEM</t>
        </is>
      </c>
      <c r="F48" s="28" t="n"/>
      <c r="G48" s="28" t="n"/>
      <c r="H48" s="28" t="n"/>
      <c r="I48" s="28" t="n"/>
      <c r="J48" s="385" t="n">
        <v>200</v>
      </c>
      <c r="K48" s="378">
        <f>D48*J48</f>
        <v/>
      </c>
      <c r="L48" s="392" t="n">
        <v>0.33</v>
      </c>
      <c r="M48" s="311">
        <f>(K48/(1-L48))*(1+$D$9)</f>
        <v/>
      </c>
      <c r="N48" s="378">
        <f>(M48*VLOOKUP($C$9,'Base Costs'!$A$32:$B$37,2,FALSE))</f>
        <v/>
      </c>
      <c r="O48" s="379">
        <f>M48-K48</f>
        <v/>
      </c>
      <c r="U48" s="229" t="n"/>
    </row>
    <row r="49" ht="15" customHeight="1" s="1085">
      <c r="C49" s="239" t="n"/>
      <c r="D49" s="239" t="n"/>
      <c r="E49" s="239" t="n"/>
      <c r="F49" s="239" t="n"/>
      <c r="G49" s="239" t="n"/>
      <c r="H49" s="243" t="n"/>
      <c r="I49" s="244" t="n"/>
      <c r="J49" s="354" t="n"/>
      <c r="K49" s="353" t="n"/>
      <c r="L49" s="355" t="n"/>
      <c r="M49" s="353" t="n"/>
      <c r="N49" s="353" t="n"/>
      <c r="U49" s="229" t="n"/>
    </row>
    <row r="50" ht="15" customHeight="1" s="1085">
      <c r="C50" s="197" t="inlineStr">
        <is>
          <t>Office Use Only</t>
        </is>
      </c>
      <c r="D50" s="198" t="n"/>
      <c r="E50" s="199" t="n"/>
      <c r="F50" s="199" t="n"/>
      <c r="G50" s="198" t="n"/>
      <c r="H50" s="200" t="n"/>
      <c r="I50" s="198" t="n"/>
      <c r="J50" s="198" t="n"/>
      <c r="K50" s="198" t="n"/>
      <c r="L50" s="198" t="n"/>
      <c r="M50" s="198" t="n"/>
      <c r="N50" s="198" t="n"/>
      <c r="O50" s="198" t="n"/>
      <c r="U50" s="229" t="n"/>
    </row>
    <row r="51" ht="15" customHeight="1" s="1085">
      <c r="C51" s="202" t="n"/>
      <c r="D51" s="203" t="n"/>
      <c r="E51" s="202" t="n"/>
      <c r="F51" s="204" t="n"/>
      <c r="G51" s="202" t="n"/>
      <c r="H51" s="209" t="n"/>
      <c r="I51" s="203" t="n"/>
      <c r="J51" s="203" t="n"/>
      <c r="K51" s="205" t="n"/>
      <c r="L51" s="205" t="n"/>
      <c r="M51" s="205" t="n"/>
      <c r="N51" s="205" t="n"/>
      <c r="O51" s="205" t="n"/>
      <c r="U51" s="229" t="n"/>
    </row>
    <row r="52" ht="15" customHeight="1" s="1085">
      <c r="C52" s="202" t="n"/>
      <c r="D52" s="203" t="n"/>
      <c r="E52" s="202" t="n"/>
      <c r="F52" s="204" t="n"/>
      <c r="G52" s="202" t="n"/>
      <c r="H52" s="209" t="n"/>
      <c r="I52" s="203" t="n"/>
      <c r="J52" s="203" t="n"/>
      <c r="K52" s="205" t="n"/>
      <c r="L52" s="205" t="n"/>
      <c r="M52" s="205" t="n"/>
      <c r="N52" s="205" t="n"/>
      <c r="O52" s="205" t="n"/>
      <c r="U52" s="229" t="n"/>
    </row>
    <row r="53" ht="15" customHeight="1" s="1085">
      <c r="C53" s="202" t="n"/>
      <c r="D53" s="203" t="n"/>
      <c r="E53" s="202" t="n"/>
      <c r="F53" s="204" t="n"/>
      <c r="G53" s="202" t="n"/>
      <c r="H53" s="209" t="n"/>
      <c r="I53" s="203" t="n"/>
      <c r="J53" s="203" t="n"/>
      <c r="K53" s="209" t="n"/>
      <c r="L53" s="209" t="n"/>
      <c r="M53" s="209" t="n"/>
      <c r="N53" s="209" t="n"/>
      <c r="O53" s="209" t="n"/>
      <c r="U53" s="229" t="n"/>
    </row>
    <row r="54" ht="15" customHeight="1" s="1085">
      <c r="C54" s="202" t="n"/>
      <c r="D54" s="203" t="n"/>
      <c r="E54" s="202" t="n"/>
      <c r="F54" s="204" t="n"/>
      <c r="G54" s="202" t="n"/>
      <c r="H54" s="209" t="n"/>
      <c r="I54" s="206" t="n"/>
      <c r="J54" s="203" t="n"/>
      <c r="K54" s="209" t="n"/>
      <c r="L54" s="209" t="n"/>
      <c r="M54" s="209" t="n"/>
      <c r="N54" s="209" t="n"/>
      <c r="O54" s="209" t="n"/>
      <c r="U54" s="229" t="n"/>
    </row>
    <row r="55" ht="15" customHeight="1" s="1085">
      <c r="C55" s="202" t="n"/>
      <c r="D55" s="203" t="n"/>
      <c r="E55" s="202" t="n"/>
      <c r="F55" s="202" t="n"/>
      <c r="G55" s="202" t="n"/>
      <c r="H55" s="207" t="n"/>
      <c r="I55" s="209" t="n"/>
      <c r="J55" s="203" t="n"/>
      <c r="K55" s="205" t="n"/>
      <c r="L55" s="205" t="n"/>
      <c r="M55" s="205" t="n"/>
      <c r="N55" s="205" t="n"/>
      <c r="O55" s="205" t="n"/>
      <c r="U55" s="229" t="n"/>
    </row>
    <row r="56" ht="15" customHeight="1" s="1085">
      <c r="C56" s="202" t="n"/>
      <c r="D56" s="202" t="n"/>
      <c r="E56" s="202" t="n"/>
      <c r="F56" s="202" t="n"/>
      <c r="G56" s="202" t="n"/>
      <c r="H56" s="207" t="n"/>
      <c r="I56" s="209" t="n"/>
      <c r="J56" s="203" t="n"/>
      <c r="K56" s="205" t="n"/>
      <c r="L56" s="205" t="n"/>
      <c r="M56" s="205" t="n"/>
      <c r="N56" s="205" t="n"/>
      <c r="O56" s="205" t="n"/>
      <c r="U56" s="229" t="n"/>
    </row>
    <row r="57" ht="15" customHeight="1" s="1085">
      <c r="J57" s="228" t="n"/>
      <c r="M57" s="228" t="n"/>
      <c r="O57" s="228" t="n"/>
      <c r="U57" s="229" t="n"/>
    </row>
    <row r="58" ht="15" customHeight="1" s="1085">
      <c r="J58" s="228" t="n"/>
      <c r="M58" s="228" t="n"/>
      <c r="O58" s="228" t="n"/>
      <c r="U58" s="229" t="n"/>
    </row>
    <row r="59" ht="15" customHeight="1" s="1085">
      <c r="H59" s="219" t="n"/>
      <c r="U59" s="229" t="n"/>
    </row>
    <row r="60" ht="15" customHeight="1" s="1085">
      <c r="H60" s="219" t="n"/>
      <c r="U60" s="229" t="n"/>
    </row>
    <row r="61" ht="15" customHeight="1" s="1085">
      <c r="H61" s="219" t="n"/>
      <c r="U61" s="229" t="n"/>
    </row>
    <row r="62" ht="15" customHeight="1" s="1085">
      <c r="H62" s="219" t="n"/>
      <c r="U62" s="229" t="n"/>
    </row>
    <row r="63" ht="15" customHeight="1" s="1085">
      <c r="H63" s="219" t="n"/>
      <c r="U63" s="229" t="n"/>
    </row>
    <row r="64" ht="15" customHeight="1" s="1085">
      <c r="H64" s="219" t="n"/>
      <c r="U64" s="229" t="n"/>
    </row>
    <row r="65" ht="15" customHeight="1" s="1085">
      <c r="H65" s="219" t="n"/>
      <c r="U65" s="229" t="n"/>
    </row>
    <row r="66" ht="15" customHeight="1" s="1085">
      <c r="H66" s="219" t="n"/>
      <c r="U66" s="229" t="n"/>
    </row>
    <row r="67" ht="15" customHeight="1" s="1085">
      <c r="H67" s="219" t="n"/>
      <c r="U67" s="229" t="n"/>
    </row>
    <row r="68" ht="15" customHeight="1" s="1085">
      <c r="C68" s="245" t="n"/>
      <c r="D68" s="245" t="n"/>
      <c r="E68" s="245" t="n"/>
      <c r="F68" s="245" t="n"/>
      <c r="G68" s="245" t="n"/>
      <c r="H68" s="245" t="n"/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3" ht="15" customHeight="1" s="1085">
      <c r="U103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2" ht="15" customHeight="1" s="1085">
      <c r="U112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1" ht="15" customHeight="1" s="1085">
      <c r="U121" s="229" t="n"/>
    </row>
    <row r="122" ht="15" customHeight="1" s="1085">
      <c r="U122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  <row r="142" ht="15" customHeight="1" s="1085">
      <c r="U142" s="229" t="n"/>
    </row>
    <row r="143" ht="15" customHeight="1" s="1085">
      <c r="U143" s="229" t="n"/>
    </row>
    <row r="144" ht="15" customHeight="1" s="1085">
      <c r="U144" s="229" t="n"/>
    </row>
    <row r="145" ht="15" customHeight="1" s="1085">
      <c r="U145" s="229" t="n"/>
    </row>
    <row r="146" ht="15" customHeight="1" s="1085">
      <c r="U146" s="229" t="n"/>
    </row>
    <row r="147" ht="15" customHeight="1" s="1085">
      <c r="U147" s="229" t="n"/>
    </row>
    <row r="148" ht="15" customHeight="1" s="1085">
      <c r="U148" s="229" t="n"/>
    </row>
    <row r="149" ht="15" customHeight="1" s="1085">
      <c r="U149" s="229" t="n"/>
    </row>
    <row r="150" ht="15" customHeight="1" s="1085">
      <c r="U150" s="229" t="n"/>
    </row>
    <row r="151" ht="15" customHeight="1" s="1085">
      <c r="U151" s="229" t="n"/>
    </row>
    <row r="152" ht="15" customHeight="1" s="1085">
      <c r="U152" s="229" t="n"/>
    </row>
    <row r="153" ht="15" customHeight="1" s="1085">
      <c r="U153" s="229" t="n"/>
    </row>
    <row r="154" ht="15" customHeight="1" s="1085">
      <c r="U154" s="229" t="n"/>
    </row>
    <row r="155" ht="15" customHeight="1" s="1085">
      <c r="U155" s="229" t="n"/>
    </row>
    <row r="156" ht="15" customHeight="1" s="1085">
      <c r="U156" s="229" t="n"/>
    </row>
    <row r="157" ht="15" customHeight="1" s="1085">
      <c r="U157" s="229" t="n"/>
    </row>
    <row r="158" ht="15" customHeight="1" s="1085">
      <c r="U158" s="229" t="n"/>
    </row>
    <row r="159" ht="15" customHeight="1" s="1085">
      <c r="U159" s="229" t="n"/>
    </row>
    <row r="160" ht="15" customHeight="1" s="1085">
      <c r="U160" s="229" t="n"/>
    </row>
    <row r="161" ht="15" customHeight="1" s="1085">
      <c r="U161" s="229" t="n"/>
    </row>
  </sheetData>
  <mergeCells count="9">
    <mergeCell ref="P7:R7"/>
    <mergeCell ref="D7:E7"/>
    <mergeCell ref="C1:D1"/>
    <mergeCell ref="H5:J5"/>
    <mergeCell ref="C37:H37"/>
    <mergeCell ref="D5:E5"/>
    <mergeCell ref="H3:J3"/>
    <mergeCell ref="D3:E3"/>
    <mergeCell ref="H7:J7"/>
  </mergeCells>
  <conditionalFormatting sqref="C9">
    <cfRule type="containsText" priority="35" operator="containsText" dxfId="680" text="SELECT">
      <formula>NOT(ISERROR(SEARCH("SELECT",C9)))</formula>
    </cfRule>
    <cfRule type="expression" priority="36" dxfId="680">
      <formula>C9="CURRENCY"</formula>
    </cfRule>
  </conditionalFormatting>
  <conditionalFormatting sqref="C14:C34">
    <cfRule type="expression" priority="1" dxfId="633">
      <formula>$J14&gt;0</formula>
    </cfRule>
  </conditionalFormatting>
  <conditionalFormatting sqref="C38:C48">
    <cfRule type="expression" priority="12" dxfId="633">
      <formula>$D38&gt;0</formula>
    </cfRule>
  </conditionalFormatting>
  <conditionalFormatting sqref="D38:D39 D41:D48">
    <cfRule type="cellIs" priority="37" operator="lessThan" dxfId="554">
      <formula>1</formula>
    </cfRule>
  </conditionalFormatting>
  <conditionalFormatting sqref="D40">
    <cfRule type="cellIs" priority="32" operator="lessThan" dxfId="164">
      <formula>1</formula>
    </cfRule>
  </conditionalFormatting>
  <conditionalFormatting sqref="D9:E9">
    <cfRule type="cellIs" priority="33" operator="lessThan" dxfId="207">
      <formula>0</formula>
    </cfRule>
    <cfRule type="cellIs" priority="34" operator="greaterThan" dxfId="552">
      <formula>0</formula>
    </cfRule>
  </conditionalFormatting>
  <conditionalFormatting sqref="F12">
    <cfRule type="expression" priority="42" dxfId="386">
      <formula>AND((ISNUMBER(SEARCH("I-MUAP",$E$14))),F12&lt;2500)</formula>
    </cfRule>
    <cfRule type="expression" priority="43" dxfId="387">
      <formula>ISNUMBER(SEARCH("I-MUAP",$E$14))</formula>
    </cfRule>
    <cfRule type="cellIs" priority="44" operator="greaterThan" dxfId="204">
      <formula>2000</formula>
    </cfRule>
  </conditionalFormatting>
  <conditionalFormatting sqref="F12:G12">
    <cfRule type="cellIs" priority="38" operator="lessThan" dxfId="204">
      <formula>1000</formula>
    </cfRule>
  </conditionalFormatting>
  <conditionalFormatting sqref="F14:G28">
    <cfRule type="cellIs" priority="5" operator="lessThan" dxfId="164">
      <formula>1000</formula>
    </cfRule>
  </conditionalFormatting>
  <conditionalFormatting sqref="F31:G32">
    <cfRule type="cellIs" priority="2" operator="lessThan" dxfId="164">
      <formula>1000</formula>
    </cfRule>
  </conditionalFormatting>
  <conditionalFormatting sqref="G12">
    <cfRule type="cellIs" priority="39" operator="greaterThan" dxfId="204">
      <formula>3001</formula>
    </cfRule>
  </conditionalFormatting>
  <conditionalFormatting sqref="H11">
    <cfRule type="expression" priority="41" dxfId="176">
      <formula>((G14-50)/I14)&lt;950</formula>
    </cfRule>
  </conditionalFormatting>
  <conditionalFormatting sqref="H12">
    <cfRule type="expression" priority="40" dxfId="175">
      <formula>((G14-50)/I14)&lt;950</formula>
    </cfRule>
  </conditionalFormatting>
  <conditionalFormatting sqref="H14:H28">
    <cfRule type="cellIs" priority="6" operator="lessThan" dxfId="164">
      <formula>400</formula>
    </cfRule>
  </conditionalFormatting>
  <conditionalFormatting sqref="H31:H32">
    <cfRule type="cellIs" priority="3" operator="lessThan" dxfId="164">
      <formula>400</formula>
    </cfRule>
  </conditionalFormatting>
  <conditionalFormatting sqref="H35">
    <cfRule type="expression" priority="49" dxfId="176">
      <formula>((#REF!-50)/#REF!)&lt;950</formula>
    </cfRule>
  </conditionalFormatting>
  <conditionalFormatting sqref="J14:J32">
    <cfRule type="cellIs" priority="17" operator="greaterThan" dxfId="153">
      <formula>0</formula>
    </cfRule>
  </conditionalFormatting>
  <conditionalFormatting sqref="J38:J48">
    <cfRule type="expression" priority="25" dxfId="153">
      <formula>D38&gt;0</formula>
    </cfRule>
  </conditionalFormatting>
  <conditionalFormatting sqref="J50:J56">
    <cfRule type="expression" priority="30" dxfId="2">
      <formula>#REF!="EURO"</formula>
    </cfRule>
  </conditionalFormatting>
  <conditionalFormatting sqref="K14:K34">
    <cfRule type="cellIs" priority="4" operator="greaterThan" dxfId="141">
      <formula>0</formula>
    </cfRule>
  </conditionalFormatting>
  <conditionalFormatting sqref="K38:K48">
    <cfRule type="cellIs" priority="31" operator="greaterThan" dxfId="141">
      <formula>0</formula>
    </cfRule>
  </conditionalFormatting>
  <conditionalFormatting sqref="K50:K56">
    <cfRule type="expression" priority="26" dxfId="4">
      <formula>$C$9="PLN"</formula>
    </cfRule>
    <cfRule type="expression" priority="27" dxfId="0">
      <formula>$C$9="CZK"</formula>
    </cfRule>
    <cfRule type="expression" priority="28" dxfId="3">
      <formula>$C$9="USD"</formula>
    </cfRule>
    <cfRule type="expression" priority="29" dxfId="2">
      <formula>$C$9="EURO"</formula>
    </cfRule>
  </conditionalFormatting>
  <conditionalFormatting sqref="L14:L34">
    <cfRule type="expression" priority="15" dxfId="116">
      <formula>$D$9&lt;0</formula>
    </cfRule>
    <cfRule type="expression" priority="16" dxfId="115">
      <formula>$D$9&gt;0</formula>
    </cfRule>
  </conditionalFormatting>
  <conditionalFormatting sqref="L38:L48">
    <cfRule type="expression" priority="13" dxfId="116">
      <formula>$D$9&lt;0</formula>
    </cfRule>
    <cfRule type="expression" priority="14" dxfId="115">
      <formula>$D$9&gt;0</formula>
    </cfRule>
  </conditionalFormatting>
  <conditionalFormatting sqref="N9 N12">
    <cfRule type="expression" priority="45" dxfId="4">
      <formula>$C$9="PLN"</formula>
    </cfRule>
    <cfRule type="expression" priority="46" dxfId="0">
      <formula>$C$9="CZK"</formula>
    </cfRule>
    <cfRule type="expression" priority="47" dxfId="3">
      <formula>$C$9="USD"</formula>
    </cfRule>
    <cfRule type="expression" priority="48" dxfId="2">
      <formula>$C$9="EURO"</formula>
    </cfRule>
  </conditionalFormatting>
  <conditionalFormatting sqref="N14:N34">
    <cfRule type="expression" priority="19" dxfId="4">
      <formula>$C$9="PLN"</formula>
    </cfRule>
    <cfRule type="expression" priority="20" dxfId="0">
      <formula>$C$9="CZK"</formula>
    </cfRule>
    <cfRule type="expression" priority="21" dxfId="3">
      <formula>$C$9="USD"</formula>
    </cfRule>
    <cfRule type="expression" priority="22" dxfId="2">
      <formula>$C$9="EURO"</formula>
    </cfRule>
  </conditionalFormatting>
  <conditionalFormatting sqref="N18:N22">
    <cfRule type="cellIs" priority="23" operator="greaterThan" dxfId="5">
      <formula>0</formula>
    </cfRule>
  </conditionalFormatting>
  <conditionalFormatting sqref="N37:N48">
    <cfRule type="expression" priority="8" dxfId="4">
      <formula>$C$9="PLN"</formula>
    </cfRule>
    <cfRule type="expression" priority="9" dxfId="0">
      <formula>$C$9="CZK"</formula>
    </cfRule>
    <cfRule type="expression" priority="10" dxfId="3">
      <formula>$C$9="USD"</formula>
    </cfRule>
    <cfRule type="expression" priority="11" dxfId="2">
      <formula>$C$9="EURO"</formula>
    </cfRule>
  </conditionalFormatting>
  <conditionalFormatting sqref="N14:O34">
    <cfRule type="cellIs" priority="18" operator="greaterThan" dxfId="5">
      <formula>0</formula>
    </cfRule>
  </conditionalFormatting>
  <conditionalFormatting sqref="N38:O48">
    <cfRule type="cellIs" priority="7" operator="greaterThan" dxfId="141">
      <formula>0</formula>
    </cfRule>
  </conditionalFormatting>
  <conditionalFormatting sqref="O14:O22">
    <cfRule type="cellIs" priority="24" operator="greaterThan" dxfId="5">
      <formula>0</formula>
    </cfRule>
  </conditionalFormatting>
  <dataValidations count="3">
    <dataValidation sqref="E14:E34" showDropDown="0" showInputMessage="1" showErrorMessage="1" allowBlank="1" type="list">
      <formula1>"0,1,2,3,4,5,6,7,8,9,10,11,12,13,14,15,16,17,18,19,20"</formula1>
    </dataValidation>
    <dataValidation sqref="F14:F28 F31:F32" showDropDown="0" showInputMessage="1" showErrorMessage="1" allowBlank="1" operator="greaterThan"/>
    <dataValidation sqref="H36" showDropDown="0" showInputMessage="1" showErrorMessage="1" allowBlank="1" type="list">
      <formula1>#REF!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61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tabColor theme="8" tint="0.7999816888943144"/>
    <outlinePr summaryBelow="1" summaryRight="1"/>
    <pageSetUpPr fitToPage="1"/>
  </sheetPr>
  <dimension ref="A1:AB161"/>
  <sheetViews>
    <sheetView showGridLines="0" zoomScale="70" zoomScaleNormal="70" zoomScaleSheetLayoutView="50" workbookViewId="0">
      <selection activeCell="Q35" sqref="Q35"/>
    </sheetView>
  </sheetViews>
  <sheetFormatPr baseColWidth="10" defaultColWidth="8.83203125" defaultRowHeight="15" customHeight="1"/>
  <cols>
    <col width="2" customWidth="1" style="215" min="1" max="2"/>
    <col width="39.5" customWidth="1" style="1070" min="3" max="3"/>
    <col width="39.83203125" customWidth="1" style="1070" min="4" max="4"/>
    <col width="27.1640625" customWidth="1" style="1070" min="5" max="5"/>
    <col width="16.83203125" customWidth="1" style="1070" min="6" max="6"/>
    <col width="15.5" customWidth="1" style="1070" min="7" max="7"/>
    <col width="19.6640625" customWidth="1" style="1070" min="8" max="8"/>
    <col width="10" bestFit="1" customWidth="1" style="1072" min="9" max="9"/>
    <col width="14.83203125" bestFit="1" customWidth="1" style="1073" min="10" max="10"/>
    <col width="17.5" customWidth="1" style="228" min="11" max="11"/>
    <col width="10.5" customWidth="1" style="228" min="12" max="12"/>
    <col hidden="1" width="10.6640625" customWidth="1" style="346" min="13" max="13"/>
    <col width="14.5" bestFit="1" customWidth="1" style="1073" min="14" max="14"/>
    <col width="13.6640625" bestFit="1" customWidth="1" style="14" min="15" max="15"/>
    <col width="8.83203125" customWidth="1" style="1070" min="16" max="17"/>
    <col width="18.6640625" customWidth="1" style="1070" min="18" max="18"/>
    <col width="8.83203125" customWidth="1" style="1070" min="19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0"/>
    <col width="8.83203125" customWidth="1" style="1070" min="101" max="16384"/>
  </cols>
  <sheetData>
    <row r="1" ht="15" customHeight="1" s="1085">
      <c r="C1" s="1148" t="inlineStr">
        <is>
          <t xml:space="preserve">F24-19    EDGE BOX COST SHEET </t>
        </is>
      </c>
      <c r="E1" s="216" t="n"/>
      <c r="F1" s="216" t="n"/>
      <c r="G1" s="216" t="n"/>
      <c r="H1" s="216" t="n"/>
      <c r="I1" s="29" t="n"/>
      <c r="J1" s="336" t="n"/>
      <c r="K1" s="337" t="n"/>
      <c r="L1" s="338" t="n"/>
      <c r="M1" s="339" t="n"/>
      <c r="N1" s="336" t="n"/>
      <c r="O1" s="975" t="inlineStr">
        <is>
          <t>JAN25-19</t>
        </is>
      </c>
      <c r="S1" s="80" t="n"/>
      <c r="T1" s="218" t="n"/>
    </row>
    <row r="2" ht="15" customHeight="1" s="1085">
      <c r="C2" s="79" t="n"/>
      <c r="D2" s="221" t="n"/>
      <c r="E2" s="221" t="n"/>
      <c r="G2" s="79" t="n"/>
      <c r="H2" s="77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C3" s="78" t="inlineStr">
        <is>
          <t>Job No.</t>
        </is>
      </c>
      <c r="D3" s="1130">
        <f>IF(CANOPY!C3="","",CANOPY!C3)</f>
        <v/>
      </c>
      <c r="G3" s="76" t="inlineStr">
        <is>
          <t>Project Name</t>
        </is>
      </c>
      <c r="H3" s="1071">
        <f>IF(CANOPY!G3="","",CANOPY!G3)</f>
        <v/>
      </c>
      <c r="L3" s="342" t="n"/>
      <c r="M3" s="343" t="n"/>
      <c r="N3" s="344" t="n"/>
      <c r="T3" s="225" t="n"/>
    </row>
    <row r="4" ht="15" customHeight="1" s="1085">
      <c r="C4" s="79" t="n"/>
      <c r="D4" s="223" t="n"/>
      <c r="E4" s="223" t="n"/>
      <c r="G4" s="77" t="n"/>
      <c r="H4" s="222" t="n"/>
      <c r="I4" s="227" t="n"/>
      <c r="J4" s="341" t="n"/>
      <c r="L4" s="342" t="n"/>
      <c r="M4" s="343" t="n"/>
      <c r="N4" s="344" t="n"/>
      <c r="T4" s="225" t="n"/>
    </row>
    <row r="5" ht="15" customHeight="1" s="1085">
      <c r="C5" s="78" t="inlineStr">
        <is>
          <t>Customer</t>
        </is>
      </c>
      <c r="D5" s="1074">
        <f>IF(CANOPY!C5="","",CANOPY!C5)</f>
        <v/>
      </c>
      <c r="G5" s="76" t="inlineStr">
        <is>
          <t>Location</t>
        </is>
      </c>
      <c r="H5" s="1071">
        <f>IF(CANOPY!G5="","",CANOPY!G5)</f>
        <v/>
      </c>
      <c r="M5" s="343" t="n"/>
      <c r="N5" s="344" t="n"/>
      <c r="Q5" s="229" t="n"/>
      <c r="R5" s="229" t="n"/>
      <c r="T5" s="225" t="n"/>
      <c r="U5" s="226" t="n"/>
    </row>
    <row r="6" ht="15" customHeight="1" s="1085">
      <c r="C6" s="78" t="n"/>
      <c r="D6" s="230" t="n"/>
      <c r="E6" s="230" t="n"/>
      <c r="G6" s="76" t="n"/>
      <c r="H6" s="222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C7" s="80" t="inlineStr">
        <is>
          <t>Sales Manager / Estimator initials</t>
        </is>
      </c>
      <c r="D7" s="1074">
        <f>IF(CANOPY!C7="","",CANOPY!C7)</f>
        <v/>
      </c>
      <c r="G7" s="76" t="inlineStr">
        <is>
          <t>Date</t>
        </is>
      </c>
      <c r="H7" s="1075">
        <f>IF(CANOPY!G7="","",CANOPY!G7)</f>
        <v/>
      </c>
      <c r="N7" s="347" t="inlineStr">
        <is>
          <t>Revision No</t>
        </is>
      </c>
      <c r="O7" s="900">
        <f>IF(CANOPY!O7="","",CANOPY!O7)</f>
        <v/>
      </c>
      <c r="P7" s="1157" t="inlineStr">
        <is>
          <t>GP SHOULD BE MINIMUM 44%</t>
        </is>
      </c>
      <c r="T7" s="225" t="n"/>
      <c r="U7" s="226" t="n"/>
      <c r="AA7" s="231" t="n"/>
    </row>
    <row r="8" ht="15" customHeight="1" s="1085">
      <c r="E8" s="219" t="n"/>
      <c r="F8" s="219" t="n"/>
      <c r="H8" s="219" t="n"/>
      <c r="J8" s="346" t="n"/>
      <c r="K8" s="14" t="n"/>
      <c r="T8" s="225" t="n"/>
      <c r="AA8" s="231" t="n"/>
    </row>
    <row r="9" ht="15" customFormat="1" customHeight="1" s="80">
      <c r="A9" s="215" t="n"/>
      <c r="B9" s="215" t="n"/>
      <c r="C9" s="38" t="inlineStr">
        <is>
          <t>CURRENCY</t>
        </is>
      </c>
      <c r="D9" s="951" t="n">
        <v>0</v>
      </c>
      <c r="E9" s="377">
        <f>IF(D9=0,0,(SUBTOTAL(9,M14:M48)/(1-D9))-M9)</f>
        <v/>
      </c>
      <c r="I9" s="234" t="n"/>
      <c r="K9" s="25">
        <f>SUBTOTAL(9,K12:K48)</f>
        <v/>
      </c>
      <c r="L9" s="970">
        <f>IF(O9=0,"-",O9/M9)</f>
        <v/>
      </c>
      <c r="M9" s="25">
        <f>SUBTOTAL(9,M12:M48)</f>
        <v/>
      </c>
      <c r="N9" s="464">
        <f>SUBTOTAL(9,N12:N48)</f>
        <v/>
      </c>
      <c r="O9" s="25">
        <f>SUBTOTAL(9,O12:O48)</f>
        <v/>
      </c>
      <c r="P9" s="1070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215" t="n"/>
      <c r="C12" s="1089" t="inlineStr">
        <is>
          <t xml:space="preserve">ITEM </t>
        </is>
      </c>
      <c r="D12" s="236" t="n"/>
      <c r="E12" s="237">
        <f>E14</f>
        <v/>
      </c>
      <c r="F12" s="838" t="n">
        <v>0</v>
      </c>
      <c r="G12" s="838">
        <f>IF(I12&lt;1,0,CEILING((G14-100)/I14,250))</f>
        <v/>
      </c>
      <c r="H12" s="237">
        <f>E12&amp;G12&amp;F12</f>
        <v/>
      </c>
      <c r="I12" s="236">
        <f>IF(F14=0,0,IF(G14=0,0,(F14/(IF(D14="WALL",F14,(F14/2)))*I14)))</f>
        <v/>
      </c>
      <c r="J12" s="238" t="n"/>
      <c r="K12" s="154">
        <f>SUBTOTAL(9,K14:K34)</f>
        <v/>
      </c>
      <c r="L12" s="15">
        <f>IF(K14=0,"-",O12/M12)</f>
        <v/>
      </c>
      <c r="M12" s="154">
        <f>SUBTOTAL(9,M14:M34)</f>
        <v/>
      </c>
      <c r="N12" s="464">
        <f>SUBTOTAL(9,N14:N34)</f>
        <v/>
      </c>
      <c r="O12" s="154">
        <f>SUBTOTAL(9,O14:O34)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LENGTH</t>
        </is>
      </c>
      <c r="G13" s="10" t="inlineStr">
        <is>
          <t>WIDTH</t>
        </is>
      </c>
      <c r="H13" s="10" t="inlineStr">
        <is>
          <t>HEIGHT</t>
        </is>
      </c>
      <c r="I13" s="10" t="inlineStr">
        <is>
          <t>SECTIONS</t>
        </is>
      </c>
      <c r="J13" s="349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A14" s="215" t="n">
        <v>210</v>
      </c>
      <c r="C14" s="791" t="inlineStr">
        <is>
          <t xml:space="preserve">PS-150 TOUCH SCREEN </t>
        </is>
      </c>
      <c r="D14" s="460" t="inlineStr">
        <is>
          <t>TOUCH SCREEN REMOTE BOX - METAL</t>
        </is>
      </c>
      <c r="E14" s="448" t="n"/>
      <c r="F14" s="837" t="n">
        <v>300</v>
      </c>
      <c r="G14" s="835" t="n">
        <v>95</v>
      </c>
      <c r="H14" s="896" t="n">
        <v>250</v>
      </c>
      <c r="I14" s="31" t="n"/>
      <c r="J14" s="380" t="n">
        <v>419.97</v>
      </c>
      <c r="K14" s="378">
        <f>SUM(J14*E14)</f>
        <v/>
      </c>
      <c r="L14" s="392" t="n">
        <v>0.35</v>
      </c>
      <c r="M14" s="311">
        <f>(K14/(1-L14))*(1+$D$9)</f>
        <v/>
      </c>
      <c r="N14" s="378">
        <f>(M14*VLOOKUP($C$9,'Base Costs'!$A$32:$B$37,2,FALSE))</f>
        <v/>
      </c>
      <c r="O14" s="379">
        <f>M14-K14</f>
        <v/>
      </c>
      <c r="U14" s="229" t="n"/>
      <c r="AA14" s="1070" t="n"/>
    </row>
    <row r="15" ht="15" customHeight="1" s="1085">
      <c r="A15" s="215" t="n">
        <v>104</v>
      </c>
      <c r="C15" s="855" t="inlineStr">
        <is>
          <t>PS-152 EDGE BOX</t>
        </is>
      </c>
      <c r="D15" s="460" t="inlineStr">
        <is>
          <t>PEU/AEU/HOODS (Staged Alarms)</t>
        </is>
      </c>
      <c r="E15" s="448" t="n"/>
      <c r="F15" s="895" t="n">
        <v>380</v>
      </c>
      <c r="G15" s="835" t="n">
        <v>300</v>
      </c>
      <c r="H15" s="896" t="n">
        <v>180</v>
      </c>
      <c r="I15" s="31" t="n"/>
      <c r="J15" s="380" t="n">
        <v>1030.52</v>
      </c>
      <c r="K15" s="378">
        <f>SUM(J15*E15)</f>
        <v/>
      </c>
      <c r="L15" s="392" t="n">
        <v>0.35</v>
      </c>
      <c r="M15" s="311">
        <f>(K15/(1-L15))*(1+$D$9)</f>
        <v/>
      </c>
      <c r="N15" s="378">
        <f>(M15*VLOOKUP($C$9,'Base Costs'!$A$32:$B$37,2,FALSE))</f>
        <v/>
      </c>
      <c r="O15" s="379">
        <f>M15-K15</f>
        <v/>
      </c>
      <c r="U15" s="229" t="n"/>
      <c r="AA15" s="1070" t="n"/>
    </row>
    <row r="16" ht="15" customHeight="1" s="1085">
      <c r="A16" s="215" t="n">
        <v>234</v>
      </c>
      <c r="C16" s="855" t="inlineStr">
        <is>
          <t>PS-153 EDGE BOX</t>
        </is>
      </c>
      <c r="D16" s="460" t="inlineStr">
        <is>
          <t>PEU/HOODS (Staged Alarms)</t>
        </is>
      </c>
      <c r="E16" s="461" t="n"/>
      <c r="F16" s="895" t="n">
        <v>380</v>
      </c>
      <c r="G16" s="835" t="n">
        <v>300</v>
      </c>
      <c r="H16" s="896" t="n">
        <v>180</v>
      </c>
      <c r="I16" s="31" t="n"/>
      <c r="J16" s="380" t="n">
        <v>690.16</v>
      </c>
      <c r="K16" s="378">
        <f>SUM(J16*E16)</f>
        <v/>
      </c>
      <c r="L16" s="392" t="n">
        <v>0.35</v>
      </c>
      <c r="M16" s="311">
        <f>(K16/(1-L16))*(1+$D$9)</f>
        <v/>
      </c>
      <c r="N16" s="378">
        <f>(M16*VLOOKUP($C$9,'Base Costs'!$A$32:$B$37,2,FALSE))</f>
        <v/>
      </c>
      <c r="O16" s="379">
        <f>M16-K16</f>
        <v/>
      </c>
      <c r="U16" s="229" t="n"/>
      <c r="AA16" s="1070" t="n"/>
    </row>
    <row r="17" ht="15" customHeight="1" s="1085">
      <c r="C17" s="855" t="inlineStr">
        <is>
          <t>PS-154 EDGE BOX</t>
        </is>
      </c>
      <c r="D17" s="460" t="inlineStr">
        <is>
          <t>PEU/MRV/HOODS (Staged Alarms)</t>
        </is>
      </c>
      <c r="E17" s="448" t="n"/>
      <c r="F17" s="895" t="n">
        <v>380</v>
      </c>
      <c r="G17" s="895" t="n">
        <v>300</v>
      </c>
      <c r="H17" s="896" t="n">
        <v>180</v>
      </c>
      <c r="I17" s="31" t="n"/>
      <c r="J17" s="380" t="n">
        <v>894.01</v>
      </c>
      <c r="K17" s="378">
        <f>SUM(J17*E17)</f>
        <v/>
      </c>
      <c r="L17" s="392" t="n">
        <v>0.35</v>
      </c>
      <c r="M17" s="311">
        <f>(K17/(1-L17))*(1+$D$9)</f>
        <v/>
      </c>
      <c r="N17" s="378">
        <f>(M17*VLOOKUP($C$9,'Base Costs'!$A$32:$B$37,2,FALSE))</f>
        <v/>
      </c>
      <c r="O17" s="379">
        <f>M17-K17</f>
        <v/>
      </c>
      <c r="U17" s="229" t="n"/>
      <c r="AA17" s="1070" t="n"/>
    </row>
    <row r="18" ht="15" customHeight="1" s="1085">
      <c r="C18" s="855" t="inlineStr">
        <is>
          <t>PS-155 EDGE BOX</t>
        </is>
      </c>
      <c r="D18" s="460" t="inlineStr">
        <is>
          <t>PEU/AEU/ MRV/HOOD (No Staged Alarms)</t>
        </is>
      </c>
      <c r="E18" s="448" t="n"/>
      <c r="F18" s="895" t="n">
        <v>380</v>
      </c>
      <c r="G18" s="895" t="n">
        <v>300</v>
      </c>
      <c r="H18" s="896" t="n">
        <v>180</v>
      </c>
      <c r="I18" s="31" t="n"/>
      <c r="J18" s="380" t="n">
        <v>1039.58</v>
      </c>
      <c r="K18" s="378">
        <f>SUM(J18*E18)</f>
        <v/>
      </c>
      <c r="L18" s="392" t="n">
        <v>0.35</v>
      </c>
      <c r="M18" s="311">
        <f>(K18/(1-L18))*(1+$D$9)</f>
        <v/>
      </c>
      <c r="N18" s="378">
        <f>(M18*VLOOKUP($C$9,'Base Costs'!$A$32:$B$37,2,FALSE))</f>
        <v/>
      </c>
      <c r="O18" s="379">
        <f>M18-K18</f>
        <v/>
      </c>
      <c r="U18" s="229" t="n"/>
      <c r="AA18" s="1070" t="n"/>
    </row>
    <row r="19" ht="15" customHeight="1" s="1085">
      <c r="C19" s="855" t="n"/>
      <c r="D19" s="460" t="n"/>
      <c r="E19" s="448" t="n"/>
      <c r="F19" s="895" t="n"/>
      <c r="G19" s="895" t="n"/>
      <c r="H19" s="896" t="n"/>
      <c r="I19" s="31" t="n"/>
      <c r="J19" s="380" t="n"/>
      <c r="K19" s="378" t="n"/>
      <c r="L19" s="392" t="n"/>
      <c r="M19" s="311" t="n"/>
      <c r="N19" s="378" t="n"/>
      <c r="O19" s="379" t="n"/>
      <c r="U19" s="229" t="n"/>
      <c r="AA19" s="1070" t="n"/>
    </row>
    <row r="20" ht="15" customHeight="1" s="1085">
      <c r="C20" s="791" t="inlineStr">
        <is>
          <t>RCL-329 LPC-3 GOT.112 (CANOPY CONTROL)</t>
        </is>
      </c>
      <c r="D20" s="1065" t="inlineStr">
        <is>
          <t>GOT Panel Comp for UV-c (24 Sections Max)</t>
        </is>
      </c>
      <c r="E20" s="448" t="n"/>
      <c r="F20" s="895" t="n">
        <v>160</v>
      </c>
      <c r="G20" s="895" t="n">
        <v>34</v>
      </c>
      <c r="H20" s="896" t="n">
        <v>106</v>
      </c>
      <c r="I20" s="31" t="n"/>
      <c r="J20" s="380" t="n">
        <v>336.21</v>
      </c>
      <c r="K20" s="378">
        <f>SUM(J20*E20)</f>
        <v/>
      </c>
      <c r="L20" s="392" t="n">
        <v>0.35</v>
      </c>
      <c r="M20" s="311">
        <f>(K20/(1-L20))*(1+$D$9)</f>
        <v/>
      </c>
      <c r="N20" s="378">
        <f>(M20*VLOOKUP($C$9,'Base Costs'!$A$32:$B$37,2,FALSE))</f>
        <v/>
      </c>
      <c r="O20" s="379">
        <f>M20-K20</f>
        <v/>
      </c>
      <c r="U20" s="229" t="n"/>
      <c r="AA20" s="1070" t="n"/>
    </row>
    <row r="21" ht="15" customHeight="1" s="1085">
      <c r="C21" s="791" t="inlineStr">
        <is>
          <t>RCL-342 GOT-112 WALL BOX</t>
        </is>
      </c>
      <c r="D21" s="460" t="inlineStr">
        <is>
          <t>Remote Mounting box if Required</t>
        </is>
      </c>
      <c r="E21" s="448" t="n"/>
      <c r="F21" s="895" t="n">
        <v>270</v>
      </c>
      <c r="G21" s="895" t="n">
        <v>200</v>
      </c>
      <c r="H21" s="896" t="n">
        <v>150</v>
      </c>
      <c r="I21" s="31" t="n"/>
      <c r="J21" s="380" t="n">
        <v>82</v>
      </c>
      <c r="K21" s="378">
        <f>SUM(J21*E21)</f>
        <v/>
      </c>
      <c r="L21" s="392" t="n">
        <v>0.35</v>
      </c>
      <c r="M21" s="311">
        <f>(K21/(1-L21))*(1+$D$9)</f>
        <v/>
      </c>
      <c r="N21" s="378">
        <f>(M21*VLOOKUP($C$9,'Base Costs'!$A$32:$B$37,2,FALSE))</f>
        <v/>
      </c>
      <c r="O21" s="379">
        <f>M21-K21</f>
        <v/>
      </c>
      <c r="U21" s="229" t="n"/>
      <c r="AA21" s="1070" t="n"/>
    </row>
    <row r="22" ht="15" customHeight="1" s="1085">
      <c r="C22" s="270" t="inlineStr">
        <is>
          <t>RCL-280 STAGED ALARM BOX</t>
        </is>
      </c>
      <c r="D22" s="460" t="inlineStr">
        <is>
          <t>MU5 CONTROLLER BOX</t>
        </is>
      </c>
      <c r="E22" s="448" t="n"/>
      <c r="F22" s="895" t="n">
        <v>179</v>
      </c>
      <c r="G22" s="895" t="n">
        <v>129</v>
      </c>
      <c r="H22" s="896" t="n">
        <v>100</v>
      </c>
      <c r="I22" s="31" t="n"/>
      <c r="J22" s="380" t="n">
        <v>212.86</v>
      </c>
      <c r="K22" s="378">
        <f>SUM(J22*E22)</f>
        <v/>
      </c>
      <c r="L22" s="392" t="n">
        <v>0.35</v>
      </c>
      <c r="M22" s="311">
        <f>(K22/(1-L22))*(1+$D$9)</f>
        <v/>
      </c>
      <c r="N22" s="378">
        <f>(M22*VLOOKUP($C$9,'Base Costs'!$A$32:$B$37,2,FALSE))</f>
        <v/>
      </c>
      <c r="O22" s="379">
        <f>M22-K22</f>
        <v/>
      </c>
      <c r="P22" s="1064" t="inlineStr">
        <is>
          <t xml:space="preserve">Add if Alarms requested for a GOT panel </t>
        </is>
      </c>
      <c r="U22" s="229" t="n"/>
      <c r="AA22" s="1070" t="n"/>
    </row>
    <row r="23" ht="15" customHeight="1" s="1085">
      <c r="A23" s="215" t="n">
        <v>289</v>
      </c>
      <c r="C23" s="270" t="n"/>
      <c r="D23" s="460" t="n"/>
      <c r="E23" s="448" t="n"/>
      <c r="F23" s="895" t="n"/>
      <c r="G23" s="895" t="n"/>
      <c r="H23" s="896" t="n"/>
      <c r="I23" s="31" t="n"/>
      <c r="J23" s="380" t="n"/>
      <c r="K23" s="378">
        <f>SUM(J23*E23)</f>
        <v/>
      </c>
      <c r="L23" s="392" t="n"/>
      <c r="M23" s="311">
        <f>(K23/(1-L23))*(1+$D$9)</f>
        <v/>
      </c>
      <c r="N23" s="378">
        <f>(M23*VLOOKUP($C$9,'Base Costs'!$A$32:$B$37,2,FALSE))</f>
        <v/>
      </c>
      <c r="O23" s="379">
        <f>M23-K23</f>
        <v/>
      </c>
      <c r="U23" s="229" t="n"/>
      <c r="AA23" s="1070" t="n"/>
    </row>
    <row r="24" ht="15" customHeight="1" s="1085">
      <c r="A24" s="215" t="n">
        <v>242</v>
      </c>
      <c r="C24" s="270" t="inlineStr">
        <is>
          <t xml:space="preserve">PS-160 EXTERNAL AERIAL </t>
        </is>
      </c>
      <c r="D24" s="460" t="inlineStr">
        <is>
          <t>EXTERNAL AERIAL BOX</t>
        </is>
      </c>
      <c r="E24" s="448" t="n"/>
      <c r="F24" s="895" t="n">
        <v>250</v>
      </c>
      <c r="G24" s="895" t="n">
        <v>175</v>
      </c>
      <c r="H24" s="896" t="n">
        <v>100</v>
      </c>
      <c r="I24" s="31" t="n"/>
      <c r="J24" s="380" t="n">
        <v>100.91</v>
      </c>
      <c r="K24" s="378">
        <f>SUM(J24*E24)</f>
        <v/>
      </c>
      <c r="L24" s="392" t="n">
        <v>0.35</v>
      </c>
      <c r="M24" s="311">
        <f>(K24/(1-L24))*(1+$D$9)</f>
        <v/>
      </c>
      <c r="N24" s="378">
        <f>(M24*VLOOKUP($C$9,'Base Costs'!$A$32:$B$37,2,FALSE))</f>
        <v/>
      </c>
      <c r="O24" s="379">
        <f>M24-K24</f>
        <v/>
      </c>
      <c r="U24" s="229" t="n"/>
      <c r="AA24" s="1070" t="n"/>
    </row>
    <row r="25" ht="15" customHeight="1" s="1085">
      <c r="A25" s="215" t="n">
        <v>220</v>
      </c>
      <c r="C25" s="855" t="inlineStr">
        <is>
          <t xml:space="preserve">PS-156 EDGE BOX REMOTE ROUTER (UV-GOT)  </t>
        </is>
      </c>
      <c r="D25" s="1066" t="inlineStr">
        <is>
          <t>EXTERNAL ROUTER</t>
        </is>
      </c>
      <c r="E25" s="448" t="n"/>
      <c r="F25" s="837" t="n">
        <v>250</v>
      </c>
      <c r="G25" s="895" t="n">
        <v>175</v>
      </c>
      <c r="H25" s="896" t="n">
        <v>100</v>
      </c>
      <c r="I25" s="31" t="n"/>
      <c r="J25" s="380" t="n">
        <v>484.58</v>
      </c>
      <c r="K25" s="378">
        <f>SUM(J25*E25)</f>
        <v/>
      </c>
      <c r="L25" s="392" t="n">
        <v>0.35</v>
      </c>
      <c r="M25" s="311">
        <f>(K25/(1-L25))*(1+$D$9)</f>
        <v/>
      </c>
      <c r="N25" s="378">
        <f>(M25*VLOOKUP($C$9,'Base Costs'!$A$32:$B$37,2,FALSE))</f>
        <v/>
      </c>
      <c r="O25" s="379">
        <f>M25-K25</f>
        <v/>
      </c>
      <c r="U25" s="229" t="n"/>
      <c r="AA25" s="1070" t="n"/>
    </row>
    <row r="26" ht="15" customHeight="1" s="1085">
      <c r="A26" s="215" t="n">
        <v>103</v>
      </c>
      <c r="C26" s="855" t="n"/>
      <c r="D26" s="460" t="n"/>
      <c r="E26" s="448" t="n"/>
      <c r="F26" s="837" t="n"/>
      <c r="G26" s="895" t="n"/>
      <c r="H26" s="896" t="n"/>
      <c r="I26" s="31" t="n"/>
      <c r="J26" s="380" t="n"/>
      <c r="K26" s="378">
        <f>SUM(J26*E26)</f>
        <v/>
      </c>
      <c r="L26" s="392" t="n"/>
      <c r="M26" s="311">
        <f>(K26/(1-L26))*(1+$D$9)</f>
        <v/>
      </c>
      <c r="N26" s="378">
        <f>(M26*VLOOKUP($C$9,'Base Costs'!$A$32:$B$37,2,FALSE))</f>
        <v/>
      </c>
      <c r="O26" s="379">
        <f>M26-K26</f>
        <v/>
      </c>
      <c r="U26" s="229" t="n"/>
      <c r="AA26" s="1070" t="n"/>
    </row>
    <row r="27" ht="15" customHeight="1" s="1085">
      <c r="A27" s="215" t="n">
        <v>103</v>
      </c>
      <c r="C27" s="855" t="inlineStr">
        <is>
          <t>CONNECTIVITY PS-153/152/154/155</t>
        </is>
      </c>
      <c r="D27" s="921" t="inlineStr">
        <is>
          <t xml:space="preserve"> NOT INCLUDED IN THE ABOVE</t>
        </is>
      </c>
      <c r="E27" s="448" t="n"/>
      <c r="F27" s="837" t="n"/>
      <c r="G27" s="895" t="n"/>
      <c r="H27" s="896" t="n"/>
      <c r="I27" s="31" t="n"/>
      <c r="J27" s="380" t="n">
        <v>522.38</v>
      </c>
      <c r="K27" s="378">
        <f>SUM(J27*E27)</f>
        <v/>
      </c>
      <c r="L27" s="392" t="n">
        <v>0.35</v>
      </c>
      <c r="M27" s="311">
        <f>(K27/(1-L27))*(1+$D$9)</f>
        <v/>
      </c>
      <c r="N27" s="378">
        <f>(M27*VLOOKUP($C$9,'Base Costs'!$A$32:$B$37,2,FALSE))</f>
        <v/>
      </c>
      <c r="O27" s="379">
        <f>M27-K27</f>
        <v/>
      </c>
      <c r="P27" s="990" t="inlineStr">
        <is>
          <t>EDGE UP2 Plus First Year Connectivity Fee from Group</t>
        </is>
      </c>
      <c r="U27" s="229" t="n"/>
      <c r="AA27" s="1070" t="n"/>
    </row>
    <row r="28" ht="15" customHeight="1" s="1085">
      <c r="C28" s="855" t="inlineStr">
        <is>
          <t>CONNECTIVITY  (UV-GOT)</t>
        </is>
      </c>
      <c r="D28" s="1067" t="inlineStr">
        <is>
          <t xml:space="preserve"> NOT INCLUDED IN THE ABOVE</t>
        </is>
      </c>
      <c r="E28" s="448" t="n"/>
      <c r="F28" s="895" t="n"/>
      <c r="G28" s="895" t="n"/>
      <c r="H28" s="896" t="n"/>
      <c r="I28" s="31" t="n"/>
      <c r="J28" s="380" t="n">
        <v>130</v>
      </c>
      <c r="K28" s="378">
        <f>SUM(J28*E28)</f>
        <v/>
      </c>
      <c r="L28" s="392" t="n">
        <v>0.35</v>
      </c>
      <c r="M28" s="311">
        <f>(K28/(1-L28))*(1+$D$9)</f>
        <v/>
      </c>
      <c r="N28" s="378">
        <f>(M28*VLOOKUP($C$9,'Base Costs'!$A$32:$B$37,2,FALSE))</f>
        <v/>
      </c>
      <c r="O28" s="379">
        <f>M28-K28</f>
        <v/>
      </c>
      <c r="P28" s="990" t="inlineStr">
        <is>
          <t>First Year Connectivity Fee from Group</t>
        </is>
      </c>
      <c r="U28" s="229" t="n"/>
      <c r="AA28" s="1070" t="n"/>
    </row>
    <row r="29" ht="15" customHeight="1" s="1085">
      <c r="A29" s="215" t="n">
        <v>285</v>
      </c>
      <c r="C29" s="855" t="n"/>
      <c r="D29" s="460" t="n"/>
      <c r="E29" s="448" t="n"/>
      <c r="F29" s="898" t="n"/>
      <c r="G29" s="898" t="n"/>
      <c r="H29" s="899" t="n"/>
      <c r="I29" s="31" t="n"/>
      <c r="J29" s="380" t="n"/>
      <c r="K29" s="378">
        <f>SUM(J29*E29)</f>
        <v/>
      </c>
      <c r="L29" s="392" t="n"/>
      <c r="M29" s="311">
        <f>(K29/(1-L29))*(1+$D$9)</f>
        <v/>
      </c>
      <c r="N29" s="378">
        <f>(M29*VLOOKUP($C$9,'Base Costs'!$A$32:$B$37,2,FALSE))</f>
        <v/>
      </c>
      <c r="O29" s="379">
        <f>M29-K29</f>
        <v/>
      </c>
      <c r="U29" s="229" t="n"/>
      <c r="AA29" s="1070" t="n"/>
    </row>
    <row r="30" ht="15" customHeight="1" s="1085">
      <c r="C30" s="855" t="n"/>
      <c r="D30" s="460" t="n"/>
      <c r="E30" s="448" t="n"/>
      <c r="F30" s="898" t="n"/>
      <c r="G30" s="898" t="n"/>
      <c r="H30" s="899" t="n"/>
      <c r="I30" s="31" t="n"/>
      <c r="J30" s="380" t="n"/>
      <c r="K30" s="378">
        <f>SUM(J30*E30)</f>
        <v/>
      </c>
      <c r="L30" s="392" t="n"/>
      <c r="M30" s="311">
        <f>(K30/(1-L30))*(1+$D$9)</f>
        <v/>
      </c>
      <c r="N30" s="378">
        <f>(M30*VLOOKUP($C$9,'Base Costs'!$A$32:$B$37,2,FALSE))</f>
        <v/>
      </c>
      <c r="O30" s="379">
        <f>M30-K30</f>
        <v/>
      </c>
      <c r="U30" s="229" t="n"/>
      <c r="AA30" s="1070" t="n"/>
    </row>
    <row r="31" ht="15" customHeight="1" s="1085">
      <c r="C31" s="269" t="n"/>
      <c r="D31" s="460" t="n"/>
      <c r="E31" s="448" t="n"/>
      <c r="F31" s="895" t="n"/>
      <c r="G31" s="895" t="n"/>
      <c r="H31" s="896" t="n"/>
      <c r="I31" s="31" t="n"/>
      <c r="J31" s="380" t="n">
        <v>0</v>
      </c>
      <c r="K31" s="378">
        <f>SUM(J31*E31)</f>
        <v/>
      </c>
      <c r="L31" s="392" t="n"/>
      <c r="M31" s="311">
        <f>(K31/(1-L31))*(1+$D$9)</f>
        <v/>
      </c>
      <c r="N31" s="378">
        <f>(M31*VLOOKUP($C$9,'Base Costs'!$A$32:$B$37,2,FALSE))</f>
        <v/>
      </c>
      <c r="O31" s="379">
        <f>M31-K31</f>
        <v/>
      </c>
      <c r="U31" s="229" t="n"/>
      <c r="AA31" s="1070" t="n"/>
    </row>
    <row r="32" ht="15" customHeight="1" s="1085">
      <c r="A32" s="215" t="n">
        <v>286</v>
      </c>
      <c r="C32" s="270" t="n"/>
      <c r="D32" s="460" t="n"/>
      <c r="E32" s="448" t="n"/>
      <c r="F32" s="895" t="n"/>
      <c r="G32" s="895" t="n"/>
      <c r="H32" s="896" t="n"/>
      <c r="I32" s="31" t="n"/>
      <c r="J32" s="380" t="n">
        <v>0</v>
      </c>
      <c r="K32" s="378">
        <f>SUM(J32*E32)</f>
        <v/>
      </c>
      <c r="L32" s="392" t="n"/>
      <c r="M32" s="311">
        <f>(K32/(1-L32))*(1+$D$9)</f>
        <v/>
      </c>
      <c r="N32" s="378">
        <f>(M32*VLOOKUP($C$9,'Base Costs'!$A$32:$B$37,2,FALSE))</f>
        <v/>
      </c>
      <c r="O32" s="379">
        <f>M32-K32</f>
        <v/>
      </c>
      <c r="U32" s="229" t="n"/>
      <c r="AA32" s="1070" t="n"/>
    </row>
    <row r="33" ht="15" customHeight="1" s="1085">
      <c r="C33" s="269" t="n"/>
      <c r="D33" s="460" t="n"/>
      <c r="E33" s="448" t="n"/>
      <c r="F33" s="462" t="n"/>
      <c r="G33" s="32" t="n"/>
      <c r="H33" s="30" t="n"/>
      <c r="I33" s="31" t="n"/>
      <c r="J33" s="933" t="n"/>
      <c r="K33" s="378">
        <f>SUM(J33*E33)</f>
        <v/>
      </c>
      <c r="L33" s="392" t="n"/>
      <c r="M33" s="311">
        <f>(K33/(1-L33))*(1+$D$9)</f>
        <v/>
      </c>
      <c r="N33" s="378">
        <f>(M33*VLOOKUP($C$9,'Base Costs'!$A$32:$B$37,2,FALSE))</f>
        <v/>
      </c>
      <c r="O33" s="379">
        <f>M33-K33</f>
        <v/>
      </c>
      <c r="U33" s="229" t="n"/>
      <c r="AA33" s="1070" t="n"/>
    </row>
    <row r="34" ht="15" customHeight="1" s="1085">
      <c r="C34" s="855" t="n"/>
      <c r="D34" s="460" t="n"/>
      <c r="E34" s="448" t="n"/>
      <c r="F34" s="462" t="n"/>
      <c r="G34" s="32" t="n"/>
      <c r="H34" s="30" t="n"/>
      <c r="I34" s="31" t="n"/>
      <c r="J34" s="933" t="n"/>
      <c r="K34" s="378">
        <f>SUM(J34*E34)</f>
        <v/>
      </c>
      <c r="L34" s="392" t="n"/>
      <c r="M34" s="311">
        <f>(K34/(1-L34))*(1+$D$9)</f>
        <v/>
      </c>
      <c r="N34" s="378">
        <f>(M34*VLOOKUP($C$9,'Base Costs'!$A$32:$B$37,2,FALSE))</f>
        <v/>
      </c>
      <c r="O34" s="379">
        <f>M34-K34</f>
        <v/>
      </c>
      <c r="U34" s="229" t="n"/>
      <c r="AA34" s="1070" t="n"/>
    </row>
    <row r="35" ht="15" customHeight="1" s="1085">
      <c r="H35" s="34" t="inlineStr">
        <is>
          <t>SECTION UNDER 1000mm</t>
        </is>
      </c>
    </row>
    <row r="36" ht="15" customHeight="1" s="1085">
      <c r="C36" s="239" t="n"/>
      <c r="D36" s="239" t="n"/>
      <c r="E36" s="239" t="n"/>
      <c r="F36" s="239" t="n"/>
      <c r="G36" s="239" t="n"/>
      <c r="H36" s="239" t="n"/>
      <c r="I36" s="9" t="n"/>
      <c r="J36" s="11" t="n"/>
      <c r="K36" s="353" t="n"/>
      <c r="L36" s="240" t="n"/>
      <c r="M36" s="353" t="n"/>
      <c r="N36" s="353" t="n"/>
      <c r="U36" s="229" t="n"/>
      <c r="AA36" s="1070" t="n"/>
    </row>
    <row r="37" ht="15" customHeight="1" s="1085">
      <c r="C37" s="1089" t="inlineStr">
        <is>
          <t xml:space="preserve">DELIVERY &amp; INSTALLATION </t>
        </is>
      </c>
      <c r="I37" s="236" t="n"/>
      <c r="J37" s="330" t="n"/>
      <c r="K37" s="154">
        <f>SUBTOTAL(9,K38:K48)</f>
        <v/>
      </c>
      <c r="L37" s="15">
        <f>IF(K38=0,"-",O37/M37)</f>
        <v/>
      </c>
      <c r="M37" s="154">
        <f>SUBTOTAL(9,M38:M48)</f>
        <v/>
      </c>
      <c r="N37" s="464">
        <f>SUBTOTAL(9,N38:N48)</f>
        <v/>
      </c>
      <c r="O37" s="154">
        <f>SUBTOTAL(9,O39:O48)</f>
        <v/>
      </c>
      <c r="U37" s="229" t="n"/>
    </row>
    <row r="38" ht="15" customHeight="1" s="1085">
      <c r="A38" s="215" t="n">
        <v>222</v>
      </c>
      <c r="C38" s="269" t="inlineStr">
        <is>
          <t xml:space="preserve">DELIVERIES </t>
        </is>
      </c>
      <c r="D38" s="242" t="n"/>
      <c r="E38" s="309" t="inlineStr">
        <is>
          <t>SELECT LOCATION…</t>
        </is>
      </c>
      <c r="F38" s="28" t="n"/>
      <c r="G38" s="30" t="n"/>
      <c r="H38" s="28" t="n"/>
      <c r="I38" s="28" t="n"/>
      <c r="J38" s="385">
        <f>VLOOKUP(E38,'Base Costs'!E4:G213,2,FALSE)</f>
        <v/>
      </c>
      <c r="K38" s="378">
        <f>D38*J38</f>
        <v/>
      </c>
      <c r="L38" s="392" t="n">
        <v>0.33</v>
      </c>
      <c r="M38" s="311">
        <f>(K38/(1-L38))*(1+$D$9)</f>
        <v/>
      </c>
      <c r="N38" s="378">
        <f>(M38*VLOOKUP($C$9,'Base Costs'!$A$32:$B$37,2,FALSE))</f>
        <v/>
      </c>
      <c r="O38" s="379">
        <f>M38-K38</f>
        <v/>
      </c>
      <c r="U38" s="229" t="n"/>
    </row>
    <row r="39" ht="15" customHeight="1" s="1085">
      <c r="A39" s="215" t="n">
        <v>257</v>
      </c>
      <c r="C39" s="269" t="inlineStr">
        <is>
          <t>PLANT HIRE</t>
        </is>
      </c>
      <c r="D39" s="242" t="n"/>
      <c r="E39" s="309" t="inlineStr">
        <is>
          <t>PLANT SELECTION (weekly)</t>
        </is>
      </c>
      <c r="F39" s="28" t="n"/>
      <c r="G39" s="28" t="n"/>
      <c r="H39" s="28" t="n"/>
      <c r="I39" s="28" t="n"/>
      <c r="J39" s="385">
        <f>VLOOKUP(E39,'Base Costs'!$A$4:$B$16,2,FALSE)</f>
        <v/>
      </c>
      <c r="K39" s="378">
        <f>D39*J39</f>
        <v/>
      </c>
      <c r="L39" s="392" t="n">
        <v>0.33</v>
      </c>
      <c r="M39" s="311">
        <f>(K39/(1-L39))*(1+$D$9)</f>
        <v/>
      </c>
      <c r="N39" s="378">
        <f>(M39*VLOOKUP($C$9,'Base Costs'!$A$32:$B$37,2,FALSE))</f>
        <v/>
      </c>
      <c r="O39" s="379">
        <f>M39-K39</f>
        <v/>
      </c>
      <c r="U39" s="229" t="n"/>
    </row>
    <row r="40" ht="15" customHeight="1" s="1085">
      <c r="A40" s="215" t="n">
        <v>257</v>
      </c>
      <c r="C40" s="269" t="inlineStr">
        <is>
          <t>PLANT HIRE</t>
        </is>
      </c>
      <c r="D40" s="242" t="n"/>
      <c r="E40" s="309" t="inlineStr">
        <is>
          <t>PLANT SELECTION (weekly)</t>
        </is>
      </c>
      <c r="F40" s="28" t="n"/>
      <c r="G40" s="28" t="n"/>
      <c r="H40" s="28" t="n"/>
      <c r="I40" s="28" t="n"/>
      <c r="J40" s="385">
        <f>VLOOKUP(E40,'Base Costs'!$A$4:$B$16,2,FALSE)</f>
        <v/>
      </c>
      <c r="K40" s="378">
        <f>D40*J40</f>
        <v/>
      </c>
      <c r="L40" s="392" t="n">
        <v>0.33</v>
      </c>
      <c r="M40" s="311">
        <f>(K40/(1-L40))*(1+$D$9)</f>
        <v/>
      </c>
      <c r="N40" s="378">
        <f>(M40*VLOOKUP($C$9,'Base Costs'!$A$32:$B$37,2,FALSE))</f>
        <v/>
      </c>
      <c r="O40" s="379">
        <f>M40-K40</f>
        <v/>
      </c>
      <c r="U40" s="229" t="n"/>
    </row>
    <row r="41" ht="15" customHeight="1" s="1085">
      <c r="A41" s="215" t="n">
        <v>400</v>
      </c>
      <c r="C41" s="269" t="inlineStr">
        <is>
          <t>STRIP OUT</t>
        </is>
      </c>
      <c r="D41" s="242" t="n"/>
      <c r="E41" s="28" t="inlineStr">
        <is>
          <t>PER DAY</t>
        </is>
      </c>
      <c r="F41" s="28" t="n"/>
      <c r="G41" s="28" t="n"/>
      <c r="H41" s="28" t="n"/>
      <c r="I41" s="28" t="n"/>
      <c r="J41" s="385" t="n">
        <v>450</v>
      </c>
      <c r="K41" s="378">
        <f>D41*J41</f>
        <v/>
      </c>
      <c r="L41" s="392" t="n">
        <v>0.33</v>
      </c>
      <c r="M41" s="311">
        <f>(K41/(1-L41))*(1+$D$9)</f>
        <v/>
      </c>
      <c r="N41" s="378">
        <f>(M41*VLOOKUP($C$9,'Base Costs'!$A$32:$B$37,2,FALSE))</f>
        <v/>
      </c>
      <c r="O41" s="379">
        <f>M41-K41</f>
        <v/>
      </c>
      <c r="U41" s="229" t="n"/>
    </row>
    <row r="42" ht="15" customHeight="1" s="1085">
      <c r="A42" s="215" t="n">
        <v>102</v>
      </c>
      <c r="C42" s="269" t="inlineStr">
        <is>
          <t xml:space="preserve">CONSUMABLES </t>
        </is>
      </c>
      <c r="D42" s="242" t="n">
        <v>1</v>
      </c>
      <c r="E42" s="28" t="inlineStr">
        <is>
          <t>ON SITE FIXINGS</t>
        </is>
      </c>
      <c r="F42" s="28" t="n"/>
      <c r="G42" s="28" t="n"/>
      <c r="H42" s="28" t="n"/>
      <c r="I42" s="28" t="n"/>
      <c r="J42" s="385" t="n">
        <v>15</v>
      </c>
      <c r="K42" s="378">
        <f>D42*J42</f>
        <v/>
      </c>
      <c r="L42" s="392" t="n">
        <v>0.33</v>
      </c>
      <c r="M42" s="311">
        <f>(K42/(1-L42))*(1+$D$9)</f>
        <v/>
      </c>
      <c r="N42" s="378">
        <f>(M42*VLOOKUP($C$9,'Base Costs'!$A$32:$B$37,2,FALSE))</f>
        <v/>
      </c>
      <c r="O42" s="379">
        <f>M42-K42</f>
        <v/>
      </c>
      <c r="U42" s="229" t="n"/>
    </row>
    <row r="43" ht="15" customHeight="1" s="1085">
      <c r="A43" s="215" t="n">
        <v>400</v>
      </c>
      <c r="C43" s="269" t="inlineStr">
        <is>
          <t>INSTALLATION NORMAL HOURS</t>
        </is>
      </c>
      <c r="D43" s="242" t="n">
        <v>1</v>
      </c>
      <c r="E43" s="28" t="inlineStr">
        <is>
          <t>PER BOX</t>
        </is>
      </c>
      <c r="F43" s="28" t="n"/>
      <c r="G43" s="28" t="n"/>
      <c r="H43" s="28" t="n"/>
      <c r="I43" s="28" t="n"/>
      <c r="J43" s="385" t="n">
        <v>152.5</v>
      </c>
      <c r="K43" s="378">
        <f>D43*J43</f>
        <v/>
      </c>
      <c r="L43" s="392" t="n">
        <v>0.4</v>
      </c>
      <c r="M43" s="311">
        <f>(K43/(1-L43))*(1+$D$9)</f>
        <v/>
      </c>
      <c r="N43" s="378">
        <f>(M43*VLOOKUP($C$9,'Base Costs'!$A$32:$B$37,2,FALSE))</f>
        <v/>
      </c>
      <c r="O43" s="379">
        <f>M43-K43</f>
        <v/>
      </c>
      <c r="U43" s="229" t="n"/>
    </row>
    <row r="44" ht="15" customHeight="1" s="1085">
      <c r="A44" s="215" t="n">
        <v>400</v>
      </c>
      <c r="C44" s="269" t="inlineStr">
        <is>
          <t>INSTALLATION AFTER HOURS</t>
        </is>
      </c>
      <c r="D44" s="242" t="n"/>
      <c r="E44" s="28" t="inlineStr">
        <is>
          <t>PER BOX</t>
        </is>
      </c>
      <c r="F44" s="28" t="n"/>
      <c r="G44" s="28" t="n"/>
      <c r="H44" s="28" t="n"/>
      <c r="I44" s="28" t="n"/>
      <c r="J44" s="385" t="n">
        <v>861</v>
      </c>
      <c r="K44" s="378">
        <f>D44*J44</f>
        <v/>
      </c>
      <c r="L44" s="392" t="n">
        <v>0.4</v>
      </c>
      <c r="M44" s="311">
        <f>(K44/(1-L44))*(1+$D$9)</f>
        <v/>
      </c>
      <c r="N44" s="378">
        <f>(M44*VLOOKUP($C$9,'Base Costs'!$A$32:$B$37,2,FALSE))</f>
        <v/>
      </c>
      <c r="O44" s="379">
        <f>M44-K44</f>
        <v/>
      </c>
      <c r="U44" s="229" t="n"/>
    </row>
    <row r="45" ht="15" customHeight="1" s="1085">
      <c r="A45" s="215" t="n">
        <v>253</v>
      </c>
      <c r="C45" s="269" t="inlineStr">
        <is>
          <t>TRAVEL EXPENSES</t>
        </is>
      </c>
      <c r="D45" s="242" t="n"/>
      <c r="E45" s="28" t="inlineStr">
        <is>
          <t>PER NIGHT PER TEAM</t>
        </is>
      </c>
      <c r="F45" s="28" t="n"/>
      <c r="G45" s="28" t="n"/>
      <c r="H45" s="28" t="n"/>
      <c r="I45" s="28" t="n"/>
      <c r="J45" s="385" t="n"/>
      <c r="K45" s="378">
        <f>D45*J45</f>
        <v/>
      </c>
      <c r="L45" s="392" t="n">
        <v>0.33</v>
      </c>
      <c r="M45" s="311">
        <f>(K45/(1-L45))*(1+$D$9)</f>
        <v/>
      </c>
      <c r="N45" s="378">
        <f>(M45*VLOOKUP($C$9,'Base Costs'!$A$32:$B$37,2,FALSE))</f>
        <v/>
      </c>
      <c r="O45" s="379">
        <f>M45-K45</f>
        <v/>
      </c>
      <c r="U45" s="229" t="n"/>
    </row>
    <row r="46" ht="15" customHeight="1" s="1085">
      <c r="A46" s="215" t="n">
        <v>253</v>
      </c>
      <c r="C46" s="269" t="inlineStr">
        <is>
          <t>OVERNIGHT</t>
        </is>
      </c>
      <c r="D46" s="242" t="n"/>
      <c r="E46" s="28" t="inlineStr">
        <is>
          <t>PER NIGHT PER TEAM</t>
        </is>
      </c>
      <c r="F46" s="28" t="n"/>
      <c r="G46" s="28" t="n"/>
      <c r="H46" s="28" t="n"/>
      <c r="I46" s="28" t="n"/>
      <c r="J46" s="385" t="n">
        <v>170</v>
      </c>
      <c r="K46" s="378">
        <f>D46*J46</f>
        <v/>
      </c>
      <c r="L46" s="392" t="n">
        <v>0.33</v>
      </c>
      <c r="M46" s="311">
        <f>(K46/(1-L46))*(1+$D$9)</f>
        <v/>
      </c>
      <c r="N46" s="378">
        <f>(M46*VLOOKUP($C$9,'Base Costs'!$A$32:$B$37,2,FALSE))</f>
        <v/>
      </c>
      <c r="O46" s="379">
        <f>M46-K46</f>
        <v/>
      </c>
      <c r="U46" s="229" t="n"/>
    </row>
    <row r="47" ht="15" customHeight="1" s="1085">
      <c r="A47" s="215" t="n">
        <v>280</v>
      </c>
      <c r="C47" s="269" t="inlineStr">
        <is>
          <t>TEST &amp; COMMISSION</t>
        </is>
      </c>
      <c r="D47" s="242" t="n"/>
      <c r="E47" s="28" t="inlineStr">
        <is>
          <t>ONE ENGINEER</t>
        </is>
      </c>
      <c r="F47" s="28" t="n"/>
      <c r="G47" s="28" t="n"/>
      <c r="H47" s="28" t="n"/>
      <c r="I47" s="28" t="n"/>
      <c r="J47" s="385" t="n">
        <v>604</v>
      </c>
      <c r="K47" s="378">
        <f>D47*J47</f>
        <v/>
      </c>
      <c r="L47" s="392" t="n">
        <v>0.33</v>
      </c>
      <c r="M47" s="311">
        <f>(K47/(1-L47))*(1+$D$9)</f>
        <v/>
      </c>
      <c r="N47" s="378">
        <f>(M47*VLOOKUP($C$9,'Base Costs'!$A$32:$B$37,2,FALSE))</f>
        <v/>
      </c>
      <c r="O47" s="379">
        <f>M47-K47</f>
        <v/>
      </c>
      <c r="U47" s="229" t="n"/>
    </row>
    <row r="48" ht="15" customHeight="1" s="1085">
      <c r="A48" s="215" t="n">
        <v>284</v>
      </c>
      <c r="C48" s="269" t="n"/>
      <c r="D48" s="242" t="n"/>
      <c r="E48" s="28" t="inlineStr">
        <is>
          <t>OPTIONAL ITEM</t>
        </is>
      </c>
      <c r="F48" s="28" t="n"/>
      <c r="G48" s="28" t="n"/>
      <c r="H48" s="28" t="n"/>
      <c r="I48" s="28" t="n"/>
      <c r="J48" s="385" t="n">
        <v>200</v>
      </c>
      <c r="K48" s="378">
        <f>D48*J48</f>
        <v/>
      </c>
      <c r="L48" s="392" t="n">
        <v>0.33</v>
      </c>
      <c r="M48" s="311">
        <f>(K48/(1-L48))*(1+$D$9)</f>
        <v/>
      </c>
      <c r="N48" s="378">
        <f>(M48*VLOOKUP($C$9,'Base Costs'!$A$32:$B$37,2,FALSE))</f>
        <v/>
      </c>
      <c r="O48" s="379">
        <f>M48-K48</f>
        <v/>
      </c>
      <c r="U48" s="229" t="n"/>
    </row>
    <row r="49" ht="15" customHeight="1" s="1085">
      <c r="C49" s="239" t="n"/>
      <c r="D49" s="239" t="n"/>
      <c r="E49" s="239" t="n"/>
      <c r="F49" s="239" t="n"/>
      <c r="G49" s="239" t="n"/>
      <c r="H49" s="243" t="n"/>
      <c r="I49" s="244" t="n"/>
      <c r="J49" s="354" t="n"/>
      <c r="K49" s="353" t="n"/>
      <c r="L49" s="355" t="n"/>
      <c r="M49" s="353" t="n"/>
      <c r="N49" s="353" t="n"/>
      <c r="U49" s="229" t="n"/>
    </row>
    <row r="50" ht="15" customHeight="1" s="1085">
      <c r="C50" s="197" t="inlineStr">
        <is>
          <t>Office Use Only</t>
        </is>
      </c>
      <c r="D50" s="198" t="n"/>
      <c r="E50" s="199" t="n"/>
      <c r="F50" s="199" t="n"/>
      <c r="G50" s="198" t="n"/>
      <c r="H50" s="200" t="n"/>
      <c r="I50" s="198" t="n"/>
      <c r="J50" s="198" t="n"/>
      <c r="K50" s="198" t="n"/>
      <c r="L50" s="198" t="n"/>
      <c r="M50" s="198" t="n"/>
      <c r="N50" s="198" t="n"/>
      <c r="O50" s="198" t="n"/>
      <c r="U50" s="229" t="n"/>
    </row>
    <row r="51" ht="15" customHeight="1" s="1085">
      <c r="C51" s="202" t="n"/>
      <c r="D51" s="203" t="n"/>
      <c r="E51" s="202" t="n"/>
      <c r="F51" s="204" t="n"/>
      <c r="G51" s="202" t="n"/>
      <c r="H51" s="209" t="n"/>
      <c r="I51" s="203" t="n"/>
      <c r="J51" s="203" t="n"/>
      <c r="K51" s="205" t="n"/>
      <c r="L51" s="205" t="n"/>
      <c r="M51" s="205" t="n"/>
      <c r="N51" s="205" t="n"/>
      <c r="O51" s="205" t="n"/>
      <c r="U51" s="229" t="n"/>
    </row>
    <row r="52" ht="15" customHeight="1" s="1085">
      <c r="C52" s="202" t="n"/>
      <c r="D52" s="203" t="n"/>
      <c r="E52" s="202" t="n"/>
      <c r="F52" s="204" t="n"/>
      <c r="G52" s="202" t="n"/>
      <c r="H52" s="209" t="n"/>
      <c r="I52" s="203" t="n"/>
      <c r="J52" s="203" t="n"/>
      <c r="K52" s="205" t="n"/>
      <c r="L52" s="205" t="n"/>
      <c r="M52" s="205" t="n"/>
      <c r="N52" s="205" t="n"/>
      <c r="O52" s="205" t="n"/>
      <c r="U52" s="229" t="n"/>
    </row>
    <row r="53" ht="15" customHeight="1" s="1085">
      <c r="C53" s="202" t="n"/>
      <c r="D53" s="203" t="n"/>
      <c r="E53" s="202" t="n"/>
      <c r="F53" s="204" t="n"/>
      <c r="G53" s="202" t="n"/>
      <c r="H53" s="209" t="n"/>
      <c r="I53" s="203" t="n"/>
      <c r="J53" s="203" t="n"/>
      <c r="K53" s="209" t="n"/>
      <c r="L53" s="209" t="n"/>
      <c r="M53" s="209" t="n"/>
      <c r="N53" s="209" t="n"/>
      <c r="O53" s="209" t="n"/>
      <c r="U53" s="229" t="n"/>
    </row>
    <row r="54" ht="15" customHeight="1" s="1085">
      <c r="C54" s="202" t="n"/>
      <c r="D54" s="203" t="n"/>
      <c r="E54" s="202" t="n"/>
      <c r="F54" s="204" t="n"/>
      <c r="G54" s="202" t="n"/>
      <c r="H54" s="209" t="n"/>
      <c r="I54" s="206" t="n"/>
      <c r="J54" s="203" t="n"/>
      <c r="K54" s="209" t="n"/>
      <c r="L54" s="209" t="n"/>
      <c r="M54" s="209" t="n"/>
      <c r="N54" s="209" t="n"/>
      <c r="O54" s="209" t="n"/>
      <c r="U54" s="229" t="n"/>
    </row>
    <row r="55" ht="15" customHeight="1" s="1085">
      <c r="C55" s="202" t="n"/>
      <c r="D55" s="203" t="n"/>
      <c r="E55" s="202" t="n"/>
      <c r="F55" s="202" t="n"/>
      <c r="G55" s="202" t="n"/>
      <c r="H55" s="207" t="n"/>
      <c r="I55" s="209" t="n"/>
      <c r="J55" s="203" t="n"/>
      <c r="K55" s="205" t="n"/>
      <c r="L55" s="205" t="n"/>
      <c r="M55" s="205" t="n"/>
      <c r="N55" s="205" t="n"/>
      <c r="O55" s="205" t="n"/>
      <c r="U55" s="229" t="n"/>
    </row>
    <row r="56" ht="15" customHeight="1" s="1085">
      <c r="C56" s="202" t="n"/>
      <c r="D56" s="202" t="n"/>
      <c r="E56" s="202" t="n"/>
      <c r="F56" s="202" t="n"/>
      <c r="G56" s="202" t="n"/>
      <c r="H56" s="207" t="n"/>
      <c r="I56" s="209" t="n"/>
      <c r="J56" s="203" t="n"/>
      <c r="K56" s="205" t="n"/>
      <c r="L56" s="205" t="n"/>
      <c r="M56" s="205" t="n"/>
      <c r="N56" s="205" t="n"/>
      <c r="O56" s="205" t="n"/>
      <c r="U56" s="229" t="n"/>
    </row>
    <row r="57" ht="15" customHeight="1" s="1085">
      <c r="J57" s="228" t="n"/>
      <c r="M57" s="228" t="n"/>
      <c r="O57" s="228" t="n"/>
      <c r="U57" s="229" t="n"/>
    </row>
    <row r="58" ht="15" customHeight="1" s="1085">
      <c r="J58" s="228" t="n"/>
      <c r="M58" s="228" t="n"/>
      <c r="O58" s="228" t="n"/>
      <c r="U58" s="229" t="n"/>
    </row>
    <row r="59" ht="15" customHeight="1" s="1085">
      <c r="H59" s="219" t="n"/>
      <c r="U59" s="229" t="n"/>
    </row>
    <row r="60" ht="15" customHeight="1" s="1085">
      <c r="H60" s="219" t="n"/>
      <c r="U60" s="229" t="n"/>
    </row>
    <row r="61" ht="15" customHeight="1" s="1085">
      <c r="H61" s="219" t="n"/>
      <c r="U61" s="229" t="n"/>
    </row>
    <row r="62" ht="15" customHeight="1" s="1085">
      <c r="H62" s="219" t="n"/>
      <c r="U62" s="229" t="n"/>
    </row>
    <row r="63" ht="15" customHeight="1" s="1085">
      <c r="H63" s="219" t="n"/>
      <c r="U63" s="229" t="n"/>
    </row>
    <row r="64" ht="15" customHeight="1" s="1085">
      <c r="H64" s="219" t="n"/>
      <c r="U64" s="229" t="n"/>
    </row>
    <row r="65" ht="15" customHeight="1" s="1085">
      <c r="H65" s="219" t="n"/>
      <c r="U65" s="229" t="n"/>
    </row>
    <row r="66" ht="15" customHeight="1" s="1085">
      <c r="H66" s="219" t="n"/>
      <c r="U66" s="229" t="n"/>
    </row>
    <row r="67" ht="15" customHeight="1" s="1085">
      <c r="H67" s="219" t="n"/>
      <c r="U67" s="229" t="n"/>
    </row>
    <row r="68" ht="15" customHeight="1" s="1085">
      <c r="C68" s="245" t="n"/>
      <c r="D68" s="245" t="n"/>
      <c r="E68" s="245" t="n"/>
      <c r="F68" s="245" t="n"/>
      <c r="G68" s="245" t="n"/>
      <c r="H68" s="245" t="n"/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3" ht="15" customHeight="1" s="1085">
      <c r="U103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2" ht="15" customHeight="1" s="1085">
      <c r="U112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1" ht="15" customHeight="1" s="1085">
      <c r="U121" s="229" t="n"/>
    </row>
    <row r="122" ht="15" customHeight="1" s="1085">
      <c r="U122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  <row r="142" ht="15" customHeight="1" s="1085">
      <c r="U142" s="229" t="n"/>
    </row>
    <row r="143" ht="15" customHeight="1" s="1085">
      <c r="U143" s="229" t="n"/>
    </row>
    <row r="144" ht="15" customHeight="1" s="1085">
      <c r="U144" s="229" t="n"/>
    </row>
    <row r="145" ht="15" customHeight="1" s="1085">
      <c r="U145" s="229" t="n"/>
    </row>
    <row r="146" ht="15" customHeight="1" s="1085">
      <c r="U146" s="229" t="n"/>
    </row>
    <row r="147" ht="15" customHeight="1" s="1085">
      <c r="U147" s="229" t="n"/>
    </row>
    <row r="148" ht="15" customHeight="1" s="1085">
      <c r="U148" s="229" t="n"/>
    </row>
    <row r="149" ht="15" customHeight="1" s="1085">
      <c r="U149" s="229" t="n"/>
    </row>
    <row r="150" ht="15" customHeight="1" s="1085">
      <c r="U150" s="229" t="n"/>
    </row>
    <row r="151" ht="15" customHeight="1" s="1085">
      <c r="U151" s="229" t="n"/>
    </row>
    <row r="152" ht="15" customHeight="1" s="1085">
      <c r="U152" s="229" t="n"/>
    </row>
    <row r="153" ht="15" customHeight="1" s="1085">
      <c r="U153" s="229" t="n"/>
    </row>
    <row r="154" ht="15" customHeight="1" s="1085">
      <c r="U154" s="229" t="n"/>
    </row>
    <row r="155" ht="15" customHeight="1" s="1085">
      <c r="U155" s="229" t="n"/>
    </row>
    <row r="156" ht="15" customHeight="1" s="1085">
      <c r="U156" s="229" t="n"/>
    </row>
    <row r="157" ht="15" customHeight="1" s="1085">
      <c r="U157" s="229" t="n"/>
    </row>
    <row r="158" ht="15" customHeight="1" s="1085">
      <c r="U158" s="229" t="n"/>
    </row>
    <row r="159" ht="15" customHeight="1" s="1085">
      <c r="U159" s="229" t="n"/>
    </row>
    <row r="160" ht="15" customHeight="1" s="1085">
      <c r="U160" s="229" t="n"/>
    </row>
    <row r="161" ht="15" customHeight="1" s="1085">
      <c r="U161" s="229" t="n"/>
    </row>
  </sheetData>
  <mergeCells count="9">
    <mergeCell ref="P7:R7"/>
    <mergeCell ref="D7:E7"/>
    <mergeCell ref="C1:D1"/>
    <mergeCell ref="H5:J5"/>
    <mergeCell ref="C37:H37"/>
    <mergeCell ref="D5:E5"/>
    <mergeCell ref="H3:J3"/>
    <mergeCell ref="D3:E3"/>
    <mergeCell ref="H7:J7"/>
  </mergeCells>
  <conditionalFormatting sqref="C9">
    <cfRule type="containsText" priority="35" operator="containsText" dxfId="680" text="SELECT">
      <formula>NOT(ISERROR(SEARCH("SELECT",C9)))</formula>
    </cfRule>
    <cfRule type="expression" priority="36" dxfId="680">
      <formula>C9="CURRENCY"</formula>
    </cfRule>
  </conditionalFormatting>
  <conditionalFormatting sqref="C14:C34">
    <cfRule type="expression" priority="1" dxfId="633">
      <formula>$J14&gt;0</formula>
    </cfRule>
  </conditionalFormatting>
  <conditionalFormatting sqref="C38:C48">
    <cfRule type="expression" priority="12" dxfId="633">
      <formula>$D38&gt;0</formula>
    </cfRule>
  </conditionalFormatting>
  <conditionalFormatting sqref="D38:D39 D41:D48">
    <cfRule type="cellIs" priority="37" operator="lessThan" dxfId="554">
      <formula>1</formula>
    </cfRule>
  </conditionalFormatting>
  <conditionalFormatting sqref="D40">
    <cfRule type="cellIs" priority="32" operator="lessThan" dxfId="164">
      <formula>1</formula>
    </cfRule>
  </conditionalFormatting>
  <conditionalFormatting sqref="D9:E9">
    <cfRule type="cellIs" priority="33" operator="lessThan" dxfId="207">
      <formula>0</formula>
    </cfRule>
    <cfRule type="cellIs" priority="34" operator="greaterThan" dxfId="552">
      <formula>0</formula>
    </cfRule>
  </conditionalFormatting>
  <conditionalFormatting sqref="F12">
    <cfRule type="expression" priority="42" dxfId="386">
      <formula>AND((ISNUMBER(SEARCH("I-MUAP",$E$14))),F12&lt;2500)</formula>
    </cfRule>
    <cfRule type="expression" priority="43" dxfId="387">
      <formula>ISNUMBER(SEARCH("I-MUAP",$E$14))</formula>
    </cfRule>
    <cfRule type="cellIs" priority="44" operator="greaterThan" dxfId="204">
      <formula>2000</formula>
    </cfRule>
  </conditionalFormatting>
  <conditionalFormatting sqref="F12:G12">
    <cfRule type="cellIs" priority="38" operator="lessThan" dxfId="204">
      <formula>1000</formula>
    </cfRule>
  </conditionalFormatting>
  <conditionalFormatting sqref="F14:G28">
    <cfRule type="cellIs" priority="5" operator="lessThan" dxfId="164">
      <formula>1000</formula>
    </cfRule>
  </conditionalFormatting>
  <conditionalFormatting sqref="F31:G32">
    <cfRule type="cellIs" priority="2" operator="lessThan" dxfId="164">
      <formula>1000</formula>
    </cfRule>
  </conditionalFormatting>
  <conditionalFormatting sqref="G12">
    <cfRule type="cellIs" priority="39" operator="greaterThan" dxfId="204">
      <formula>3001</formula>
    </cfRule>
  </conditionalFormatting>
  <conditionalFormatting sqref="H11">
    <cfRule type="expression" priority="41" dxfId="176">
      <formula>((G14-50)/I14)&lt;950</formula>
    </cfRule>
  </conditionalFormatting>
  <conditionalFormatting sqref="H12">
    <cfRule type="expression" priority="40" dxfId="175">
      <formula>((G14-50)/I14)&lt;950</formula>
    </cfRule>
  </conditionalFormatting>
  <conditionalFormatting sqref="H14:H28">
    <cfRule type="cellIs" priority="6" operator="lessThan" dxfId="164">
      <formula>400</formula>
    </cfRule>
  </conditionalFormatting>
  <conditionalFormatting sqref="H31:H32">
    <cfRule type="cellIs" priority="3" operator="lessThan" dxfId="164">
      <formula>400</formula>
    </cfRule>
  </conditionalFormatting>
  <conditionalFormatting sqref="H35">
    <cfRule type="expression" priority="49" dxfId="176">
      <formula>((#REF!-50)/#REF!)&lt;950</formula>
    </cfRule>
  </conditionalFormatting>
  <conditionalFormatting sqref="J14:J32">
    <cfRule type="cellIs" priority="17" operator="greaterThan" dxfId="153">
      <formula>0</formula>
    </cfRule>
  </conditionalFormatting>
  <conditionalFormatting sqref="J38:J48">
    <cfRule type="expression" priority="25" dxfId="153">
      <formula>D38&gt;0</formula>
    </cfRule>
  </conditionalFormatting>
  <conditionalFormatting sqref="J50:J56">
    <cfRule type="expression" priority="30" dxfId="2">
      <formula>#REF!="EURO"</formula>
    </cfRule>
  </conditionalFormatting>
  <conditionalFormatting sqref="K14:K34">
    <cfRule type="cellIs" priority="4" operator="greaterThan" dxfId="141">
      <formula>0</formula>
    </cfRule>
  </conditionalFormatting>
  <conditionalFormatting sqref="K38:K48">
    <cfRule type="cellIs" priority="31" operator="greaterThan" dxfId="141">
      <formula>0</formula>
    </cfRule>
  </conditionalFormatting>
  <conditionalFormatting sqref="K50:K56">
    <cfRule type="expression" priority="26" dxfId="4">
      <formula>$C$9="PLN"</formula>
    </cfRule>
    <cfRule type="expression" priority="27" dxfId="0">
      <formula>$C$9="CZK"</formula>
    </cfRule>
    <cfRule type="expression" priority="28" dxfId="3">
      <formula>$C$9="USD"</formula>
    </cfRule>
    <cfRule type="expression" priority="29" dxfId="2">
      <formula>$C$9="EURO"</formula>
    </cfRule>
  </conditionalFormatting>
  <conditionalFormatting sqref="L14:L34">
    <cfRule type="expression" priority="15" dxfId="116">
      <formula>$D$9&lt;0</formula>
    </cfRule>
    <cfRule type="expression" priority="16" dxfId="115">
      <formula>$D$9&gt;0</formula>
    </cfRule>
  </conditionalFormatting>
  <conditionalFormatting sqref="L38:L48">
    <cfRule type="expression" priority="13" dxfId="116">
      <formula>$D$9&lt;0</formula>
    </cfRule>
    <cfRule type="expression" priority="14" dxfId="115">
      <formula>$D$9&gt;0</formula>
    </cfRule>
  </conditionalFormatting>
  <conditionalFormatting sqref="N9 N12">
    <cfRule type="expression" priority="45" dxfId="4">
      <formula>$C$9="PLN"</formula>
    </cfRule>
    <cfRule type="expression" priority="46" dxfId="0">
      <formula>$C$9="CZK"</formula>
    </cfRule>
    <cfRule type="expression" priority="47" dxfId="3">
      <formula>$C$9="USD"</formula>
    </cfRule>
    <cfRule type="expression" priority="48" dxfId="2">
      <formula>$C$9="EURO"</formula>
    </cfRule>
  </conditionalFormatting>
  <conditionalFormatting sqref="N14:N34">
    <cfRule type="expression" priority="19" dxfId="4">
      <formula>$C$9="PLN"</formula>
    </cfRule>
    <cfRule type="expression" priority="20" dxfId="0">
      <formula>$C$9="CZK"</formula>
    </cfRule>
    <cfRule type="expression" priority="21" dxfId="3">
      <formula>$C$9="USD"</formula>
    </cfRule>
    <cfRule type="expression" priority="22" dxfId="2">
      <formula>$C$9="EURO"</formula>
    </cfRule>
  </conditionalFormatting>
  <conditionalFormatting sqref="N18:N22">
    <cfRule type="cellIs" priority="23" operator="greaterThan" dxfId="5">
      <formula>0</formula>
    </cfRule>
  </conditionalFormatting>
  <conditionalFormatting sqref="N37:N48">
    <cfRule type="expression" priority="8" dxfId="4">
      <formula>$C$9="PLN"</formula>
    </cfRule>
    <cfRule type="expression" priority="9" dxfId="0">
      <formula>$C$9="CZK"</formula>
    </cfRule>
    <cfRule type="expression" priority="10" dxfId="3">
      <formula>$C$9="USD"</formula>
    </cfRule>
    <cfRule type="expression" priority="11" dxfId="2">
      <formula>$C$9="EURO"</formula>
    </cfRule>
  </conditionalFormatting>
  <conditionalFormatting sqref="N14:O34">
    <cfRule type="cellIs" priority="18" operator="greaterThan" dxfId="5">
      <formula>0</formula>
    </cfRule>
  </conditionalFormatting>
  <conditionalFormatting sqref="N38:O48">
    <cfRule type="cellIs" priority="7" operator="greaterThan" dxfId="141">
      <formula>0</formula>
    </cfRule>
  </conditionalFormatting>
  <conditionalFormatting sqref="O14:O22">
    <cfRule type="cellIs" priority="24" operator="greaterThan" dxfId="5">
      <formula>0</formula>
    </cfRule>
  </conditionalFormatting>
  <dataValidations count="3">
    <dataValidation sqref="H36" showDropDown="0" showInputMessage="1" showErrorMessage="1" allowBlank="1" type="list">
      <formula1>#REF!</formula1>
    </dataValidation>
    <dataValidation sqref="F14:F28 F31:F32" showDropDown="0" showInputMessage="1" showErrorMessage="1" allowBlank="1" operator="greaterThan"/>
    <dataValidation sqref="E14:E34" showDropDown="0" showInputMessage="1" showErrorMessage="1" allowBlank="1" type="list">
      <formula1>"0,1,2,3,4,5,6,7,8,9,10,11,12,13,14,15,16,17,18,19,20"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61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tabColor theme="8" tint="0.7999816888943144"/>
    <outlinePr summaryBelow="1" summaryRight="1"/>
    <pageSetUpPr fitToPage="1"/>
  </sheetPr>
  <dimension ref="A1:AB161"/>
  <sheetViews>
    <sheetView showGridLines="0" zoomScale="70" zoomScaleNormal="70" zoomScaleSheetLayoutView="50" workbookViewId="0">
      <selection activeCell="Q35" sqref="Q35"/>
    </sheetView>
  </sheetViews>
  <sheetFormatPr baseColWidth="10" defaultColWidth="8.83203125" defaultRowHeight="15" customHeight="1"/>
  <cols>
    <col width="2" customWidth="1" style="215" min="1" max="2"/>
    <col width="39.5" customWidth="1" style="1070" min="3" max="3"/>
    <col width="39.83203125" customWidth="1" style="1070" min="4" max="4"/>
    <col width="27.1640625" customWidth="1" style="1070" min="5" max="5"/>
    <col width="16.83203125" customWidth="1" style="1070" min="6" max="6"/>
    <col width="15.5" customWidth="1" style="1070" min="7" max="7"/>
    <col width="19.6640625" customWidth="1" style="1070" min="8" max="8"/>
    <col width="10" bestFit="1" customWidth="1" style="1072" min="9" max="9"/>
    <col width="14.83203125" bestFit="1" customWidth="1" style="1073" min="10" max="10"/>
    <col width="17.5" customWidth="1" style="228" min="11" max="11"/>
    <col width="10.5" customWidth="1" style="228" min="12" max="12"/>
    <col hidden="1" width="10.6640625" customWidth="1" style="346" min="13" max="13"/>
    <col width="14.5" bestFit="1" customWidth="1" style="1073" min="14" max="14"/>
    <col width="13.6640625" bestFit="1" customWidth="1" style="14" min="15" max="15"/>
    <col width="8.83203125" customWidth="1" style="1070" min="16" max="17"/>
    <col width="18.6640625" customWidth="1" style="1070" min="18" max="18"/>
    <col width="8.83203125" customWidth="1" style="1070" min="19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0"/>
    <col width="8.83203125" customWidth="1" style="1070" min="101" max="16384"/>
  </cols>
  <sheetData>
    <row r="1" ht="15" customHeight="1" s="1085">
      <c r="C1" s="1148" t="inlineStr">
        <is>
          <t xml:space="preserve">F24-19    EDGE BOX COST SHEET </t>
        </is>
      </c>
      <c r="E1" s="216" t="n"/>
      <c r="F1" s="216" t="n"/>
      <c r="G1" s="216" t="n"/>
      <c r="H1" s="216" t="n"/>
      <c r="I1" s="29" t="n"/>
      <c r="J1" s="336" t="n"/>
      <c r="K1" s="337" t="n"/>
      <c r="L1" s="338" t="n"/>
      <c r="M1" s="339" t="n"/>
      <c r="N1" s="336" t="n"/>
      <c r="O1" s="975" t="inlineStr">
        <is>
          <t>JAN25-19</t>
        </is>
      </c>
      <c r="S1" s="80" t="n"/>
      <c r="T1" s="218" t="n"/>
    </row>
    <row r="2" ht="15" customHeight="1" s="1085">
      <c r="C2" s="79" t="n"/>
      <c r="D2" s="221" t="n"/>
      <c r="E2" s="221" t="n"/>
      <c r="G2" s="79" t="n"/>
      <c r="H2" s="77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C3" s="78" t="inlineStr">
        <is>
          <t>Job No.</t>
        </is>
      </c>
      <c r="D3" s="1130">
        <f>IF(CANOPY!C3="","",CANOPY!C3)</f>
        <v/>
      </c>
      <c r="G3" s="76" t="inlineStr">
        <is>
          <t>Project Name</t>
        </is>
      </c>
      <c r="H3" s="1071">
        <f>IF(CANOPY!G3="","",CANOPY!G3)</f>
        <v/>
      </c>
      <c r="L3" s="342" t="n"/>
      <c r="M3" s="343" t="n"/>
      <c r="N3" s="344" t="n"/>
      <c r="T3" s="225" t="n"/>
    </row>
    <row r="4" ht="15" customHeight="1" s="1085">
      <c r="C4" s="79" t="n"/>
      <c r="D4" s="223" t="n"/>
      <c r="E4" s="223" t="n"/>
      <c r="G4" s="77" t="n"/>
      <c r="H4" s="222" t="n"/>
      <c r="I4" s="227" t="n"/>
      <c r="J4" s="341" t="n"/>
      <c r="L4" s="342" t="n"/>
      <c r="M4" s="343" t="n"/>
      <c r="N4" s="344" t="n"/>
      <c r="T4" s="225" t="n"/>
    </row>
    <row r="5" ht="15" customHeight="1" s="1085">
      <c r="C5" s="78" t="inlineStr">
        <is>
          <t>Customer</t>
        </is>
      </c>
      <c r="D5" s="1074">
        <f>IF(CANOPY!C5="","",CANOPY!C5)</f>
        <v/>
      </c>
      <c r="G5" s="76" t="inlineStr">
        <is>
          <t>Location</t>
        </is>
      </c>
      <c r="H5" s="1071">
        <f>IF(CANOPY!G5="","",CANOPY!G5)</f>
        <v/>
      </c>
      <c r="M5" s="343" t="n"/>
      <c r="N5" s="344" t="n"/>
      <c r="Q5" s="229" t="n"/>
      <c r="R5" s="229" t="n"/>
      <c r="T5" s="225" t="n"/>
      <c r="U5" s="226" t="n"/>
    </row>
    <row r="6" ht="15" customHeight="1" s="1085">
      <c r="C6" s="78" t="n"/>
      <c r="D6" s="230" t="n"/>
      <c r="E6" s="230" t="n"/>
      <c r="G6" s="76" t="n"/>
      <c r="H6" s="222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C7" s="80" t="inlineStr">
        <is>
          <t>Sales Manager / Estimator initials</t>
        </is>
      </c>
      <c r="D7" s="1074">
        <f>IF(CANOPY!C7="","",CANOPY!C7)</f>
        <v/>
      </c>
      <c r="G7" s="76" t="inlineStr">
        <is>
          <t>Date</t>
        </is>
      </c>
      <c r="H7" s="1075">
        <f>IF(CANOPY!G7="","",CANOPY!G7)</f>
        <v/>
      </c>
      <c r="N7" s="347" t="inlineStr">
        <is>
          <t>Revision No</t>
        </is>
      </c>
      <c r="O7" s="900">
        <f>IF(CANOPY!O7="","",CANOPY!O7)</f>
        <v/>
      </c>
      <c r="P7" s="1157" t="inlineStr">
        <is>
          <t>GP SHOULD BE MINIMUM 44%</t>
        </is>
      </c>
      <c r="T7" s="225" t="n"/>
      <c r="U7" s="226" t="n"/>
      <c r="AA7" s="231" t="n"/>
    </row>
    <row r="8" ht="15" customHeight="1" s="1085">
      <c r="E8" s="219" t="n"/>
      <c r="F8" s="219" t="n"/>
      <c r="H8" s="219" t="n"/>
      <c r="J8" s="346" t="n"/>
      <c r="K8" s="14" t="n"/>
      <c r="T8" s="225" t="n"/>
      <c r="AA8" s="231" t="n"/>
    </row>
    <row r="9" ht="15" customFormat="1" customHeight="1" s="80">
      <c r="A9" s="215" t="n"/>
      <c r="B9" s="215" t="n"/>
      <c r="C9" s="38" t="inlineStr">
        <is>
          <t>CURRENCY</t>
        </is>
      </c>
      <c r="D9" s="951" t="n">
        <v>0</v>
      </c>
      <c r="E9" s="377">
        <f>IF(D9=0,0,(SUBTOTAL(9,M14:M48)/(1-D9))-M9)</f>
        <v/>
      </c>
      <c r="I9" s="234" t="n"/>
      <c r="K9" s="25">
        <f>SUBTOTAL(9,K12:K48)</f>
        <v/>
      </c>
      <c r="L9" s="970">
        <f>IF(O9=0,"-",O9/M9)</f>
        <v/>
      </c>
      <c r="M9" s="25">
        <f>SUBTOTAL(9,M12:M48)</f>
        <v/>
      </c>
      <c r="N9" s="464">
        <f>SUBTOTAL(9,N12:N48)</f>
        <v/>
      </c>
      <c r="O9" s="25">
        <f>SUBTOTAL(9,O12:O48)</f>
        <v/>
      </c>
      <c r="P9" s="1070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215" t="n"/>
      <c r="C12" s="1089" t="inlineStr">
        <is>
          <t xml:space="preserve">ITEM </t>
        </is>
      </c>
      <c r="D12" s="236" t="n"/>
      <c r="E12" s="237">
        <f>E14</f>
        <v/>
      </c>
      <c r="F12" s="838" t="n">
        <v>0</v>
      </c>
      <c r="G12" s="838">
        <f>IF(I12&lt;1,0,CEILING((G14-100)/I14,250))</f>
        <v/>
      </c>
      <c r="H12" s="237">
        <f>E12&amp;G12&amp;F12</f>
        <v/>
      </c>
      <c r="I12" s="236">
        <f>IF(F14=0,0,IF(G14=0,0,(F14/(IF(D14="WALL",F14,(F14/2)))*I14)))</f>
        <v/>
      </c>
      <c r="J12" s="238" t="n"/>
      <c r="K12" s="154">
        <f>SUBTOTAL(9,K14:K34)</f>
        <v/>
      </c>
      <c r="L12" s="15">
        <f>IF(K14=0,"-",O12/M12)</f>
        <v/>
      </c>
      <c r="M12" s="154">
        <f>SUBTOTAL(9,M14:M34)</f>
        <v/>
      </c>
      <c r="N12" s="464">
        <f>SUBTOTAL(9,N14:N34)</f>
        <v/>
      </c>
      <c r="O12" s="154">
        <f>SUBTOTAL(9,O14:O34)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LENGTH</t>
        </is>
      </c>
      <c r="G13" s="10" t="inlineStr">
        <is>
          <t>WIDTH</t>
        </is>
      </c>
      <c r="H13" s="10" t="inlineStr">
        <is>
          <t>HEIGHT</t>
        </is>
      </c>
      <c r="I13" s="10" t="inlineStr">
        <is>
          <t>SECTIONS</t>
        </is>
      </c>
      <c r="J13" s="349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A14" s="215" t="n">
        <v>210</v>
      </c>
      <c r="C14" s="791" t="inlineStr">
        <is>
          <t xml:space="preserve">PS-150 TOUCH SCREEN </t>
        </is>
      </c>
      <c r="D14" s="460" t="inlineStr">
        <is>
          <t>TOUCH SCREEN REMOTE BOX - METAL</t>
        </is>
      </c>
      <c r="E14" s="448" t="n"/>
      <c r="F14" s="837" t="n">
        <v>300</v>
      </c>
      <c r="G14" s="835" t="n">
        <v>95</v>
      </c>
      <c r="H14" s="896" t="n">
        <v>250</v>
      </c>
      <c r="I14" s="31" t="n"/>
      <c r="J14" s="380" t="n">
        <v>419.97</v>
      </c>
      <c r="K14" s="378">
        <f>SUM(J14*E14)</f>
        <v/>
      </c>
      <c r="L14" s="392" t="n">
        <v>0.35</v>
      </c>
      <c r="M14" s="311">
        <f>(K14/(1-L14))*(1+$D$9)</f>
        <v/>
      </c>
      <c r="N14" s="378">
        <f>(M14*VLOOKUP($C$9,'Base Costs'!$A$32:$B$37,2,FALSE))</f>
        <v/>
      </c>
      <c r="O14" s="379">
        <f>M14-K14</f>
        <v/>
      </c>
      <c r="U14" s="229" t="n"/>
      <c r="AA14" s="1070" t="n"/>
    </row>
    <row r="15" ht="15" customHeight="1" s="1085">
      <c r="A15" s="215" t="n">
        <v>104</v>
      </c>
      <c r="C15" s="855" t="inlineStr">
        <is>
          <t>PS-152 EDGE BOX</t>
        </is>
      </c>
      <c r="D15" s="460" t="inlineStr">
        <is>
          <t>PEU/AEU/HOODS (Staged Alarms)</t>
        </is>
      </c>
      <c r="E15" s="448" t="n"/>
      <c r="F15" s="895" t="n">
        <v>380</v>
      </c>
      <c r="G15" s="835" t="n">
        <v>300</v>
      </c>
      <c r="H15" s="896" t="n">
        <v>180</v>
      </c>
      <c r="I15" s="31" t="n"/>
      <c r="J15" s="380" t="n">
        <v>1030.52</v>
      </c>
      <c r="K15" s="378">
        <f>SUM(J15*E15)</f>
        <v/>
      </c>
      <c r="L15" s="392" t="n">
        <v>0.35</v>
      </c>
      <c r="M15" s="311">
        <f>(K15/(1-L15))*(1+$D$9)</f>
        <v/>
      </c>
      <c r="N15" s="378">
        <f>(M15*VLOOKUP($C$9,'Base Costs'!$A$32:$B$37,2,FALSE))</f>
        <v/>
      </c>
      <c r="O15" s="379">
        <f>M15-K15</f>
        <v/>
      </c>
      <c r="U15" s="229" t="n"/>
      <c r="AA15" s="1070" t="n"/>
    </row>
    <row r="16" ht="15" customHeight="1" s="1085">
      <c r="A16" s="215" t="n">
        <v>234</v>
      </c>
      <c r="C16" s="855" t="inlineStr">
        <is>
          <t>PS-153 EDGE BOX</t>
        </is>
      </c>
      <c r="D16" s="460" t="inlineStr">
        <is>
          <t>PEU/HOODS (Staged Alarms)</t>
        </is>
      </c>
      <c r="E16" s="461" t="n"/>
      <c r="F16" s="895" t="n">
        <v>380</v>
      </c>
      <c r="G16" s="835" t="n">
        <v>300</v>
      </c>
      <c r="H16" s="896" t="n">
        <v>180</v>
      </c>
      <c r="I16" s="31" t="n"/>
      <c r="J16" s="380" t="n">
        <v>690.16</v>
      </c>
      <c r="K16" s="378">
        <f>SUM(J16*E16)</f>
        <v/>
      </c>
      <c r="L16" s="392" t="n">
        <v>0.35</v>
      </c>
      <c r="M16" s="311">
        <f>(K16/(1-L16))*(1+$D$9)</f>
        <v/>
      </c>
      <c r="N16" s="378">
        <f>(M16*VLOOKUP($C$9,'Base Costs'!$A$32:$B$37,2,FALSE))</f>
        <v/>
      </c>
      <c r="O16" s="379">
        <f>M16-K16</f>
        <v/>
      </c>
      <c r="U16" s="229" t="n"/>
      <c r="AA16" s="1070" t="n"/>
    </row>
    <row r="17" ht="15" customHeight="1" s="1085">
      <c r="C17" s="855" t="inlineStr">
        <is>
          <t>PS-154 EDGE BOX</t>
        </is>
      </c>
      <c r="D17" s="460" t="inlineStr">
        <is>
          <t>PEU/MRV/HOODS (Staged Alarms)</t>
        </is>
      </c>
      <c r="E17" s="448" t="n"/>
      <c r="F17" s="895" t="n">
        <v>380</v>
      </c>
      <c r="G17" s="895" t="n">
        <v>300</v>
      </c>
      <c r="H17" s="896" t="n">
        <v>180</v>
      </c>
      <c r="I17" s="31" t="n"/>
      <c r="J17" s="380" t="n">
        <v>894.01</v>
      </c>
      <c r="K17" s="378">
        <f>SUM(J17*E17)</f>
        <v/>
      </c>
      <c r="L17" s="392" t="n">
        <v>0.35</v>
      </c>
      <c r="M17" s="311">
        <f>(K17/(1-L17))*(1+$D$9)</f>
        <v/>
      </c>
      <c r="N17" s="378">
        <f>(M17*VLOOKUP($C$9,'Base Costs'!$A$32:$B$37,2,FALSE))</f>
        <v/>
      </c>
      <c r="O17" s="379">
        <f>M17-K17</f>
        <v/>
      </c>
      <c r="U17" s="229" t="n"/>
      <c r="AA17" s="1070" t="n"/>
    </row>
    <row r="18" ht="15" customHeight="1" s="1085">
      <c r="C18" s="855" t="inlineStr">
        <is>
          <t>PS-155 EDGE BOX</t>
        </is>
      </c>
      <c r="D18" s="460" t="inlineStr">
        <is>
          <t>PEU/AEU/ MRV/HOOD (No Staged Alarms)</t>
        </is>
      </c>
      <c r="E18" s="448" t="n"/>
      <c r="F18" s="895" t="n">
        <v>380</v>
      </c>
      <c r="G18" s="895" t="n">
        <v>300</v>
      </c>
      <c r="H18" s="896" t="n">
        <v>180</v>
      </c>
      <c r="I18" s="31" t="n"/>
      <c r="J18" s="380" t="n">
        <v>1039.58</v>
      </c>
      <c r="K18" s="378">
        <f>SUM(J18*E18)</f>
        <v/>
      </c>
      <c r="L18" s="392" t="n">
        <v>0.35</v>
      </c>
      <c r="M18" s="311">
        <f>(K18/(1-L18))*(1+$D$9)</f>
        <v/>
      </c>
      <c r="N18" s="378">
        <f>(M18*VLOOKUP($C$9,'Base Costs'!$A$32:$B$37,2,FALSE))</f>
        <v/>
      </c>
      <c r="O18" s="379">
        <f>M18-K18</f>
        <v/>
      </c>
      <c r="U18" s="229" t="n"/>
      <c r="AA18" s="1070" t="n"/>
    </row>
    <row r="19" ht="15" customHeight="1" s="1085">
      <c r="C19" s="855" t="n"/>
      <c r="D19" s="460" t="n"/>
      <c r="E19" s="448" t="n"/>
      <c r="F19" s="895" t="n"/>
      <c r="G19" s="895" t="n"/>
      <c r="H19" s="896" t="n"/>
      <c r="I19" s="31" t="n"/>
      <c r="J19" s="380" t="n"/>
      <c r="K19" s="378" t="n"/>
      <c r="L19" s="392" t="n"/>
      <c r="M19" s="311" t="n"/>
      <c r="N19" s="378" t="n"/>
      <c r="O19" s="379" t="n"/>
      <c r="U19" s="229" t="n"/>
      <c r="AA19" s="1070" t="n"/>
    </row>
    <row r="20" ht="15" customHeight="1" s="1085">
      <c r="C20" s="791" t="inlineStr">
        <is>
          <t>RCL-329 LPC-3 GOT.112 (CANOPY CONTROL)</t>
        </is>
      </c>
      <c r="D20" s="1065" t="inlineStr">
        <is>
          <t>GOT Panel Comp for UV-c (24 Sections Max)</t>
        </is>
      </c>
      <c r="E20" s="448" t="n"/>
      <c r="F20" s="895" t="n">
        <v>160</v>
      </c>
      <c r="G20" s="895" t="n">
        <v>34</v>
      </c>
      <c r="H20" s="896" t="n">
        <v>106</v>
      </c>
      <c r="I20" s="31" t="n"/>
      <c r="J20" s="380" t="n">
        <v>336.21</v>
      </c>
      <c r="K20" s="378">
        <f>SUM(J20*E20)</f>
        <v/>
      </c>
      <c r="L20" s="392" t="n">
        <v>0.35</v>
      </c>
      <c r="M20" s="311">
        <f>(K20/(1-L20))*(1+$D$9)</f>
        <v/>
      </c>
      <c r="N20" s="378">
        <f>(M20*VLOOKUP($C$9,'Base Costs'!$A$32:$B$37,2,FALSE))</f>
        <v/>
      </c>
      <c r="O20" s="379">
        <f>M20-K20</f>
        <v/>
      </c>
      <c r="U20" s="229" t="n"/>
      <c r="AA20" s="1070" t="n"/>
    </row>
    <row r="21" ht="15" customHeight="1" s="1085">
      <c r="C21" s="791" t="inlineStr">
        <is>
          <t>RCL-342 GOT-112 WALL BOX</t>
        </is>
      </c>
      <c r="D21" s="460" t="inlineStr">
        <is>
          <t>Remote Mounting box if Required</t>
        </is>
      </c>
      <c r="E21" s="448" t="n"/>
      <c r="F21" s="895" t="n">
        <v>270</v>
      </c>
      <c r="G21" s="895" t="n">
        <v>200</v>
      </c>
      <c r="H21" s="896" t="n">
        <v>150</v>
      </c>
      <c r="I21" s="31" t="n"/>
      <c r="J21" s="380" t="n">
        <v>82</v>
      </c>
      <c r="K21" s="378">
        <f>SUM(J21*E21)</f>
        <v/>
      </c>
      <c r="L21" s="392" t="n">
        <v>0.35</v>
      </c>
      <c r="M21" s="311">
        <f>(K21/(1-L21))*(1+$D$9)</f>
        <v/>
      </c>
      <c r="N21" s="378">
        <f>(M21*VLOOKUP($C$9,'Base Costs'!$A$32:$B$37,2,FALSE))</f>
        <v/>
      </c>
      <c r="O21" s="379">
        <f>M21-K21</f>
        <v/>
      </c>
      <c r="U21" s="229" t="n"/>
      <c r="AA21" s="1070" t="n"/>
    </row>
    <row r="22" ht="15" customHeight="1" s="1085">
      <c r="C22" s="270" t="inlineStr">
        <is>
          <t>RCL-280 STAGED ALARM BOX</t>
        </is>
      </c>
      <c r="D22" s="460" t="inlineStr">
        <is>
          <t>MU5 CONTROLLER BOX</t>
        </is>
      </c>
      <c r="E22" s="448" t="n"/>
      <c r="F22" s="895" t="n">
        <v>179</v>
      </c>
      <c r="G22" s="895" t="n">
        <v>129</v>
      </c>
      <c r="H22" s="896" t="n">
        <v>100</v>
      </c>
      <c r="I22" s="31" t="n"/>
      <c r="J22" s="380" t="n">
        <v>212.86</v>
      </c>
      <c r="K22" s="378">
        <f>SUM(J22*E22)</f>
        <v/>
      </c>
      <c r="L22" s="392" t="n">
        <v>0.35</v>
      </c>
      <c r="M22" s="311">
        <f>(K22/(1-L22))*(1+$D$9)</f>
        <v/>
      </c>
      <c r="N22" s="378">
        <f>(M22*VLOOKUP($C$9,'Base Costs'!$A$32:$B$37,2,FALSE))</f>
        <v/>
      </c>
      <c r="O22" s="379">
        <f>M22-K22</f>
        <v/>
      </c>
      <c r="P22" s="1064" t="inlineStr">
        <is>
          <t xml:space="preserve">Add if Alarms requested for a GOT panel </t>
        </is>
      </c>
      <c r="U22" s="229" t="n"/>
      <c r="AA22" s="1070" t="n"/>
    </row>
    <row r="23" ht="15" customHeight="1" s="1085">
      <c r="A23" s="215" t="n">
        <v>289</v>
      </c>
      <c r="C23" s="270" t="n"/>
      <c r="D23" s="460" t="n"/>
      <c r="E23" s="448" t="n"/>
      <c r="F23" s="895" t="n"/>
      <c r="G23" s="895" t="n"/>
      <c r="H23" s="896" t="n"/>
      <c r="I23" s="31" t="n"/>
      <c r="J23" s="380" t="n"/>
      <c r="K23" s="378">
        <f>SUM(J23*E23)</f>
        <v/>
      </c>
      <c r="L23" s="392" t="n"/>
      <c r="M23" s="311">
        <f>(K23/(1-L23))*(1+$D$9)</f>
        <v/>
      </c>
      <c r="N23" s="378">
        <f>(M23*VLOOKUP($C$9,'Base Costs'!$A$32:$B$37,2,FALSE))</f>
        <v/>
      </c>
      <c r="O23" s="379">
        <f>M23-K23</f>
        <v/>
      </c>
      <c r="U23" s="229" t="n"/>
      <c r="AA23" s="1070" t="n"/>
    </row>
    <row r="24" ht="15" customHeight="1" s="1085">
      <c r="A24" s="215" t="n">
        <v>242</v>
      </c>
      <c r="C24" s="270" t="inlineStr">
        <is>
          <t xml:space="preserve">PS-160 EXTERNAL AERIAL </t>
        </is>
      </c>
      <c r="D24" s="460" t="inlineStr">
        <is>
          <t>EXTERNAL AERIAL BOX</t>
        </is>
      </c>
      <c r="E24" s="448" t="n"/>
      <c r="F24" s="895" t="n">
        <v>250</v>
      </c>
      <c r="G24" s="895" t="n">
        <v>175</v>
      </c>
      <c r="H24" s="896" t="n">
        <v>100</v>
      </c>
      <c r="I24" s="31" t="n"/>
      <c r="J24" s="380" t="n">
        <v>100.91</v>
      </c>
      <c r="K24" s="378">
        <f>SUM(J24*E24)</f>
        <v/>
      </c>
      <c r="L24" s="392" t="n">
        <v>0.35</v>
      </c>
      <c r="M24" s="311">
        <f>(K24/(1-L24))*(1+$D$9)</f>
        <v/>
      </c>
      <c r="N24" s="378">
        <f>(M24*VLOOKUP($C$9,'Base Costs'!$A$32:$B$37,2,FALSE))</f>
        <v/>
      </c>
      <c r="O24" s="379">
        <f>M24-K24</f>
        <v/>
      </c>
      <c r="U24" s="229" t="n"/>
      <c r="AA24" s="1070" t="n"/>
    </row>
    <row r="25" ht="15" customHeight="1" s="1085">
      <c r="A25" s="215" t="n">
        <v>220</v>
      </c>
      <c r="C25" s="855" t="inlineStr">
        <is>
          <t xml:space="preserve">PS-156 EDGE BOX REMOTE ROUTER (UV-GOT)  </t>
        </is>
      </c>
      <c r="D25" s="1066" t="inlineStr">
        <is>
          <t>EXTERNAL ROUTER</t>
        </is>
      </c>
      <c r="E25" s="448" t="n"/>
      <c r="F25" s="837" t="n">
        <v>250</v>
      </c>
      <c r="G25" s="895" t="n">
        <v>175</v>
      </c>
      <c r="H25" s="896" t="n">
        <v>100</v>
      </c>
      <c r="I25" s="31" t="n"/>
      <c r="J25" s="380" t="n">
        <v>484.58</v>
      </c>
      <c r="K25" s="378">
        <f>SUM(J25*E25)</f>
        <v/>
      </c>
      <c r="L25" s="392" t="n">
        <v>0.35</v>
      </c>
      <c r="M25" s="311">
        <f>(K25/(1-L25))*(1+$D$9)</f>
        <v/>
      </c>
      <c r="N25" s="378">
        <f>(M25*VLOOKUP($C$9,'Base Costs'!$A$32:$B$37,2,FALSE))</f>
        <v/>
      </c>
      <c r="O25" s="379">
        <f>M25-K25</f>
        <v/>
      </c>
      <c r="U25" s="229" t="n"/>
      <c r="AA25" s="1070" t="n"/>
    </row>
    <row r="26" ht="15" customHeight="1" s="1085">
      <c r="A26" s="215" t="n">
        <v>103</v>
      </c>
      <c r="C26" s="855" t="n"/>
      <c r="D26" s="460" t="n"/>
      <c r="E26" s="448" t="n"/>
      <c r="F26" s="837" t="n"/>
      <c r="G26" s="895" t="n"/>
      <c r="H26" s="896" t="n"/>
      <c r="I26" s="31" t="n"/>
      <c r="J26" s="380" t="n"/>
      <c r="K26" s="378">
        <f>SUM(J26*E26)</f>
        <v/>
      </c>
      <c r="L26" s="392" t="n"/>
      <c r="M26" s="311">
        <f>(K26/(1-L26))*(1+$D$9)</f>
        <v/>
      </c>
      <c r="N26" s="378">
        <f>(M26*VLOOKUP($C$9,'Base Costs'!$A$32:$B$37,2,FALSE))</f>
        <v/>
      </c>
      <c r="O26" s="379">
        <f>M26-K26</f>
        <v/>
      </c>
      <c r="U26" s="229" t="n"/>
      <c r="AA26" s="1070" t="n"/>
    </row>
    <row r="27" ht="15" customHeight="1" s="1085">
      <c r="A27" s="215" t="n">
        <v>103</v>
      </c>
      <c r="C27" s="855" t="inlineStr">
        <is>
          <t>CONNECTIVITY PS-153/152/154/155</t>
        </is>
      </c>
      <c r="D27" s="921" t="inlineStr">
        <is>
          <t xml:space="preserve"> NOT INCLUDED IN THE ABOVE</t>
        </is>
      </c>
      <c r="E27" s="448" t="n"/>
      <c r="F27" s="837" t="n"/>
      <c r="G27" s="895" t="n"/>
      <c r="H27" s="896" t="n"/>
      <c r="I27" s="31" t="n"/>
      <c r="J27" s="380" t="n">
        <v>522.38</v>
      </c>
      <c r="K27" s="378">
        <f>SUM(J27*E27)</f>
        <v/>
      </c>
      <c r="L27" s="392" t="n">
        <v>0.35</v>
      </c>
      <c r="M27" s="311">
        <f>(K27/(1-L27))*(1+$D$9)</f>
        <v/>
      </c>
      <c r="N27" s="378">
        <f>(M27*VLOOKUP($C$9,'Base Costs'!$A$32:$B$37,2,FALSE))</f>
        <v/>
      </c>
      <c r="O27" s="379">
        <f>M27-K27</f>
        <v/>
      </c>
      <c r="P27" s="990" t="inlineStr">
        <is>
          <t>EDGE UP2 Plus First Year Connectivity Fee from Group</t>
        </is>
      </c>
      <c r="U27" s="229" t="n"/>
      <c r="AA27" s="1070" t="n"/>
    </row>
    <row r="28" ht="15" customHeight="1" s="1085">
      <c r="C28" s="855" t="inlineStr">
        <is>
          <t>CONNECTIVITY  (UV-GOT)</t>
        </is>
      </c>
      <c r="D28" s="1067" t="inlineStr">
        <is>
          <t xml:space="preserve"> NOT INCLUDED IN THE ABOVE</t>
        </is>
      </c>
      <c r="E28" s="448" t="n"/>
      <c r="F28" s="895" t="n"/>
      <c r="G28" s="895" t="n"/>
      <c r="H28" s="896" t="n"/>
      <c r="I28" s="31" t="n"/>
      <c r="J28" s="380" t="n">
        <v>130</v>
      </c>
      <c r="K28" s="378">
        <f>SUM(J28*E28)</f>
        <v/>
      </c>
      <c r="L28" s="392" t="n">
        <v>0.35</v>
      </c>
      <c r="M28" s="311">
        <f>(K28/(1-L28))*(1+$D$9)</f>
        <v/>
      </c>
      <c r="N28" s="378">
        <f>(M28*VLOOKUP($C$9,'Base Costs'!$A$32:$B$37,2,FALSE))</f>
        <v/>
      </c>
      <c r="O28" s="379">
        <f>M28-K28</f>
        <v/>
      </c>
      <c r="P28" s="990" t="inlineStr">
        <is>
          <t>First Year Connectivity Fee from Group</t>
        </is>
      </c>
      <c r="U28" s="229" t="n"/>
      <c r="AA28" s="1070" t="n"/>
    </row>
    <row r="29" ht="15" customHeight="1" s="1085">
      <c r="A29" s="215" t="n">
        <v>285</v>
      </c>
      <c r="C29" s="855" t="n"/>
      <c r="D29" s="460" t="n"/>
      <c r="E29" s="448" t="n"/>
      <c r="F29" s="898" t="n"/>
      <c r="G29" s="898" t="n"/>
      <c r="H29" s="899" t="n"/>
      <c r="I29" s="31" t="n"/>
      <c r="J29" s="380" t="n"/>
      <c r="K29" s="378">
        <f>SUM(J29*E29)</f>
        <v/>
      </c>
      <c r="L29" s="392" t="n"/>
      <c r="M29" s="311">
        <f>(K29/(1-L29))*(1+$D$9)</f>
        <v/>
      </c>
      <c r="N29" s="378">
        <f>(M29*VLOOKUP($C$9,'Base Costs'!$A$32:$B$37,2,FALSE))</f>
        <v/>
      </c>
      <c r="O29" s="379">
        <f>M29-K29</f>
        <v/>
      </c>
      <c r="U29" s="229" t="n"/>
      <c r="AA29" s="1070" t="n"/>
    </row>
    <row r="30" ht="15" customHeight="1" s="1085">
      <c r="C30" s="855" t="n"/>
      <c r="D30" s="460" t="n"/>
      <c r="E30" s="448" t="n"/>
      <c r="F30" s="898" t="n"/>
      <c r="G30" s="898" t="n"/>
      <c r="H30" s="899" t="n"/>
      <c r="I30" s="31" t="n"/>
      <c r="J30" s="380" t="n"/>
      <c r="K30" s="378">
        <f>SUM(J30*E30)</f>
        <v/>
      </c>
      <c r="L30" s="392" t="n"/>
      <c r="M30" s="311">
        <f>(K30/(1-L30))*(1+$D$9)</f>
        <v/>
      </c>
      <c r="N30" s="378">
        <f>(M30*VLOOKUP($C$9,'Base Costs'!$A$32:$B$37,2,FALSE))</f>
        <v/>
      </c>
      <c r="O30" s="379">
        <f>M30-K30</f>
        <v/>
      </c>
      <c r="U30" s="229" t="n"/>
      <c r="AA30" s="1070" t="n"/>
    </row>
    <row r="31" ht="15" customHeight="1" s="1085">
      <c r="C31" s="269" t="n"/>
      <c r="D31" s="460" t="n"/>
      <c r="E31" s="448" t="n"/>
      <c r="F31" s="895" t="n"/>
      <c r="G31" s="895" t="n"/>
      <c r="H31" s="896" t="n"/>
      <c r="I31" s="31" t="n"/>
      <c r="J31" s="380" t="n">
        <v>0</v>
      </c>
      <c r="K31" s="378">
        <f>SUM(J31*E31)</f>
        <v/>
      </c>
      <c r="L31" s="392" t="n"/>
      <c r="M31" s="311">
        <f>(K31/(1-L31))*(1+$D$9)</f>
        <v/>
      </c>
      <c r="N31" s="378">
        <f>(M31*VLOOKUP($C$9,'Base Costs'!$A$32:$B$37,2,FALSE))</f>
        <v/>
      </c>
      <c r="O31" s="379">
        <f>M31-K31</f>
        <v/>
      </c>
      <c r="U31" s="229" t="n"/>
      <c r="AA31" s="1070" t="n"/>
    </row>
    <row r="32" ht="15" customHeight="1" s="1085">
      <c r="A32" s="215" t="n">
        <v>286</v>
      </c>
      <c r="C32" s="270" t="n"/>
      <c r="D32" s="460" t="n"/>
      <c r="E32" s="448" t="n"/>
      <c r="F32" s="895" t="n"/>
      <c r="G32" s="895" t="n"/>
      <c r="H32" s="896" t="n"/>
      <c r="I32" s="31" t="n"/>
      <c r="J32" s="380" t="n">
        <v>0</v>
      </c>
      <c r="K32" s="378">
        <f>SUM(J32*E32)</f>
        <v/>
      </c>
      <c r="L32" s="392" t="n"/>
      <c r="M32" s="311">
        <f>(K32/(1-L32))*(1+$D$9)</f>
        <v/>
      </c>
      <c r="N32" s="378">
        <f>(M32*VLOOKUP($C$9,'Base Costs'!$A$32:$B$37,2,FALSE))</f>
        <v/>
      </c>
      <c r="O32" s="379">
        <f>M32-K32</f>
        <v/>
      </c>
      <c r="U32" s="229" t="n"/>
      <c r="AA32" s="1070" t="n"/>
    </row>
    <row r="33" ht="15" customHeight="1" s="1085">
      <c r="C33" s="269" t="n"/>
      <c r="D33" s="460" t="n"/>
      <c r="E33" s="448" t="n"/>
      <c r="F33" s="462" t="n"/>
      <c r="G33" s="32" t="n"/>
      <c r="H33" s="30" t="n"/>
      <c r="I33" s="31" t="n"/>
      <c r="J33" s="933" t="n"/>
      <c r="K33" s="378">
        <f>SUM(J33*E33)</f>
        <v/>
      </c>
      <c r="L33" s="392" t="n"/>
      <c r="M33" s="311">
        <f>(K33/(1-L33))*(1+$D$9)</f>
        <v/>
      </c>
      <c r="N33" s="378">
        <f>(M33*VLOOKUP($C$9,'Base Costs'!$A$32:$B$37,2,FALSE))</f>
        <v/>
      </c>
      <c r="O33" s="379">
        <f>M33-K33</f>
        <v/>
      </c>
      <c r="U33" s="229" t="n"/>
      <c r="AA33" s="1070" t="n"/>
    </row>
    <row r="34" ht="15" customHeight="1" s="1085">
      <c r="C34" s="855" t="n"/>
      <c r="D34" s="460" t="n"/>
      <c r="E34" s="448" t="n"/>
      <c r="F34" s="462" t="n"/>
      <c r="G34" s="32" t="n"/>
      <c r="H34" s="30" t="n"/>
      <c r="I34" s="31" t="n"/>
      <c r="J34" s="933" t="n"/>
      <c r="K34" s="378">
        <f>SUM(J34*E34)</f>
        <v/>
      </c>
      <c r="L34" s="392" t="n"/>
      <c r="M34" s="311">
        <f>(K34/(1-L34))*(1+$D$9)</f>
        <v/>
      </c>
      <c r="N34" s="378">
        <f>(M34*VLOOKUP($C$9,'Base Costs'!$A$32:$B$37,2,FALSE))</f>
        <v/>
      </c>
      <c r="O34" s="379">
        <f>M34-K34</f>
        <v/>
      </c>
      <c r="U34" s="229" t="n"/>
      <c r="AA34" s="1070" t="n"/>
    </row>
    <row r="35" ht="15" customHeight="1" s="1085">
      <c r="H35" s="34" t="inlineStr">
        <is>
          <t>SECTION UNDER 1000mm</t>
        </is>
      </c>
    </row>
    <row r="36" ht="15" customHeight="1" s="1085">
      <c r="C36" s="239" t="n"/>
      <c r="D36" s="239" t="n"/>
      <c r="E36" s="239" t="n"/>
      <c r="F36" s="239" t="n"/>
      <c r="G36" s="239" t="n"/>
      <c r="H36" s="239" t="n"/>
      <c r="I36" s="9" t="n"/>
      <c r="J36" s="11" t="n"/>
      <c r="K36" s="353" t="n"/>
      <c r="L36" s="240" t="n"/>
      <c r="M36" s="353" t="n"/>
      <c r="N36" s="353" t="n"/>
      <c r="U36" s="229" t="n"/>
      <c r="AA36" s="1070" t="n"/>
    </row>
    <row r="37" ht="15" customHeight="1" s="1085">
      <c r="C37" s="1089" t="inlineStr">
        <is>
          <t xml:space="preserve">DELIVERY &amp; INSTALLATION </t>
        </is>
      </c>
      <c r="I37" s="236" t="n"/>
      <c r="J37" s="330" t="n"/>
      <c r="K37" s="154">
        <f>SUBTOTAL(9,K38:K48)</f>
        <v/>
      </c>
      <c r="L37" s="15">
        <f>IF(K38=0,"-",O37/M37)</f>
        <v/>
      </c>
      <c r="M37" s="154">
        <f>SUBTOTAL(9,M38:M48)</f>
        <v/>
      </c>
      <c r="N37" s="464">
        <f>SUBTOTAL(9,N38:N48)</f>
        <v/>
      </c>
      <c r="O37" s="154">
        <f>SUBTOTAL(9,O39:O48)</f>
        <v/>
      </c>
      <c r="U37" s="229" t="n"/>
    </row>
    <row r="38" ht="15" customHeight="1" s="1085">
      <c r="A38" s="215" t="n">
        <v>222</v>
      </c>
      <c r="C38" s="269" t="inlineStr">
        <is>
          <t xml:space="preserve">DELIVERIES </t>
        </is>
      </c>
      <c r="D38" s="242" t="n"/>
      <c r="E38" s="309" t="inlineStr">
        <is>
          <t>SELECT LOCATION…</t>
        </is>
      </c>
      <c r="F38" s="28" t="n"/>
      <c r="G38" s="30" t="n"/>
      <c r="H38" s="28" t="n"/>
      <c r="I38" s="28" t="n"/>
      <c r="J38" s="385">
        <f>VLOOKUP(E38,'Base Costs'!E4:G213,2,FALSE)</f>
        <v/>
      </c>
      <c r="K38" s="378">
        <f>D38*J38</f>
        <v/>
      </c>
      <c r="L38" s="392" t="n">
        <v>0.33</v>
      </c>
      <c r="M38" s="311">
        <f>(K38/(1-L38))*(1+$D$9)</f>
        <v/>
      </c>
      <c r="N38" s="378">
        <f>(M38*VLOOKUP($C$9,'Base Costs'!$A$32:$B$37,2,FALSE))</f>
        <v/>
      </c>
      <c r="O38" s="379">
        <f>M38-K38</f>
        <v/>
      </c>
      <c r="U38" s="229" t="n"/>
    </row>
    <row r="39" ht="15" customHeight="1" s="1085">
      <c r="A39" s="215" t="n">
        <v>257</v>
      </c>
      <c r="C39" s="269" t="inlineStr">
        <is>
          <t>PLANT HIRE</t>
        </is>
      </c>
      <c r="D39" s="242" t="n"/>
      <c r="E39" s="309" t="inlineStr">
        <is>
          <t>PLANT SELECTION (weekly)</t>
        </is>
      </c>
      <c r="F39" s="28" t="n"/>
      <c r="G39" s="28" t="n"/>
      <c r="H39" s="28" t="n"/>
      <c r="I39" s="28" t="n"/>
      <c r="J39" s="385">
        <f>VLOOKUP(E39,'Base Costs'!$A$4:$B$16,2,FALSE)</f>
        <v/>
      </c>
      <c r="K39" s="378">
        <f>D39*J39</f>
        <v/>
      </c>
      <c r="L39" s="392" t="n">
        <v>0.33</v>
      </c>
      <c r="M39" s="311">
        <f>(K39/(1-L39))*(1+$D$9)</f>
        <v/>
      </c>
      <c r="N39" s="378">
        <f>(M39*VLOOKUP($C$9,'Base Costs'!$A$32:$B$37,2,FALSE))</f>
        <v/>
      </c>
      <c r="O39" s="379">
        <f>M39-K39</f>
        <v/>
      </c>
      <c r="U39" s="229" t="n"/>
    </row>
    <row r="40" ht="15" customHeight="1" s="1085">
      <c r="A40" s="215" t="n">
        <v>257</v>
      </c>
      <c r="C40" s="269" t="inlineStr">
        <is>
          <t>PLANT HIRE</t>
        </is>
      </c>
      <c r="D40" s="242" t="n"/>
      <c r="E40" s="309" t="inlineStr">
        <is>
          <t>PLANT SELECTION (weekly)</t>
        </is>
      </c>
      <c r="F40" s="28" t="n"/>
      <c r="G40" s="28" t="n"/>
      <c r="H40" s="28" t="n"/>
      <c r="I40" s="28" t="n"/>
      <c r="J40" s="385">
        <f>VLOOKUP(E40,'Base Costs'!$A$4:$B$16,2,FALSE)</f>
        <v/>
      </c>
      <c r="K40" s="378">
        <f>D40*J40</f>
        <v/>
      </c>
      <c r="L40" s="392" t="n">
        <v>0.33</v>
      </c>
      <c r="M40" s="311">
        <f>(K40/(1-L40))*(1+$D$9)</f>
        <v/>
      </c>
      <c r="N40" s="378">
        <f>(M40*VLOOKUP($C$9,'Base Costs'!$A$32:$B$37,2,FALSE))</f>
        <v/>
      </c>
      <c r="O40" s="379">
        <f>M40-K40</f>
        <v/>
      </c>
      <c r="U40" s="229" t="n"/>
    </row>
    <row r="41" ht="15" customHeight="1" s="1085">
      <c r="A41" s="215" t="n">
        <v>400</v>
      </c>
      <c r="C41" s="269" t="inlineStr">
        <is>
          <t>STRIP OUT</t>
        </is>
      </c>
      <c r="D41" s="242" t="n"/>
      <c r="E41" s="28" t="inlineStr">
        <is>
          <t>PER DAY</t>
        </is>
      </c>
      <c r="F41" s="28" t="n"/>
      <c r="G41" s="28" t="n"/>
      <c r="H41" s="28" t="n"/>
      <c r="I41" s="28" t="n"/>
      <c r="J41" s="385" t="n">
        <v>450</v>
      </c>
      <c r="K41" s="378">
        <f>D41*J41</f>
        <v/>
      </c>
      <c r="L41" s="392" t="n">
        <v>0.33</v>
      </c>
      <c r="M41" s="311">
        <f>(K41/(1-L41))*(1+$D$9)</f>
        <v/>
      </c>
      <c r="N41" s="378">
        <f>(M41*VLOOKUP($C$9,'Base Costs'!$A$32:$B$37,2,FALSE))</f>
        <v/>
      </c>
      <c r="O41" s="379">
        <f>M41-K41</f>
        <v/>
      </c>
      <c r="U41" s="229" t="n"/>
    </row>
    <row r="42" ht="15" customHeight="1" s="1085">
      <c r="A42" s="215" t="n">
        <v>102</v>
      </c>
      <c r="C42" s="269" t="inlineStr">
        <is>
          <t xml:space="preserve">CONSUMABLES </t>
        </is>
      </c>
      <c r="D42" s="242" t="n">
        <v>1</v>
      </c>
      <c r="E42" s="28" t="inlineStr">
        <is>
          <t>ON SITE FIXINGS</t>
        </is>
      </c>
      <c r="F42" s="28" t="n"/>
      <c r="G42" s="28" t="n"/>
      <c r="H42" s="28" t="n"/>
      <c r="I42" s="28" t="n"/>
      <c r="J42" s="385" t="n">
        <v>15</v>
      </c>
      <c r="K42" s="378">
        <f>D42*J42</f>
        <v/>
      </c>
      <c r="L42" s="392" t="n">
        <v>0.33</v>
      </c>
      <c r="M42" s="311">
        <f>(K42/(1-L42))*(1+$D$9)</f>
        <v/>
      </c>
      <c r="N42" s="378">
        <f>(M42*VLOOKUP($C$9,'Base Costs'!$A$32:$B$37,2,FALSE))</f>
        <v/>
      </c>
      <c r="O42" s="379">
        <f>M42-K42</f>
        <v/>
      </c>
      <c r="U42" s="229" t="n"/>
    </row>
    <row r="43" ht="15" customHeight="1" s="1085">
      <c r="A43" s="215" t="n">
        <v>400</v>
      </c>
      <c r="C43" s="269" t="inlineStr">
        <is>
          <t>INSTALLATION NORMAL HOURS</t>
        </is>
      </c>
      <c r="D43" s="242" t="n">
        <v>1</v>
      </c>
      <c r="E43" s="28" t="inlineStr">
        <is>
          <t>PER BOX</t>
        </is>
      </c>
      <c r="F43" s="28" t="n"/>
      <c r="G43" s="28" t="n"/>
      <c r="H43" s="28" t="n"/>
      <c r="I43" s="28" t="n"/>
      <c r="J43" s="385" t="n">
        <v>152.5</v>
      </c>
      <c r="K43" s="378">
        <f>D43*J43</f>
        <v/>
      </c>
      <c r="L43" s="392" t="n">
        <v>0.4</v>
      </c>
      <c r="M43" s="311">
        <f>(K43/(1-L43))*(1+$D$9)</f>
        <v/>
      </c>
      <c r="N43" s="378">
        <f>(M43*VLOOKUP($C$9,'Base Costs'!$A$32:$B$37,2,FALSE))</f>
        <v/>
      </c>
      <c r="O43" s="379">
        <f>M43-K43</f>
        <v/>
      </c>
      <c r="U43" s="229" t="n"/>
    </row>
    <row r="44" ht="15" customHeight="1" s="1085">
      <c r="A44" s="215" t="n">
        <v>400</v>
      </c>
      <c r="C44" s="269" t="inlineStr">
        <is>
          <t>INSTALLATION AFTER HOURS</t>
        </is>
      </c>
      <c r="D44" s="242" t="n"/>
      <c r="E44" s="28" t="inlineStr">
        <is>
          <t>PER BOX</t>
        </is>
      </c>
      <c r="F44" s="28" t="n"/>
      <c r="G44" s="28" t="n"/>
      <c r="H44" s="28" t="n"/>
      <c r="I44" s="28" t="n"/>
      <c r="J44" s="385" t="n">
        <v>861</v>
      </c>
      <c r="K44" s="378">
        <f>D44*J44</f>
        <v/>
      </c>
      <c r="L44" s="392" t="n">
        <v>0.4</v>
      </c>
      <c r="M44" s="311">
        <f>(K44/(1-L44))*(1+$D$9)</f>
        <v/>
      </c>
      <c r="N44" s="378">
        <f>(M44*VLOOKUP($C$9,'Base Costs'!$A$32:$B$37,2,FALSE))</f>
        <v/>
      </c>
      <c r="O44" s="379">
        <f>M44-K44</f>
        <v/>
      </c>
      <c r="U44" s="229" t="n"/>
    </row>
    <row r="45" ht="15" customHeight="1" s="1085">
      <c r="A45" s="215" t="n">
        <v>253</v>
      </c>
      <c r="C45" s="269" t="inlineStr">
        <is>
          <t>TRAVEL EXPENSES</t>
        </is>
      </c>
      <c r="D45" s="242" t="n"/>
      <c r="E45" s="28" t="inlineStr">
        <is>
          <t>PER NIGHT PER TEAM</t>
        </is>
      </c>
      <c r="F45" s="28" t="n"/>
      <c r="G45" s="28" t="n"/>
      <c r="H45" s="28" t="n"/>
      <c r="I45" s="28" t="n"/>
      <c r="J45" s="385" t="n"/>
      <c r="K45" s="378">
        <f>D45*J45</f>
        <v/>
      </c>
      <c r="L45" s="392" t="n">
        <v>0.33</v>
      </c>
      <c r="M45" s="311">
        <f>(K45/(1-L45))*(1+$D$9)</f>
        <v/>
      </c>
      <c r="N45" s="378">
        <f>(M45*VLOOKUP($C$9,'Base Costs'!$A$32:$B$37,2,FALSE))</f>
        <v/>
      </c>
      <c r="O45" s="379">
        <f>M45-K45</f>
        <v/>
      </c>
      <c r="U45" s="229" t="n"/>
    </row>
    <row r="46" ht="15" customHeight="1" s="1085">
      <c r="A46" s="215" t="n">
        <v>253</v>
      </c>
      <c r="C46" s="269" t="inlineStr">
        <is>
          <t>OVERNIGHT</t>
        </is>
      </c>
      <c r="D46" s="242" t="n"/>
      <c r="E46" s="28" t="inlineStr">
        <is>
          <t>PER NIGHT PER TEAM</t>
        </is>
      </c>
      <c r="F46" s="28" t="n"/>
      <c r="G46" s="28" t="n"/>
      <c r="H46" s="28" t="n"/>
      <c r="I46" s="28" t="n"/>
      <c r="J46" s="385" t="n">
        <v>170</v>
      </c>
      <c r="K46" s="378">
        <f>D46*J46</f>
        <v/>
      </c>
      <c r="L46" s="392" t="n">
        <v>0.33</v>
      </c>
      <c r="M46" s="311">
        <f>(K46/(1-L46))*(1+$D$9)</f>
        <v/>
      </c>
      <c r="N46" s="378">
        <f>(M46*VLOOKUP($C$9,'Base Costs'!$A$32:$B$37,2,FALSE))</f>
        <v/>
      </c>
      <c r="O46" s="379">
        <f>M46-K46</f>
        <v/>
      </c>
      <c r="U46" s="229" t="n"/>
    </row>
    <row r="47" ht="15" customHeight="1" s="1085">
      <c r="A47" s="215" t="n">
        <v>280</v>
      </c>
      <c r="C47" s="269" t="inlineStr">
        <is>
          <t>TEST &amp; COMMISSION</t>
        </is>
      </c>
      <c r="D47" s="242" t="n"/>
      <c r="E47" s="28" t="inlineStr">
        <is>
          <t>ONE ENGINEER</t>
        </is>
      </c>
      <c r="F47" s="28" t="n"/>
      <c r="G47" s="28" t="n"/>
      <c r="H47" s="28" t="n"/>
      <c r="I47" s="28" t="n"/>
      <c r="J47" s="385" t="n">
        <v>604</v>
      </c>
      <c r="K47" s="378">
        <f>D47*J47</f>
        <v/>
      </c>
      <c r="L47" s="392" t="n">
        <v>0.33</v>
      </c>
      <c r="M47" s="311">
        <f>(K47/(1-L47))*(1+$D$9)</f>
        <v/>
      </c>
      <c r="N47" s="378">
        <f>(M47*VLOOKUP($C$9,'Base Costs'!$A$32:$B$37,2,FALSE))</f>
        <v/>
      </c>
      <c r="O47" s="379">
        <f>M47-K47</f>
        <v/>
      </c>
      <c r="U47" s="229" t="n"/>
    </row>
    <row r="48" ht="15" customHeight="1" s="1085">
      <c r="A48" s="215" t="n">
        <v>284</v>
      </c>
      <c r="C48" s="269" t="n"/>
      <c r="D48" s="242" t="n"/>
      <c r="E48" s="28" t="inlineStr">
        <is>
          <t>OPTIONAL ITEM</t>
        </is>
      </c>
      <c r="F48" s="28" t="n"/>
      <c r="G48" s="28" t="n"/>
      <c r="H48" s="28" t="n"/>
      <c r="I48" s="28" t="n"/>
      <c r="J48" s="385" t="n">
        <v>200</v>
      </c>
      <c r="K48" s="378">
        <f>D48*J48</f>
        <v/>
      </c>
      <c r="L48" s="392" t="n">
        <v>0.33</v>
      </c>
      <c r="M48" s="311">
        <f>(K48/(1-L48))*(1+$D$9)</f>
        <v/>
      </c>
      <c r="N48" s="378">
        <f>(M48*VLOOKUP($C$9,'Base Costs'!$A$32:$B$37,2,FALSE))</f>
        <v/>
      </c>
      <c r="O48" s="379">
        <f>M48-K48</f>
        <v/>
      </c>
      <c r="U48" s="229" t="n"/>
    </row>
    <row r="49" ht="15" customHeight="1" s="1085">
      <c r="C49" s="239" t="n"/>
      <c r="D49" s="239" t="n"/>
      <c r="E49" s="239" t="n"/>
      <c r="F49" s="239" t="n"/>
      <c r="G49" s="239" t="n"/>
      <c r="H49" s="243" t="n"/>
      <c r="I49" s="244" t="n"/>
      <c r="J49" s="354" t="n"/>
      <c r="K49" s="353" t="n"/>
      <c r="L49" s="355" t="n"/>
      <c r="M49" s="353" t="n"/>
      <c r="N49" s="353" t="n"/>
      <c r="U49" s="229" t="n"/>
    </row>
    <row r="50" ht="15" customHeight="1" s="1085">
      <c r="C50" s="197" t="inlineStr">
        <is>
          <t>Office Use Only</t>
        </is>
      </c>
      <c r="D50" s="198" t="n"/>
      <c r="E50" s="199" t="n"/>
      <c r="F50" s="199" t="n"/>
      <c r="G50" s="198" t="n"/>
      <c r="H50" s="200" t="n"/>
      <c r="I50" s="198" t="n"/>
      <c r="J50" s="198" t="n"/>
      <c r="K50" s="198" t="n"/>
      <c r="L50" s="198" t="n"/>
      <c r="M50" s="198" t="n"/>
      <c r="N50" s="198" t="n"/>
      <c r="O50" s="198" t="n"/>
      <c r="U50" s="229" t="n"/>
    </row>
    <row r="51" ht="15" customHeight="1" s="1085">
      <c r="C51" s="202" t="n"/>
      <c r="D51" s="203" t="n"/>
      <c r="E51" s="202" t="n"/>
      <c r="F51" s="204" t="n"/>
      <c r="G51" s="202" t="n"/>
      <c r="H51" s="209" t="n"/>
      <c r="I51" s="203" t="n"/>
      <c r="J51" s="203" t="n"/>
      <c r="K51" s="205" t="n"/>
      <c r="L51" s="205" t="n"/>
      <c r="M51" s="205" t="n"/>
      <c r="N51" s="205" t="n"/>
      <c r="O51" s="205" t="n"/>
      <c r="U51" s="229" t="n"/>
    </row>
    <row r="52" ht="15" customHeight="1" s="1085">
      <c r="C52" s="202" t="n"/>
      <c r="D52" s="203" t="n"/>
      <c r="E52" s="202" t="n"/>
      <c r="F52" s="204" t="n"/>
      <c r="G52" s="202" t="n"/>
      <c r="H52" s="209" t="n"/>
      <c r="I52" s="203" t="n"/>
      <c r="J52" s="203" t="n"/>
      <c r="K52" s="205" t="n"/>
      <c r="L52" s="205" t="n"/>
      <c r="M52" s="205" t="n"/>
      <c r="N52" s="205" t="n"/>
      <c r="O52" s="205" t="n"/>
      <c r="U52" s="229" t="n"/>
    </row>
    <row r="53" ht="15" customHeight="1" s="1085">
      <c r="C53" s="202" t="n"/>
      <c r="D53" s="203" t="n"/>
      <c r="E53" s="202" t="n"/>
      <c r="F53" s="204" t="n"/>
      <c r="G53" s="202" t="n"/>
      <c r="H53" s="209" t="n"/>
      <c r="I53" s="203" t="n"/>
      <c r="J53" s="203" t="n"/>
      <c r="K53" s="209" t="n"/>
      <c r="L53" s="209" t="n"/>
      <c r="M53" s="209" t="n"/>
      <c r="N53" s="209" t="n"/>
      <c r="O53" s="209" t="n"/>
      <c r="U53" s="229" t="n"/>
    </row>
    <row r="54" ht="15" customHeight="1" s="1085">
      <c r="C54" s="202" t="n"/>
      <c r="D54" s="203" t="n"/>
      <c r="E54" s="202" t="n"/>
      <c r="F54" s="204" t="n"/>
      <c r="G54" s="202" t="n"/>
      <c r="H54" s="209" t="n"/>
      <c r="I54" s="206" t="n"/>
      <c r="J54" s="203" t="n"/>
      <c r="K54" s="209" t="n"/>
      <c r="L54" s="209" t="n"/>
      <c r="M54" s="209" t="n"/>
      <c r="N54" s="209" t="n"/>
      <c r="O54" s="209" t="n"/>
      <c r="U54" s="229" t="n"/>
    </row>
    <row r="55" ht="15" customHeight="1" s="1085">
      <c r="C55" s="202" t="n"/>
      <c r="D55" s="203" t="n"/>
      <c r="E55" s="202" t="n"/>
      <c r="F55" s="202" t="n"/>
      <c r="G55" s="202" t="n"/>
      <c r="H55" s="207" t="n"/>
      <c r="I55" s="209" t="n"/>
      <c r="J55" s="203" t="n"/>
      <c r="K55" s="205" t="n"/>
      <c r="L55" s="205" t="n"/>
      <c r="M55" s="205" t="n"/>
      <c r="N55" s="205" t="n"/>
      <c r="O55" s="205" t="n"/>
      <c r="U55" s="229" t="n"/>
    </row>
    <row r="56" ht="15" customHeight="1" s="1085">
      <c r="C56" s="202" t="n"/>
      <c r="D56" s="202" t="n"/>
      <c r="E56" s="202" t="n"/>
      <c r="F56" s="202" t="n"/>
      <c r="G56" s="202" t="n"/>
      <c r="H56" s="207" t="n"/>
      <c r="I56" s="209" t="n"/>
      <c r="J56" s="203" t="n"/>
      <c r="K56" s="205" t="n"/>
      <c r="L56" s="205" t="n"/>
      <c r="M56" s="205" t="n"/>
      <c r="N56" s="205" t="n"/>
      <c r="O56" s="205" t="n"/>
      <c r="U56" s="229" t="n"/>
    </row>
    <row r="57" ht="15" customHeight="1" s="1085">
      <c r="J57" s="228" t="n"/>
      <c r="M57" s="228" t="n"/>
      <c r="O57" s="228" t="n"/>
      <c r="U57" s="229" t="n"/>
    </row>
    <row r="58" ht="15" customHeight="1" s="1085">
      <c r="J58" s="228" t="n"/>
      <c r="M58" s="228" t="n"/>
      <c r="O58" s="228" t="n"/>
      <c r="U58" s="229" t="n"/>
    </row>
    <row r="59" ht="15" customHeight="1" s="1085">
      <c r="H59" s="219" t="n"/>
      <c r="U59" s="229" t="n"/>
    </row>
    <row r="60" ht="15" customHeight="1" s="1085">
      <c r="H60" s="219" t="n"/>
      <c r="U60" s="229" t="n"/>
    </row>
    <row r="61" ht="15" customHeight="1" s="1085">
      <c r="H61" s="219" t="n"/>
      <c r="U61" s="229" t="n"/>
    </row>
    <row r="62" ht="15" customHeight="1" s="1085">
      <c r="H62" s="219" t="n"/>
      <c r="U62" s="229" t="n"/>
    </row>
    <row r="63" ht="15" customHeight="1" s="1085">
      <c r="H63" s="219" t="n"/>
      <c r="U63" s="229" t="n"/>
    </row>
    <row r="64" ht="15" customHeight="1" s="1085">
      <c r="H64" s="219" t="n"/>
      <c r="U64" s="229" t="n"/>
    </row>
    <row r="65" ht="15" customHeight="1" s="1085">
      <c r="H65" s="219" t="n"/>
      <c r="U65" s="229" t="n"/>
    </row>
    <row r="66" ht="15" customHeight="1" s="1085">
      <c r="H66" s="219" t="n"/>
      <c r="U66" s="229" t="n"/>
    </row>
    <row r="67" ht="15" customHeight="1" s="1085">
      <c r="H67" s="219" t="n"/>
      <c r="U67" s="229" t="n"/>
    </row>
    <row r="68" ht="15" customHeight="1" s="1085">
      <c r="C68" s="245" t="n"/>
      <c r="D68" s="245" t="n"/>
      <c r="E68" s="245" t="n"/>
      <c r="F68" s="245" t="n"/>
      <c r="G68" s="245" t="n"/>
      <c r="H68" s="245" t="n"/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3" ht="15" customHeight="1" s="1085">
      <c r="U103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2" ht="15" customHeight="1" s="1085">
      <c r="U112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1" ht="15" customHeight="1" s="1085">
      <c r="U121" s="229" t="n"/>
    </row>
    <row r="122" ht="15" customHeight="1" s="1085">
      <c r="U122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  <row r="142" ht="15" customHeight="1" s="1085">
      <c r="U142" s="229" t="n"/>
    </row>
    <row r="143" ht="15" customHeight="1" s="1085">
      <c r="U143" s="229" t="n"/>
    </row>
    <row r="144" ht="15" customHeight="1" s="1085">
      <c r="U144" s="229" t="n"/>
    </row>
    <row r="145" ht="15" customHeight="1" s="1085">
      <c r="U145" s="229" t="n"/>
    </row>
    <row r="146" ht="15" customHeight="1" s="1085">
      <c r="U146" s="229" t="n"/>
    </row>
    <row r="147" ht="15" customHeight="1" s="1085">
      <c r="U147" s="229" t="n"/>
    </row>
    <row r="148" ht="15" customHeight="1" s="1085">
      <c r="U148" s="229" t="n"/>
    </row>
    <row r="149" ht="15" customHeight="1" s="1085">
      <c r="U149" s="229" t="n"/>
    </row>
    <row r="150" ht="15" customHeight="1" s="1085">
      <c r="U150" s="229" t="n"/>
    </row>
    <row r="151" ht="15" customHeight="1" s="1085">
      <c r="U151" s="229" t="n"/>
    </row>
    <row r="152" ht="15" customHeight="1" s="1085">
      <c r="U152" s="229" t="n"/>
    </row>
    <row r="153" ht="15" customHeight="1" s="1085">
      <c r="U153" s="229" t="n"/>
    </row>
    <row r="154" ht="15" customHeight="1" s="1085">
      <c r="U154" s="229" t="n"/>
    </row>
    <row r="155" ht="15" customHeight="1" s="1085">
      <c r="U155" s="229" t="n"/>
    </row>
    <row r="156" ht="15" customHeight="1" s="1085">
      <c r="U156" s="229" t="n"/>
    </row>
    <row r="157" ht="15" customHeight="1" s="1085">
      <c r="U157" s="229" t="n"/>
    </row>
    <row r="158" ht="15" customHeight="1" s="1085">
      <c r="U158" s="229" t="n"/>
    </row>
    <row r="159" ht="15" customHeight="1" s="1085">
      <c r="U159" s="229" t="n"/>
    </row>
    <row r="160" ht="15" customHeight="1" s="1085">
      <c r="U160" s="229" t="n"/>
    </row>
    <row r="161" ht="15" customHeight="1" s="1085">
      <c r="U161" s="229" t="n"/>
    </row>
  </sheetData>
  <mergeCells count="9">
    <mergeCell ref="P7:R7"/>
    <mergeCell ref="D7:E7"/>
    <mergeCell ref="C1:D1"/>
    <mergeCell ref="H5:J5"/>
    <mergeCell ref="C37:H37"/>
    <mergeCell ref="D5:E5"/>
    <mergeCell ref="H3:J3"/>
    <mergeCell ref="D3:E3"/>
    <mergeCell ref="H7:J7"/>
  </mergeCells>
  <conditionalFormatting sqref="C9">
    <cfRule type="containsText" priority="35" operator="containsText" dxfId="680" text="SELECT">
      <formula>NOT(ISERROR(SEARCH("SELECT",C9)))</formula>
    </cfRule>
    <cfRule type="expression" priority="36" dxfId="680">
      <formula>C9="CURRENCY"</formula>
    </cfRule>
  </conditionalFormatting>
  <conditionalFormatting sqref="C14:C34">
    <cfRule type="expression" priority="1" dxfId="633">
      <formula>$J14&gt;0</formula>
    </cfRule>
  </conditionalFormatting>
  <conditionalFormatting sqref="C38:C48">
    <cfRule type="expression" priority="12" dxfId="633">
      <formula>$D38&gt;0</formula>
    </cfRule>
  </conditionalFormatting>
  <conditionalFormatting sqref="D38:D39 D41:D48">
    <cfRule type="cellIs" priority="37" operator="lessThan" dxfId="554">
      <formula>1</formula>
    </cfRule>
  </conditionalFormatting>
  <conditionalFormatting sqref="D40">
    <cfRule type="cellIs" priority="32" operator="lessThan" dxfId="164">
      <formula>1</formula>
    </cfRule>
  </conditionalFormatting>
  <conditionalFormatting sqref="D9:E9">
    <cfRule type="cellIs" priority="33" operator="lessThan" dxfId="207">
      <formula>0</formula>
    </cfRule>
    <cfRule type="cellIs" priority="34" operator="greaterThan" dxfId="552">
      <formula>0</formula>
    </cfRule>
  </conditionalFormatting>
  <conditionalFormatting sqref="F12">
    <cfRule type="expression" priority="42" dxfId="386">
      <formula>AND((ISNUMBER(SEARCH("I-MUAP",$E$14))),F12&lt;2500)</formula>
    </cfRule>
    <cfRule type="expression" priority="43" dxfId="387">
      <formula>ISNUMBER(SEARCH("I-MUAP",$E$14))</formula>
    </cfRule>
    <cfRule type="cellIs" priority="44" operator="greaterThan" dxfId="204">
      <formula>2000</formula>
    </cfRule>
  </conditionalFormatting>
  <conditionalFormatting sqref="F12:G12">
    <cfRule type="cellIs" priority="38" operator="lessThan" dxfId="204">
      <formula>1000</formula>
    </cfRule>
  </conditionalFormatting>
  <conditionalFormatting sqref="F14:G28">
    <cfRule type="cellIs" priority="5" operator="lessThan" dxfId="164">
      <formula>1000</formula>
    </cfRule>
  </conditionalFormatting>
  <conditionalFormatting sqref="F31:G32">
    <cfRule type="cellIs" priority="2" operator="lessThan" dxfId="164">
      <formula>1000</formula>
    </cfRule>
  </conditionalFormatting>
  <conditionalFormatting sqref="G12">
    <cfRule type="cellIs" priority="39" operator="greaterThan" dxfId="204">
      <formula>3001</formula>
    </cfRule>
  </conditionalFormatting>
  <conditionalFormatting sqref="H11">
    <cfRule type="expression" priority="41" dxfId="176">
      <formula>((G14-50)/I14)&lt;950</formula>
    </cfRule>
  </conditionalFormatting>
  <conditionalFormatting sqref="H12">
    <cfRule type="expression" priority="40" dxfId="175">
      <formula>((G14-50)/I14)&lt;950</formula>
    </cfRule>
  </conditionalFormatting>
  <conditionalFormatting sqref="H14:H28">
    <cfRule type="cellIs" priority="6" operator="lessThan" dxfId="164">
      <formula>400</formula>
    </cfRule>
  </conditionalFormatting>
  <conditionalFormatting sqref="H31:H32">
    <cfRule type="cellIs" priority="3" operator="lessThan" dxfId="164">
      <formula>400</formula>
    </cfRule>
  </conditionalFormatting>
  <conditionalFormatting sqref="H35">
    <cfRule type="expression" priority="49" dxfId="176">
      <formula>((#REF!-50)/#REF!)&lt;950</formula>
    </cfRule>
  </conditionalFormatting>
  <conditionalFormatting sqref="J14:J32">
    <cfRule type="cellIs" priority="17" operator="greaterThan" dxfId="153">
      <formula>0</formula>
    </cfRule>
  </conditionalFormatting>
  <conditionalFormatting sqref="J38:J48">
    <cfRule type="expression" priority="25" dxfId="153">
      <formula>D38&gt;0</formula>
    </cfRule>
  </conditionalFormatting>
  <conditionalFormatting sqref="J50:J56">
    <cfRule type="expression" priority="30" dxfId="2">
      <formula>#REF!="EURO"</formula>
    </cfRule>
  </conditionalFormatting>
  <conditionalFormatting sqref="K14:K34">
    <cfRule type="cellIs" priority="4" operator="greaterThan" dxfId="141">
      <formula>0</formula>
    </cfRule>
  </conditionalFormatting>
  <conditionalFormatting sqref="K38:K48">
    <cfRule type="cellIs" priority="31" operator="greaterThan" dxfId="141">
      <formula>0</formula>
    </cfRule>
  </conditionalFormatting>
  <conditionalFormatting sqref="K50:K56">
    <cfRule type="expression" priority="26" dxfId="4">
      <formula>$C$9="PLN"</formula>
    </cfRule>
    <cfRule type="expression" priority="27" dxfId="0">
      <formula>$C$9="CZK"</formula>
    </cfRule>
    <cfRule type="expression" priority="28" dxfId="3">
      <formula>$C$9="USD"</formula>
    </cfRule>
    <cfRule type="expression" priority="29" dxfId="2">
      <formula>$C$9="EURO"</formula>
    </cfRule>
  </conditionalFormatting>
  <conditionalFormatting sqref="L14:L34">
    <cfRule type="expression" priority="15" dxfId="116">
      <formula>$D$9&lt;0</formula>
    </cfRule>
    <cfRule type="expression" priority="16" dxfId="115">
      <formula>$D$9&gt;0</formula>
    </cfRule>
  </conditionalFormatting>
  <conditionalFormatting sqref="L38:L48">
    <cfRule type="expression" priority="13" dxfId="116">
      <formula>$D$9&lt;0</formula>
    </cfRule>
    <cfRule type="expression" priority="14" dxfId="115">
      <formula>$D$9&gt;0</formula>
    </cfRule>
  </conditionalFormatting>
  <conditionalFormatting sqref="N9 N12">
    <cfRule type="expression" priority="45" dxfId="4">
      <formula>$C$9="PLN"</formula>
    </cfRule>
    <cfRule type="expression" priority="46" dxfId="0">
      <formula>$C$9="CZK"</formula>
    </cfRule>
    <cfRule type="expression" priority="47" dxfId="3">
      <formula>$C$9="USD"</formula>
    </cfRule>
    <cfRule type="expression" priority="48" dxfId="2">
      <formula>$C$9="EURO"</formula>
    </cfRule>
  </conditionalFormatting>
  <conditionalFormatting sqref="N14:N34">
    <cfRule type="expression" priority="19" dxfId="4">
      <formula>$C$9="PLN"</formula>
    </cfRule>
    <cfRule type="expression" priority="20" dxfId="0">
      <formula>$C$9="CZK"</formula>
    </cfRule>
    <cfRule type="expression" priority="21" dxfId="3">
      <formula>$C$9="USD"</formula>
    </cfRule>
    <cfRule type="expression" priority="22" dxfId="2">
      <formula>$C$9="EURO"</formula>
    </cfRule>
  </conditionalFormatting>
  <conditionalFormatting sqref="N18:N22">
    <cfRule type="cellIs" priority="23" operator="greaterThan" dxfId="5">
      <formula>0</formula>
    </cfRule>
  </conditionalFormatting>
  <conditionalFormatting sqref="N37:N48">
    <cfRule type="expression" priority="8" dxfId="4">
      <formula>$C$9="PLN"</formula>
    </cfRule>
    <cfRule type="expression" priority="9" dxfId="0">
      <formula>$C$9="CZK"</formula>
    </cfRule>
    <cfRule type="expression" priority="10" dxfId="3">
      <formula>$C$9="USD"</formula>
    </cfRule>
    <cfRule type="expression" priority="11" dxfId="2">
      <formula>$C$9="EURO"</formula>
    </cfRule>
  </conditionalFormatting>
  <conditionalFormatting sqref="N14:O34">
    <cfRule type="cellIs" priority="18" operator="greaterThan" dxfId="5">
      <formula>0</formula>
    </cfRule>
  </conditionalFormatting>
  <conditionalFormatting sqref="N38:O48">
    <cfRule type="cellIs" priority="7" operator="greaterThan" dxfId="141">
      <formula>0</formula>
    </cfRule>
  </conditionalFormatting>
  <conditionalFormatting sqref="O14:O22">
    <cfRule type="cellIs" priority="24" operator="greaterThan" dxfId="5">
      <formula>0</formula>
    </cfRule>
  </conditionalFormatting>
  <dataValidations count="3">
    <dataValidation sqref="E14:E34" showDropDown="0" showInputMessage="1" showErrorMessage="1" allowBlank="1" type="list">
      <formula1>"0,1,2,3,4,5,6,7,8,9,10,11,12,13,14,15,16,17,18,19,20"</formula1>
    </dataValidation>
    <dataValidation sqref="F14:F28 F31:F32" showDropDown="0" showInputMessage="1" showErrorMessage="1" allowBlank="1" operator="greaterThan"/>
    <dataValidation sqref="H36" showDropDown="0" showInputMessage="1" showErrorMessage="1" allowBlank="1" type="list">
      <formula1>#REF!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61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tabColor theme="8" tint="0.7999816888943144"/>
    <outlinePr summaryBelow="1" summaryRight="1"/>
    <pageSetUpPr fitToPage="1"/>
  </sheetPr>
  <dimension ref="A1:AB161"/>
  <sheetViews>
    <sheetView showGridLines="0" zoomScale="70" zoomScaleNormal="70" zoomScaleSheetLayoutView="50" workbookViewId="0">
      <selection activeCell="Q35" sqref="Q35"/>
    </sheetView>
  </sheetViews>
  <sheetFormatPr baseColWidth="10" defaultColWidth="8.83203125" defaultRowHeight="15" customHeight="1"/>
  <cols>
    <col width="2" customWidth="1" style="215" min="1" max="2"/>
    <col width="39.5" customWidth="1" style="1070" min="3" max="3"/>
    <col width="39.83203125" customWidth="1" style="1070" min="4" max="4"/>
    <col width="27.1640625" customWidth="1" style="1070" min="5" max="5"/>
    <col width="16.83203125" customWidth="1" style="1070" min="6" max="6"/>
    <col width="15.5" customWidth="1" style="1070" min="7" max="7"/>
    <col width="19.6640625" customWidth="1" style="1070" min="8" max="8"/>
    <col width="10" bestFit="1" customWidth="1" style="1072" min="9" max="9"/>
    <col width="14.83203125" bestFit="1" customWidth="1" style="1073" min="10" max="10"/>
    <col width="17.5" customWidth="1" style="228" min="11" max="11"/>
    <col width="10.5" customWidth="1" style="228" min="12" max="12"/>
    <col hidden="1" width="10.6640625" customWidth="1" style="346" min="13" max="13"/>
    <col width="14.5" bestFit="1" customWidth="1" style="1073" min="14" max="14"/>
    <col width="13.6640625" bestFit="1" customWidth="1" style="14" min="15" max="15"/>
    <col width="8.83203125" customWidth="1" style="1070" min="16" max="17"/>
    <col width="18.6640625" customWidth="1" style="1070" min="18" max="18"/>
    <col width="8.83203125" customWidth="1" style="1070" min="19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0"/>
    <col width="8.83203125" customWidth="1" style="1070" min="101" max="16384"/>
  </cols>
  <sheetData>
    <row r="1" ht="15" customHeight="1" s="1085">
      <c r="C1" s="1148" t="inlineStr">
        <is>
          <t xml:space="preserve">F24-19    EDGE BOX COST SHEET </t>
        </is>
      </c>
      <c r="E1" s="216" t="n"/>
      <c r="F1" s="216" t="n"/>
      <c r="G1" s="216" t="n"/>
      <c r="H1" s="216" t="n"/>
      <c r="I1" s="29" t="n"/>
      <c r="J1" s="336" t="n"/>
      <c r="K1" s="337" t="n"/>
      <c r="L1" s="338" t="n"/>
      <c r="M1" s="339" t="n"/>
      <c r="N1" s="336" t="n"/>
      <c r="O1" s="975" t="inlineStr">
        <is>
          <t>JAN25-19</t>
        </is>
      </c>
      <c r="S1" s="80" t="n"/>
      <c r="T1" s="218" t="n"/>
    </row>
    <row r="2" ht="15" customHeight="1" s="1085">
      <c r="C2" s="79" t="n"/>
      <c r="D2" s="221" t="n"/>
      <c r="E2" s="221" t="n"/>
      <c r="G2" s="79" t="n"/>
      <c r="H2" s="77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C3" s="78" t="inlineStr">
        <is>
          <t>Job No.</t>
        </is>
      </c>
      <c r="D3" s="1130">
        <f>IF(CANOPY!C3="","",CANOPY!C3)</f>
        <v/>
      </c>
      <c r="G3" s="76" t="inlineStr">
        <is>
          <t>Project Name</t>
        </is>
      </c>
      <c r="H3" s="1071">
        <f>IF(CANOPY!G3="","",CANOPY!G3)</f>
        <v/>
      </c>
      <c r="L3" s="342" t="n"/>
      <c r="M3" s="343" t="n"/>
      <c r="N3" s="344" t="n"/>
      <c r="T3" s="225" t="n"/>
    </row>
    <row r="4" ht="15" customHeight="1" s="1085">
      <c r="C4" s="79" t="n"/>
      <c r="D4" s="223" t="n"/>
      <c r="E4" s="223" t="n"/>
      <c r="G4" s="77" t="n"/>
      <c r="H4" s="222" t="n"/>
      <c r="I4" s="227" t="n"/>
      <c r="J4" s="341" t="n"/>
      <c r="L4" s="342" t="n"/>
      <c r="M4" s="343" t="n"/>
      <c r="N4" s="344" t="n"/>
      <c r="T4" s="225" t="n"/>
    </row>
    <row r="5" ht="15" customHeight="1" s="1085">
      <c r="C5" s="78" t="inlineStr">
        <is>
          <t>Customer</t>
        </is>
      </c>
      <c r="D5" s="1074">
        <f>IF(CANOPY!C5="","",CANOPY!C5)</f>
        <v/>
      </c>
      <c r="G5" s="76" t="inlineStr">
        <is>
          <t>Location</t>
        </is>
      </c>
      <c r="H5" s="1071">
        <f>IF(CANOPY!G5="","",CANOPY!G5)</f>
        <v/>
      </c>
      <c r="M5" s="343" t="n"/>
      <c r="N5" s="344" t="n"/>
      <c r="Q5" s="229" t="n"/>
      <c r="R5" s="229" t="n"/>
      <c r="T5" s="225" t="n"/>
      <c r="U5" s="226" t="n"/>
    </row>
    <row r="6" ht="15" customHeight="1" s="1085">
      <c r="C6" s="78" t="n"/>
      <c r="D6" s="230" t="n"/>
      <c r="E6" s="230" t="n"/>
      <c r="G6" s="76" t="n"/>
      <c r="H6" s="222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C7" s="80" t="inlineStr">
        <is>
          <t>Sales Manager / Estimator initials</t>
        </is>
      </c>
      <c r="D7" s="1074">
        <f>IF(CANOPY!C7="","",CANOPY!C7)</f>
        <v/>
      </c>
      <c r="G7" s="76" t="inlineStr">
        <is>
          <t>Date</t>
        </is>
      </c>
      <c r="H7" s="1075">
        <f>IF(CANOPY!G7="","",CANOPY!G7)</f>
        <v/>
      </c>
      <c r="N7" s="347" t="inlineStr">
        <is>
          <t>Revision No</t>
        </is>
      </c>
      <c r="O7" s="900">
        <f>IF(CANOPY!O7="","",CANOPY!O7)</f>
        <v/>
      </c>
      <c r="P7" s="1157" t="inlineStr">
        <is>
          <t>GP SHOULD BE MINIMUM 44%</t>
        </is>
      </c>
      <c r="T7" s="225" t="n"/>
      <c r="U7" s="226" t="n"/>
      <c r="AA7" s="231" t="n"/>
    </row>
    <row r="8" ht="15" customHeight="1" s="1085">
      <c r="E8" s="219" t="n"/>
      <c r="F8" s="219" t="n"/>
      <c r="H8" s="219" t="n"/>
      <c r="J8" s="346" t="n"/>
      <c r="K8" s="14" t="n"/>
      <c r="T8" s="225" t="n"/>
      <c r="AA8" s="231" t="n"/>
    </row>
    <row r="9" ht="15" customFormat="1" customHeight="1" s="80">
      <c r="A9" s="215" t="n"/>
      <c r="B9" s="215" t="n"/>
      <c r="C9" s="38" t="inlineStr">
        <is>
          <t>CURRENCY</t>
        </is>
      </c>
      <c r="D9" s="951" t="n">
        <v>0</v>
      </c>
      <c r="E9" s="377">
        <f>IF(D9=0,0,(SUBTOTAL(9,M14:M48)/(1-D9))-M9)</f>
        <v/>
      </c>
      <c r="I9" s="234" t="n"/>
      <c r="K9" s="25">
        <f>SUBTOTAL(9,K12:K48)</f>
        <v/>
      </c>
      <c r="L9" s="970">
        <f>IF(O9=0,"-",O9/M9)</f>
        <v/>
      </c>
      <c r="M9" s="25">
        <f>SUBTOTAL(9,M12:M48)</f>
        <v/>
      </c>
      <c r="N9" s="464">
        <f>SUBTOTAL(9,N12:N48)</f>
        <v/>
      </c>
      <c r="O9" s="25">
        <f>SUBTOTAL(9,O12:O48)</f>
        <v/>
      </c>
      <c r="P9" s="1070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215" t="n"/>
      <c r="C12" s="1089" t="inlineStr">
        <is>
          <t xml:space="preserve">ITEM </t>
        </is>
      </c>
      <c r="D12" s="236" t="n"/>
      <c r="E12" s="237">
        <f>E14</f>
        <v/>
      </c>
      <c r="F12" s="838" t="n">
        <v>0</v>
      </c>
      <c r="G12" s="838">
        <f>IF(I12&lt;1,0,CEILING((G14-100)/I14,250))</f>
        <v/>
      </c>
      <c r="H12" s="237">
        <f>E12&amp;G12&amp;F12</f>
        <v/>
      </c>
      <c r="I12" s="236">
        <f>IF(F14=0,0,IF(G14=0,0,(F14/(IF(D14="WALL",F14,(F14/2)))*I14)))</f>
        <v/>
      </c>
      <c r="J12" s="238" t="n"/>
      <c r="K12" s="154">
        <f>SUBTOTAL(9,K14:K34)</f>
        <v/>
      </c>
      <c r="L12" s="15">
        <f>IF(K14=0,"-",O12/M12)</f>
        <v/>
      </c>
      <c r="M12" s="154">
        <f>SUBTOTAL(9,M14:M34)</f>
        <v/>
      </c>
      <c r="N12" s="464">
        <f>SUBTOTAL(9,N14:N34)</f>
        <v/>
      </c>
      <c r="O12" s="154">
        <f>SUBTOTAL(9,O14:O34)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LENGTH</t>
        </is>
      </c>
      <c r="G13" s="10" t="inlineStr">
        <is>
          <t>WIDTH</t>
        </is>
      </c>
      <c r="H13" s="10" t="inlineStr">
        <is>
          <t>HEIGHT</t>
        </is>
      </c>
      <c r="I13" s="10" t="inlineStr">
        <is>
          <t>SECTIONS</t>
        </is>
      </c>
      <c r="J13" s="349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A14" s="215" t="n">
        <v>210</v>
      </c>
      <c r="C14" s="791" t="inlineStr">
        <is>
          <t xml:space="preserve">PS-150 TOUCH SCREEN </t>
        </is>
      </c>
      <c r="D14" s="460" t="inlineStr">
        <is>
          <t>TOUCH SCREEN REMOTE BOX - METAL</t>
        </is>
      </c>
      <c r="E14" s="448" t="n"/>
      <c r="F14" s="837" t="n">
        <v>300</v>
      </c>
      <c r="G14" s="835" t="n">
        <v>95</v>
      </c>
      <c r="H14" s="896" t="n">
        <v>250</v>
      </c>
      <c r="I14" s="31" t="n"/>
      <c r="J14" s="380" t="n">
        <v>419.97</v>
      </c>
      <c r="K14" s="378">
        <f>SUM(J14*E14)</f>
        <v/>
      </c>
      <c r="L14" s="392" t="n">
        <v>0.35</v>
      </c>
      <c r="M14" s="311">
        <f>(K14/(1-L14))*(1+$D$9)</f>
        <v/>
      </c>
      <c r="N14" s="378">
        <f>(M14*VLOOKUP($C$9,'Base Costs'!$A$32:$B$37,2,FALSE))</f>
        <v/>
      </c>
      <c r="O14" s="379">
        <f>M14-K14</f>
        <v/>
      </c>
      <c r="U14" s="229" t="n"/>
      <c r="AA14" s="1070" t="n"/>
    </row>
    <row r="15" ht="15" customHeight="1" s="1085">
      <c r="A15" s="215" t="n">
        <v>104</v>
      </c>
      <c r="C15" s="855" t="inlineStr">
        <is>
          <t>PS-152 EDGE BOX</t>
        </is>
      </c>
      <c r="D15" s="460" t="inlineStr">
        <is>
          <t>PEU/AEU/HOODS (Staged Alarms)</t>
        </is>
      </c>
      <c r="E15" s="448" t="n"/>
      <c r="F15" s="895" t="n">
        <v>380</v>
      </c>
      <c r="G15" s="835" t="n">
        <v>300</v>
      </c>
      <c r="H15" s="896" t="n">
        <v>180</v>
      </c>
      <c r="I15" s="31" t="n"/>
      <c r="J15" s="380" t="n">
        <v>1030.52</v>
      </c>
      <c r="K15" s="378">
        <f>SUM(J15*E15)</f>
        <v/>
      </c>
      <c r="L15" s="392" t="n">
        <v>0.35</v>
      </c>
      <c r="M15" s="311">
        <f>(K15/(1-L15))*(1+$D$9)</f>
        <v/>
      </c>
      <c r="N15" s="378">
        <f>(M15*VLOOKUP($C$9,'Base Costs'!$A$32:$B$37,2,FALSE))</f>
        <v/>
      </c>
      <c r="O15" s="379">
        <f>M15-K15</f>
        <v/>
      </c>
      <c r="U15" s="229" t="n"/>
      <c r="AA15" s="1070" t="n"/>
    </row>
    <row r="16" ht="15" customHeight="1" s="1085">
      <c r="A16" s="215" t="n">
        <v>234</v>
      </c>
      <c r="C16" s="855" t="inlineStr">
        <is>
          <t>PS-153 EDGE BOX</t>
        </is>
      </c>
      <c r="D16" s="460" t="inlineStr">
        <is>
          <t>PEU/HOODS (Staged Alarms)</t>
        </is>
      </c>
      <c r="E16" s="461" t="n"/>
      <c r="F16" s="895" t="n">
        <v>380</v>
      </c>
      <c r="G16" s="835" t="n">
        <v>300</v>
      </c>
      <c r="H16" s="896" t="n">
        <v>180</v>
      </c>
      <c r="I16" s="31" t="n"/>
      <c r="J16" s="380" t="n">
        <v>690.16</v>
      </c>
      <c r="K16" s="378">
        <f>SUM(J16*E16)</f>
        <v/>
      </c>
      <c r="L16" s="392" t="n">
        <v>0.35</v>
      </c>
      <c r="M16" s="311">
        <f>(K16/(1-L16))*(1+$D$9)</f>
        <v/>
      </c>
      <c r="N16" s="378">
        <f>(M16*VLOOKUP($C$9,'Base Costs'!$A$32:$B$37,2,FALSE))</f>
        <v/>
      </c>
      <c r="O16" s="379">
        <f>M16-K16</f>
        <v/>
      </c>
      <c r="U16" s="229" t="n"/>
      <c r="AA16" s="1070" t="n"/>
    </row>
    <row r="17" ht="15" customHeight="1" s="1085">
      <c r="C17" s="855" t="inlineStr">
        <is>
          <t>PS-154 EDGE BOX</t>
        </is>
      </c>
      <c r="D17" s="460" t="inlineStr">
        <is>
          <t>PEU/MRV/HOODS (Staged Alarms)</t>
        </is>
      </c>
      <c r="E17" s="448" t="n"/>
      <c r="F17" s="895" t="n">
        <v>380</v>
      </c>
      <c r="G17" s="895" t="n">
        <v>300</v>
      </c>
      <c r="H17" s="896" t="n">
        <v>180</v>
      </c>
      <c r="I17" s="31" t="n"/>
      <c r="J17" s="380" t="n">
        <v>894.01</v>
      </c>
      <c r="K17" s="378">
        <f>SUM(J17*E17)</f>
        <v/>
      </c>
      <c r="L17" s="392" t="n">
        <v>0.35</v>
      </c>
      <c r="M17" s="311">
        <f>(K17/(1-L17))*(1+$D$9)</f>
        <v/>
      </c>
      <c r="N17" s="378">
        <f>(M17*VLOOKUP($C$9,'Base Costs'!$A$32:$B$37,2,FALSE))</f>
        <v/>
      </c>
      <c r="O17" s="379">
        <f>M17-K17</f>
        <v/>
      </c>
      <c r="U17" s="229" t="n"/>
      <c r="AA17" s="1070" t="n"/>
    </row>
    <row r="18" ht="15" customHeight="1" s="1085">
      <c r="C18" s="855" t="inlineStr">
        <is>
          <t>PS-155 EDGE BOX</t>
        </is>
      </c>
      <c r="D18" s="460" t="inlineStr">
        <is>
          <t>PEU/AEU/ MRV/HOOD (No Staged Alarms)</t>
        </is>
      </c>
      <c r="E18" s="448" t="n"/>
      <c r="F18" s="895" t="n">
        <v>380</v>
      </c>
      <c r="G18" s="895" t="n">
        <v>300</v>
      </c>
      <c r="H18" s="896" t="n">
        <v>180</v>
      </c>
      <c r="I18" s="31" t="n"/>
      <c r="J18" s="380" t="n">
        <v>1039.58</v>
      </c>
      <c r="K18" s="378">
        <f>SUM(J18*E18)</f>
        <v/>
      </c>
      <c r="L18" s="392" t="n">
        <v>0.35</v>
      </c>
      <c r="M18" s="311">
        <f>(K18/(1-L18))*(1+$D$9)</f>
        <v/>
      </c>
      <c r="N18" s="378">
        <f>(M18*VLOOKUP($C$9,'Base Costs'!$A$32:$B$37,2,FALSE))</f>
        <v/>
      </c>
      <c r="O18" s="379">
        <f>M18-K18</f>
        <v/>
      </c>
      <c r="U18" s="229" t="n"/>
      <c r="AA18" s="1070" t="n"/>
    </row>
    <row r="19" ht="15" customHeight="1" s="1085">
      <c r="C19" s="855" t="n"/>
      <c r="D19" s="460" t="n"/>
      <c r="E19" s="448" t="n"/>
      <c r="F19" s="895" t="n"/>
      <c r="G19" s="895" t="n"/>
      <c r="H19" s="896" t="n"/>
      <c r="I19" s="31" t="n"/>
      <c r="J19" s="380" t="n"/>
      <c r="K19" s="378" t="n"/>
      <c r="L19" s="392" t="n"/>
      <c r="M19" s="311" t="n"/>
      <c r="N19" s="378" t="n"/>
      <c r="O19" s="379" t="n"/>
      <c r="U19" s="229" t="n"/>
      <c r="AA19" s="1070" t="n"/>
    </row>
    <row r="20" ht="15" customHeight="1" s="1085">
      <c r="C20" s="791" t="inlineStr">
        <is>
          <t>RCL-329 LPC-3 GOT.112 (CANOPY CONTROL)</t>
        </is>
      </c>
      <c r="D20" s="1065" t="inlineStr">
        <is>
          <t>GOT Panel Comp for UV-c (24 Sections Max)</t>
        </is>
      </c>
      <c r="E20" s="448" t="n"/>
      <c r="F20" s="895" t="n">
        <v>160</v>
      </c>
      <c r="G20" s="895" t="n">
        <v>34</v>
      </c>
      <c r="H20" s="896" t="n">
        <v>106</v>
      </c>
      <c r="I20" s="31" t="n"/>
      <c r="J20" s="380" t="n">
        <v>336.21</v>
      </c>
      <c r="K20" s="378">
        <f>SUM(J20*E20)</f>
        <v/>
      </c>
      <c r="L20" s="392" t="n">
        <v>0.35</v>
      </c>
      <c r="M20" s="311">
        <f>(K20/(1-L20))*(1+$D$9)</f>
        <v/>
      </c>
      <c r="N20" s="378">
        <f>(M20*VLOOKUP($C$9,'Base Costs'!$A$32:$B$37,2,FALSE))</f>
        <v/>
      </c>
      <c r="O20" s="379">
        <f>M20-K20</f>
        <v/>
      </c>
      <c r="U20" s="229" t="n"/>
      <c r="AA20" s="1070" t="n"/>
    </row>
    <row r="21" ht="15" customHeight="1" s="1085">
      <c r="C21" s="791" t="inlineStr">
        <is>
          <t>RCL-342 GOT-112 WALL BOX</t>
        </is>
      </c>
      <c r="D21" s="460" t="inlineStr">
        <is>
          <t>Remote Mounting box if Required</t>
        </is>
      </c>
      <c r="E21" s="448" t="n"/>
      <c r="F21" s="895" t="n">
        <v>270</v>
      </c>
      <c r="G21" s="895" t="n">
        <v>200</v>
      </c>
      <c r="H21" s="896" t="n">
        <v>150</v>
      </c>
      <c r="I21" s="31" t="n"/>
      <c r="J21" s="380" t="n">
        <v>82</v>
      </c>
      <c r="K21" s="378">
        <f>SUM(J21*E21)</f>
        <v/>
      </c>
      <c r="L21" s="392" t="n">
        <v>0.35</v>
      </c>
      <c r="M21" s="311">
        <f>(K21/(1-L21))*(1+$D$9)</f>
        <v/>
      </c>
      <c r="N21" s="378">
        <f>(M21*VLOOKUP($C$9,'Base Costs'!$A$32:$B$37,2,FALSE))</f>
        <v/>
      </c>
      <c r="O21" s="379">
        <f>M21-K21</f>
        <v/>
      </c>
      <c r="U21" s="229" t="n"/>
      <c r="AA21" s="1070" t="n"/>
    </row>
    <row r="22" ht="15" customHeight="1" s="1085">
      <c r="C22" s="270" t="inlineStr">
        <is>
          <t>RCL-280 STAGED ALARM BOX</t>
        </is>
      </c>
      <c r="D22" s="460" t="inlineStr">
        <is>
          <t>MU5 CONTROLLER BOX</t>
        </is>
      </c>
      <c r="E22" s="448" t="n"/>
      <c r="F22" s="895" t="n">
        <v>179</v>
      </c>
      <c r="G22" s="895" t="n">
        <v>129</v>
      </c>
      <c r="H22" s="896" t="n">
        <v>100</v>
      </c>
      <c r="I22" s="31" t="n"/>
      <c r="J22" s="380" t="n">
        <v>212.86</v>
      </c>
      <c r="K22" s="378">
        <f>SUM(J22*E22)</f>
        <v/>
      </c>
      <c r="L22" s="392" t="n">
        <v>0.35</v>
      </c>
      <c r="M22" s="311">
        <f>(K22/(1-L22))*(1+$D$9)</f>
        <v/>
      </c>
      <c r="N22" s="378">
        <f>(M22*VLOOKUP($C$9,'Base Costs'!$A$32:$B$37,2,FALSE))</f>
        <v/>
      </c>
      <c r="O22" s="379">
        <f>M22-K22</f>
        <v/>
      </c>
      <c r="P22" s="1064" t="inlineStr">
        <is>
          <t xml:space="preserve">Add if Alarms requested for a GOT panel </t>
        </is>
      </c>
      <c r="U22" s="229" t="n"/>
      <c r="AA22" s="1070" t="n"/>
    </row>
    <row r="23" ht="15" customHeight="1" s="1085">
      <c r="A23" s="215" t="n">
        <v>289</v>
      </c>
      <c r="C23" s="270" t="n"/>
      <c r="D23" s="460" t="n"/>
      <c r="E23" s="448" t="n"/>
      <c r="F23" s="895" t="n"/>
      <c r="G23" s="895" t="n"/>
      <c r="H23" s="896" t="n"/>
      <c r="I23" s="31" t="n"/>
      <c r="J23" s="380" t="n"/>
      <c r="K23" s="378">
        <f>SUM(J23*E23)</f>
        <v/>
      </c>
      <c r="L23" s="392" t="n"/>
      <c r="M23" s="311">
        <f>(K23/(1-L23))*(1+$D$9)</f>
        <v/>
      </c>
      <c r="N23" s="378">
        <f>(M23*VLOOKUP($C$9,'Base Costs'!$A$32:$B$37,2,FALSE))</f>
        <v/>
      </c>
      <c r="O23" s="379">
        <f>M23-K23</f>
        <v/>
      </c>
      <c r="U23" s="229" t="n"/>
      <c r="AA23" s="1070" t="n"/>
    </row>
    <row r="24" ht="15" customHeight="1" s="1085">
      <c r="A24" s="215" t="n">
        <v>242</v>
      </c>
      <c r="C24" s="270" t="inlineStr">
        <is>
          <t xml:space="preserve">PS-160 EXTERNAL AERIAL </t>
        </is>
      </c>
      <c r="D24" s="460" t="inlineStr">
        <is>
          <t>EXTERNAL AERIAL BOX</t>
        </is>
      </c>
      <c r="E24" s="448" t="n"/>
      <c r="F24" s="895" t="n">
        <v>250</v>
      </c>
      <c r="G24" s="895" t="n">
        <v>175</v>
      </c>
      <c r="H24" s="896" t="n">
        <v>100</v>
      </c>
      <c r="I24" s="31" t="n"/>
      <c r="J24" s="380" t="n">
        <v>100.91</v>
      </c>
      <c r="K24" s="378">
        <f>SUM(J24*E24)</f>
        <v/>
      </c>
      <c r="L24" s="392" t="n">
        <v>0.35</v>
      </c>
      <c r="M24" s="311">
        <f>(K24/(1-L24))*(1+$D$9)</f>
        <v/>
      </c>
      <c r="N24" s="378">
        <f>(M24*VLOOKUP($C$9,'Base Costs'!$A$32:$B$37,2,FALSE))</f>
        <v/>
      </c>
      <c r="O24" s="379">
        <f>M24-K24</f>
        <v/>
      </c>
      <c r="U24" s="229" t="n"/>
      <c r="AA24" s="1070" t="n"/>
    </row>
    <row r="25" ht="15" customHeight="1" s="1085">
      <c r="A25" s="215" t="n">
        <v>220</v>
      </c>
      <c r="C25" s="855" t="inlineStr">
        <is>
          <t xml:space="preserve">PS-156 EDGE BOX REMOTE ROUTER (UV-GOT)  </t>
        </is>
      </c>
      <c r="D25" s="1066" t="inlineStr">
        <is>
          <t>EXTERNAL ROUTER</t>
        </is>
      </c>
      <c r="E25" s="448" t="n"/>
      <c r="F25" s="837" t="n">
        <v>250</v>
      </c>
      <c r="G25" s="895" t="n">
        <v>175</v>
      </c>
      <c r="H25" s="896" t="n">
        <v>100</v>
      </c>
      <c r="I25" s="31" t="n"/>
      <c r="J25" s="380" t="n">
        <v>484.58</v>
      </c>
      <c r="K25" s="378">
        <f>SUM(J25*E25)</f>
        <v/>
      </c>
      <c r="L25" s="392" t="n">
        <v>0.35</v>
      </c>
      <c r="M25" s="311">
        <f>(K25/(1-L25))*(1+$D$9)</f>
        <v/>
      </c>
      <c r="N25" s="378">
        <f>(M25*VLOOKUP($C$9,'Base Costs'!$A$32:$B$37,2,FALSE))</f>
        <v/>
      </c>
      <c r="O25" s="379">
        <f>M25-K25</f>
        <v/>
      </c>
      <c r="U25" s="229" t="n"/>
      <c r="AA25" s="1070" t="n"/>
    </row>
    <row r="26" ht="15" customHeight="1" s="1085">
      <c r="A26" s="215" t="n">
        <v>103</v>
      </c>
      <c r="C26" s="855" t="n"/>
      <c r="D26" s="460" t="n"/>
      <c r="E26" s="448" t="n"/>
      <c r="F26" s="837" t="n"/>
      <c r="G26" s="895" t="n"/>
      <c r="H26" s="896" t="n"/>
      <c r="I26" s="31" t="n"/>
      <c r="J26" s="380" t="n"/>
      <c r="K26" s="378">
        <f>SUM(J26*E26)</f>
        <v/>
      </c>
      <c r="L26" s="392" t="n"/>
      <c r="M26" s="311">
        <f>(K26/(1-L26))*(1+$D$9)</f>
        <v/>
      </c>
      <c r="N26" s="378">
        <f>(M26*VLOOKUP($C$9,'Base Costs'!$A$32:$B$37,2,FALSE))</f>
        <v/>
      </c>
      <c r="O26" s="379">
        <f>M26-K26</f>
        <v/>
      </c>
      <c r="U26" s="229" t="n"/>
      <c r="AA26" s="1070" t="n"/>
    </row>
    <row r="27" ht="15" customHeight="1" s="1085">
      <c r="A27" s="215" t="n">
        <v>103</v>
      </c>
      <c r="C27" s="855" t="inlineStr">
        <is>
          <t>CONNECTIVITY PS-153/152/154/155</t>
        </is>
      </c>
      <c r="D27" s="921" t="inlineStr">
        <is>
          <t xml:space="preserve"> NOT INCLUDED IN THE ABOVE</t>
        </is>
      </c>
      <c r="E27" s="448" t="n"/>
      <c r="F27" s="837" t="n"/>
      <c r="G27" s="895" t="n"/>
      <c r="H27" s="896" t="n"/>
      <c r="I27" s="31" t="n"/>
      <c r="J27" s="380" t="n">
        <v>522.38</v>
      </c>
      <c r="K27" s="378">
        <f>SUM(J27*E27)</f>
        <v/>
      </c>
      <c r="L27" s="392" t="n">
        <v>0.35</v>
      </c>
      <c r="M27" s="311">
        <f>(K27/(1-L27))*(1+$D$9)</f>
        <v/>
      </c>
      <c r="N27" s="378">
        <f>(M27*VLOOKUP($C$9,'Base Costs'!$A$32:$B$37,2,FALSE))</f>
        <v/>
      </c>
      <c r="O27" s="379">
        <f>M27-K27</f>
        <v/>
      </c>
      <c r="P27" s="990" t="inlineStr">
        <is>
          <t>EDGE UP2 Plus First Year Connectivity Fee from Group</t>
        </is>
      </c>
      <c r="U27" s="229" t="n"/>
      <c r="AA27" s="1070" t="n"/>
    </row>
    <row r="28" ht="15" customHeight="1" s="1085">
      <c r="C28" s="855" t="inlineStr">
        <is>
          <t>CONNECTIVITY  (UV-GOT)</t>
        </is>
      </c>
      <c r="D28" s="1067" t="inlineStr">
        <is>
          <t xml:space="preserve"> NOT INCLUDED IN THE ABOVE</t>
        </is>
      </c>
      <c r="E28" s="448" t="n"/>
      <c r="F28" s="895" t="n"/>
      <c r="G28" s="895" t="n"/>
      <c r="H28" s="896" t="n"/>
      <c r="I28" s="31" t="n"/>
      <c r="J28" s="380" t="n">
        <v>130</v>
      </c>
      <c r="K28" s="378">
        <f>SUM(J28*E28)</f>
        <v/>
      </c>
      <c r="L28" s="392" t="n">
        <v>0.35</v>
      </c>
      <c r="M28" s="311">
        <f>(K28/(1-L28))*(1+$D$9)</f>
        <v/>
      </c>
      <c r="N28" s="378">
        <f>(M28*VLOOKUP($C$9,'Base Costs'!$A$32:$B$37,2,FALSE))</f>
        <v/>
      </c>
      <c r="O28" s="379">
        <f>M28-K28</f>
        <v/>
      </c>
      <c r="P28" s="990" t="inlineStr">
        <is>
          <t>First Year Connectivity Fee from Group</t>
        </is>
      </c>
      <c r="U28" s="229" t="n"/>
      <c r="AA28" s="1070" t="n"/>
    </row>
    <row r="29" ht="15" customHeight="1" s="1085">
      <c r="A29" s="215" t="n">
        <v>285</v>
      </c>
      <c r="C29" s="855" t="n"/>
      <c r="D29" s="460" t="n"/>
      <c r="E29" s="448" t="n"/>
      <c r="F29" s="898" t="n"/>
      <c r="G29" s="898" t="n"/>
      <c r="H29" s="899" t="n"/>
      <c r="I29" s="31" t="n"/>
      <c r="J29" s="380" t="n"/>
      <c r="K29" s="378">
        <f>SUM(J29*E29)</f>
        <v/>
      </c>
      <c r="L29" s="392" t="n"/>
      <c r="M29" s="311">
        <f>(K29/(1-L29))*(1+$D$9)</f>
        <v/>
      </c>
      <c r="N29" s="378">
        <f>(M29*VLOOKUP($C$9,'Base Costs'!$A$32:$B$37,2,FALSE))</f>
        <v/>
      </c>
      <c r="O29" s="379">
        <f>M29-K29</f>
        <v/>
      </c>
      <c r="U29" s="229" t="n"/>
      <c r="AA29" s="1070" t="n"/>
    </row>
    <row r="30" ht="15" customHeight="1" s="1085">
      <c r="C30" s="855" t="n"/>
      <c r="D30" s="460" t="n"/>
      <c r="E30" s="448" t="n"/>
      <c r="F30" s="898" t="n"/>
      <c r="G30" s="898" t="n"/>
      <c r="H30" s="899" t="n"/>
      <c r="I30" s="31" t="n"/>
      <c r="J30" s="380" t="n"/>
      <c r="K30" s="378">
        <f>SUM(J30*E30)</f>
        <v/>
      </c>
      <c r="L30" s="392" t="n"/>
      <c r="M30" s="311">
        <f>(K30/(1-L30))*(1+$D$9)</f>
        <v/>
      </c>
      <c r="N30" s="378">
        <f>(M30*VLOOKUP($C$9,'Base Costs'!$A$32:$B$37,2,FALSE))</f>
        <v/>
      </c>
      <c r="O30" s="379">
        <f>M30-K30</f>
        <v/>
      </c>
      <c r="U30" s="229" t="n"/>
      <c r="AA30" s="1070" t="n"/>
    </row>
    <row r="31" ht="15" customHeight="1" s="1085">
      <c r="C31" s="269" t="n"/>
      <c r="D31" s="460" t="n"/>
      <c r="E31" s="448" t="n"/>
      <c r="F31" s="895" t="n"/>
      <c r="G31" s="895" t="n"/>
      <c r="H31" s="896" t="n"/>
      <c r="I31" s="31" t="n"/>
      <c r="J31" s="380" t="n">
        <v>0</v>
      </c>
      <c r="K31" s="378">
        <f>SUM(J31*E31)</f>
        <v/>
      </c>
      <c r="L31" s="392" t="n"/>
      <c r="M31" s="311">
        <f>(K31/(1-L31))*(1+$D$9)</f>
        <v/>
      </c>
      <c r="N31" s="378">
        <f>(M31*VLOOKUP($C$9,'Base Costs'!$A$32:$B$37,2,FALSE))</f>
        <v/>
      </c>
      <c r="O31" s="379">
        <f>M31-K31</f>
        <v/>
      </c>
      <c r="U31" s="229" t="n"/>
      <c r="AA31" s="1070" t="n"/>
    </row>
    <row r="32" ht="15" customHeight="1" s="1085">
      <c r="A32" s="215" t="n">
        <v>286</v>
      </c>
      <c r="C32" s="270" t="n"/>
      <c r="D32" s="460" t="n"/>
      <c r="E32" s="448" t="n"/>
      <c r="F32" s="895" t="n"/>
      <c r="G32" s="895" t="n"/>
      <c r="H32" s="896" t="n"/>
      <c r="I32" s="31" t="n"/>
      <c r="J32" s="380" t="n">
        <v>0</v>
      </c>
      <c r="K32" s="378">
        <f>SUM(J32*E32)</f>
        <v/>
      </c>
      <c r="L32" s="392" t="n"/>
      <c r="M32" s="311">
        <f>(K32/(1-L32))*(1+$D$9)</f>
        <v/>
      </c>
      <c r="N32" s="378">
        <f>(M32*VLOOKUP($C$9,'Base Costs'!$A$32:$B$37,2,FALSE))</f>
        <v/>
      </c>
      <c r="O32" s="379">
        <f>M32-K32</f>
        <v/>
      </c>
      <c r="U32" s="229" t="n"/>
      <c r="AA32" s="1070" t="n"/>
    </row>
    <row r="33" ht="15" customHeight="1" s="1085">
      <c r="C33" s="269" t="n"/>
      <c r="D33" s="460" t="n"/>
      <c r="E33" s="448" t="n"/>
      <c r="F33" s="462" t="n"/>
      <c r="G33" s="32" t="n"/>
      <c r="H33" s="30" t="n"/>
      <c r="I33" s="31" t="n"/>
      <c r="J33" s="933" t="n"/>
      <c r="K33" s="378">
        <f>SUM(J33*E33)</f>
        <v/>
      </c>
      <c r="L33" s="392" t="n"/>
      <c r="M33" s="311">
        <f>(K33/(1-L33))*(1+$D$9)</f>
        <v/>
      </c>
      <c r="N33" s="378">
        <f>(M33*VLOOKUP($C$9,'Base Costs'!$A$32:$B$37,2,FALSE))</f>
        <v/>
      </c>
      <c r="O33" s="379">
        <f>M33-K33</f>
        <v/>
      </c>
      <c r="U33" s="229" t="n"/>
      <c r="AA33" s="1070" t="n"/>
    </row>
    <row r="34" ht="15" customHeight="1" s="1085">
      <c r="C34" s="855" t="n"/>
      <c r="D34" s="460" t="n"/>
      <c r="E34" s="448" t="n"/>
      <c r="F34" s="462" t="n"/>
      <c r="G34" s="32" t="n"/>
      <c r="H34" s="30" t="n"/>
      <c r="I34" s="31" t="n"/>
      <c r="J34" s="933" t="n"/>
      <c r="K34" s="378">
        <f>SUM(J34*E34)</f>
        <v/>
      </c>
      <c r="L34" s="392" t="n"/>
      <c r="M34" s="311">
        <f>(K34/(1-L34))*(1+$D$9)</f>
        <v/>
      </c>
      <c r="N34" s="378">
        <f>(M34*VLOOKUP($C$9,'Base Costs'!$A$32:$B$37,2,FALSE))</f>
        <v/>
      </c>
      <c r="O34" s="379">
        <f>M34-K34</f>
        <v/>
      </c>
      <c r="U34" s="229" t="n"/>
      <c r="AA34" s="1070" t="n"/>
    </row>
    <row r="35" ht="15" customHeight="1" s="1085">
      <c r="H35" s="34" t="inlineStr">
        <is>
          <t>SECTION UNDER 1000mm</t>
        </is>
      </c>
    </row>
    <row r="36" ht="15" customHeight="1" s="1085">
      <c r="C36" s="239" t="n"/>
      <c r="D36" s="239" t="n"/>
      <c r="E36" s="239" t="n"/>
      <c r="F36" s="239" t="n"/>
      <c r="G36" s="239" t="n"/>
      <c r="H36" s="239" t="n"/>
      <c r="I36" s="9" t="n"/>
      <c r="J36" s="11" t="n"/>
      <c r="K36" s="353" t="n"/>
      <c r="L36" s="240" t="n"/>
      <c r="M36" s="353" t="n"/>
      <c r="N36" s="353" t="n"/>
      <c r="U36" s="229" t="n"/>
      <c r="AA36" s="1070" t="n"/>
    </row>
    <row r="37" ht="15" customHeight="1" s="1085">
      <c r="C37" s="1089" t="inlineStr">
        <is>
          <t xml:space="preserve">DELIVERY &amp; INSTALLATION </t>
        </is>
      </c>
      <c r="I37" s="236" t="n"/>
      <c r="J37" s="330" t="n"/>
      <c r="K37" s="154">
        <f>SUBTOTAL(9,K38:K48)</f>
        <v/>
      </c>
      <c r="L37" s="15">
        <f>IF(K38=0,"-",O37/M37)</f>
        <v/>
      </c>
      <c r="M37" s="154">
        <f>SUBTOTAL(9,M38:M48)</f>
        <v/>
      </c>
      <c r="N37" s="464">
        <f>SUBTOTAL(9,N38:N48)</f>
        <v/>
      </c>
      <c r="O37" s="154">
        <f>SUBTOTAL(9,O39:O48)</f>
        <v/>
      </c>
      <c r="U37" s="229" t="n"/>
    </row>
    <row r="38" ht="15" customHeight="1" s="1085">
      <c r="A38" s="215" t="n">
        <v>222</v>
      </c>
      <c r="C38" s="269" t="inlineStr">
        <is>
          <t xml:space="preserve">DELIVERIES </t>
        </is>
      </c>
      <c r="D38" s="242" t="n"/>
      <c r="E38" s="309" t="inlineStr">
        <is>
          <t>SELECT LOCATION…</t>
        </is>
      </c>
      <c r="F38" s="28" t="n"/>
      <c r="G38" s="30" t="n"/>
      <c r="H38" s="28" t="n"/>
      <c r="I38" s="28" t="n"/>
      <c r="J38" s="385">
        <f>VLOOKUP(E38,'Base Costs'!E4:G213,2,FALSE)</f>
        <v/>
      </c>
      <c r="K38" s="378">
        <f>D38*J38</f>
        <v/>
      </c>
      <c r="L38" s="392" t="n">
        <v>0.33</v>
      </c>
      <c r="M38" s="311">
        <f>(K38/(1-L38))*(1+$D$9)</f>
        <v/>
      </c>
      <c r="N38" s="378">
        <f>(M38*VLOOKUP($C$9,'Base Costs'!$A$32:$B$37,2,FALSE))</f>
        <v/>
      </c>
      <c r="O38" s="379">
        <f>M38-K38</f>
        <v/>
      </c>
      <c r="U38" s="229" t="n"/>
    </row>
    <row r="39" ht="15" customHeight="1" s="1085">
      <c r="A39" s="215" t="n">
        <v>257</v>
      </c>
      <c r="C39" s="269" t="inlineStr">
        <is>
          <t>PLANT HIRE</t>
        </is>
      </c>
      <c r="D39" s="242" t="n"/>
      <c r="E39" s="309" t="inlineStr">
        <is>
          <t>PLANT SELECTION (weekly)</t>
        </is>
      </c>
      <c r="F39" s="28" t="n"/>
      <c r="G39" s="28" t="n"/>
      <c r="H39" s="28" t="n"/>
      <c r="I39" s="28" t="n"/>
      <c r="J39" s="385">
        <f>VLOOKUP(E39,'Base Costs'!$A$4:$B$16,2,FALSE)</f>
        <v/>
      </c>
      <c r="K39" s="378">
        <f>D39*J39</f>
        <v/>
      </c>
      <c r="L39" s="392" t="n">
        <v>0.33</v>
      </c>
      <c r="M39" s="311">
        <f>(K39/(1-L39))*(1+$D$9)</f>
        <v/>
      </c>
      <c r="N39" s="378">
        <f>(M39*VLOOKUP($C$9,'Base Costs'!$A$32:$B$37,2,FALSE))</f>
        <v/>
      </c>
      <c r="O39" s="379">
        <f>M39-K39</f>
        <v/>
      </c>
      <c r="U39" s="229" t="n"/>
    </row>
    <row r="40" ht="15" customHeight="1" s="1085">
      <c r="A40" s="215" t="n">
        <v>257</v>
      </c>
      <c r="C40" s="269" t="inlineStr">
        <is>
          <t>PLANT HIRE</t>
        </is>
      </c>
      <c r="D40" s="242" t="n"/>
      <c r="E40" s="309" t="inlineStr">
        <is>
          <t>PLANT SELECTION (weekly)</t>
        </is>
      </c>
      <c r="F40" s="28" t="n"/>
      <c r="G40" s="28" t="n"/>
      <c r="H40" s="28" t="n"/>
      <c r="I40" s="28" t="n"/>
      <c r="J40" s="385">
        <f>VLOOKUP(E40,'Base Costs'!$A$4:$B$16,2,FALSE)</f>
        <v/>
      </c>
      <c r="K40" s="378">
        <f>D40*J40</f>
        <v/>
      </c>
      <c r="L40" s="392" t="n">
        <v>0.33</v>
      </c>
      <c r="M40" s="311">
        <f>(K40/(1-L40))*(1+$D$9)</f>
        <v/>
      </c>
      <c r="N40" s="378">
        <f>(M40*VLOOKUP($C$9,'Base Costs'!$A$32:$B$37,2,FALSE))</f>
        <v/>
      </c>
      <c r="O40" s="379">
        <f>M40-K40</f>
        <v/>
      </c>
      <c r="U40" s="229" t="n"/>
    </row>
    <row r="41" ht="15" customHeight="1" s="1085">
      <c r="A41" s="215" t="n">
        <v>400</v>
      </c>
      <c r="C41" s="269" t="inlineStr">
        <is>
          <t>STRIP OUT</t>
        </is>
      </c>
      <c r="D41" s="242" t="n"/>
      <c r="E41" s="28" t="inlineStr">
        <is>
          <t>PER DAY</t>
        </is>
      </c>
      <c r="F41" s="28" t="n"/>
      <c r="G41" s="28" t="n"/>
      <c r="H41" s="28" t="n"/>
      <c r="I41" s="28" t="n"/>
      <c r="J41" s="385" t="n">
        <v>450</v>
      </c>
      <c r="K41" s="378">
        <f>D41*J41</f>
        <v/>
      </c>
      <c r="L41" s="392" t="n">
        <v>0.33</v>
      </c>
      <c r="M41" s="311">
        <f>(K41/(1-L41))*(1+$D$9)</f>
        <v/>
      </c>
      <c r="N41" s="378">
        <f>(M41*VLOOKUP($C$9,'Base Costs'!$A$32:$B$37,2,FALSE))</f>
        <v/>
      </c>
      <c r="O41" s="379">
        <f>M41-K41</f>
        <v/>
      </c>
      <c r="U41" s="229" t="n"/>
    </row>
    <row r="42" ht="15" customHeight="1" s="1085">
      <c r="A42" s="215" t="n">
        <v>102</v>
      </c>
      <c r="C42" s="269" t="inlineStr">
        <is>
          <t xml:space="preserve">CONSUMABLES </t>
        </is>
      </c>
      <c r="D42" s="242" t="n">
        <v>1</v>
      </c>
      <c r="E42" s="28" t="inlineStr">
        <is>
          <t>ON SITE FIXINGS</t>
        </is>
      </c>
      <c r="F42" s="28" t="n"/>
      <c r="G42" s="28" t="n"/>
      <c r="H42" s="28" t="n"/>
      <c r="I42" s="28" t="n"/>
      <c r="J42" s="385" t="n">
        <v>15</v>
      </c>
      <c r="K42" s="378">
        <f>D42*J42</f>
        <v/>
      </c>
      <c r="L42" s="392" t="n">
        <v>0.33</v>
      </c>
      <c r="M42" s="311">
        <f>(K42/(1-L42))*(1+$D$9)</f>
        <v/>
      </c>
      <c r="N42" s="378">
        <f>(M42*VLOOKUP($C$9,'Base Costs'!$A$32:$B$37,2,FALSE))</f>
        <v/>
      </c>
      <c r="O42" s="379">
        <f>M42-K42</f>
        <v/>
      </c>
      <c r="U42" s="229" t="n"/>
    </row>
    <row r="43" ht="15" customHeight="1" s="1085">
      <c r="A43" s="215" t="n">
        <v>400</v>
      </c>
      <c r="C43" s="269" t="inlineStr">
        <is>
          <t>INSTALLATION NORMAL HOURS</t>
        </is>
      </c>
      <c r="D43" s="242" t="n">
        <v>1</v>
      </c>
      <c r="E43" s="28" t="inlineStr">
        <is>
          <t>PER BOX</t>
        </is>
      </c>
      <c r="F43" s="28" t="n"/>
      <c r="G43" s="28" t="n"/>
      <c r="H43" s="28" t="n"/>
      <c r="I43" s="28" t="n"/>
      <c r="J43" s="385" t="n">
        <v>152.5</v>
      </c>
      <c r="K43" s="378">
        <f>D43*J43</f>
        <v/>
      </c>
      <c r="L43" s="392" t="n">
        <v>0.4</v>
      </c>
      <c r="M43" s="311">
        <f>(K43/(1-L43))*(1+$D$9)</f>
        <v/>
      </c>
      <c r="N43" s="378">
        <f>(M43*VLOOKUP($C$9,'Base Costs'!$A$32:$B$37,2,FALSE))</f>
        <v/>
      </c>
      <c r="O43" s="379">
        <f>M43-K43</f>
        <v/>
      </c>
      <c r="U43" s="229" t="n"/>
    </row>
    <row r="44" ht="15" customHeight="1" s="1085">
      <c r="A44" s="215" t="n">
        <v>400</v>
      </c>
      <c r="C44" s="269" t="inlineStr">
        <is>
          <t>INSTALLATION AFTER HOURS</t>
        </is>
      </c>
      <c r="D44" s="242" t="n"/>
      <c r="E44" s="28" t="inlineStr">
        <is>
          <t>PER BOX</t>
        </is>
      </c>
      <c r="F44" s="28" t="n"/>
      <c r="G44" s="28" t="n"/>
      <c r="H44" s="28" t="n"/>
      <c r="I44" s="28" t="n"/>
      <c r="J44" s="385" t="n">
        <v>861</v>
      </c>
      <c r="K44" s="378">
        <f>D44*J44</f>
        <v/>
      </c>
      <c r="L44" s="392" t="n">
        <v>0.4</v>
      </c>
      <c r="M44" s="311">
        <f>(K44/(1-L44))*(1+$D$9)</f>
        <v/>
      </c>
      <c r="N44" s="378">
        <f>(M44*VLOOKUP($C$9,'Base Costs'!$A$32:$B$37,2,FALSE))</f>
        <v/>
      </c>
      <c r="O44" s="379">
        <f>M44-K44</f>
        <v/>
      </c>
      <c r="U44" s="229" t="n"/>
    </row>
    <row r="45" ht="15" customHeight="1" s="1085">
      <c r="A45" s="215" t="n">
        <v>253</v>
      </c>
      <c r="C45" s="269" t="inlineStr">
        <is>
          <t>TRAVEL EXPENSES</t>
        </is>
      </c>
      <c r="D45" s="242" t="n"/>
      <c r="E45" s="28" t="inlineStr">
        <is>
          <t>PER NIGHT PER TEAM</t>
        </is>
      </c>
      <c r="F45" s="28" t="n"/>
      <c r="G45" s="28" t="n"/>
      <c r="H45" s="28" t="n"/>
      <c r="I45" s="28" t="n"/>
      <c r="J45" s="385" t="n"/>
      <c r="K45" s="378">
        <f>D45*J45</f>
        <v/>
      </c>
      <c r="L45" s="392" t="n">
        <v>0.33</v>
      </c>
      <c r="M45" s="311">
        <f>(K45/(1-L45))*(1+$D$9)</f>
        <v/>
      </c>
      <c r="N45" s="378">
        <f>(M45*VLOOKUP($C$9,'Base Costs'!$A$32:$B$37,2,FALSE))</f>
        <v/>
      </c>
      <c r="O45" s="379">
        <f>M45-K45</f>
        <v/>
      </c>
      <c r="U45" s="229" t="n"/>
    </row>
    <row r="46" ht="15" customHeight="1" s="1085">
      <c r="A46" s="215" t="n">
        <v>253</v>
      </c>
      <c r="C46" s="269" t="inlineStr">
        <is>
          <t>OVERNIGHT</t>
        </is>
      </c>
      <c r="D46" s="242" t="n"/>
      <c r="E46" s="28" t="inlineStr">
        <is>
          <t>PER NIGHT PER TEAM</t>
        </is>
      </c>
      <c r="F46" s="28" t="n"/>
      <c r="G46" s="28" t="n"/>
      <c r="H46" s="28" t="n"/>
      <c r="I46" s="28" t="n"/>
      <c r="J46" s="385" t="n">
        <v>170</v>
      </c>
      <c r="K46" s="378">
        <f>D46*J46</f>
        <v/>
      </c>
      <c r="L46" s="392" t="n">
        <v>0.33</v>
      </c>
      <c r="M46" s="311">
        <f>(K46/(1-L46))*(1+$D$9)</f>
        <v/>
      </c>
      <c r="N46" s="378">
        <f>(M46*VLOOKUP($C$9,'Base Costs'!$A$32:$B$37,2,FALSE))</f>
        <v/>
      </c>
      <c r="O46" s="379">
        <f>M46-K46</f>
        <v/>
      </c>
      <c r="U46" s="229" t="n"/>
    </row>
    <row r="47" ht="15" customHeight="1" s="1085">
      <c r="A47" s="215" t="n">
        <v>280</v>
      </c>
      <c r="C47" s="269" t="inlineStr">
        <is>
          <t>TEST &amp; COMMISSION</t>
        </is>
      </c>
      <c r="D47" s="242" t="n"/>
      <c r="E47" s="28" t="inlineStr">
        <is>
          <t>ONE ENGINEER</t>
        </is>
      </c>
      <c r="F47" s="28" t="n"/>
      <c r="G47" s="28" t="n"/>
      <c r="H47" s="28" t="n"/>
      <c r="I47" s="28" t="n"/>
      <c r="J47" s="385" t="n">
        <v>604</v>
      </c>
      <c r="K47" s="378">
        <f>D47*J47</f>
        <v/>
      </c>
      <c r="L47" s="392" t="n">
        <v>0.33</v>
      </c>
      <c r="M47" s="311">
        <f>(K47/(1-L47))*(1+$D$9)</f>
        <v/>
      </c>
      <c r="N47" s="378">
        <f>(M47*VLOOKUP($C$9,'Base Costs'!$A$32:$B$37,2,FALSE))</f>
        <v/>
      </c>
      <c r="O47" s="379">
        <f>M47-K47</f>
        <v/>
      </c>
      <c r="U47" s="229" t="n"/>
    </row>
    <row r="48" ht="15" customHeight="1" s="1085">
      <c r="A48" s="215" t="n">
        <v>284</v>
      </c>
      <c r="C48" s="269" t="n"/>
      <c r="D48" s="242" t="n"/>
      <c r="E48" s="28" t="inlineStr">
        <is>
          <t>OPTIONAL ITEM</t>
        </is>
      </c>
      <c r="F48" s="28" t="n"/>
      <c r="G48" s="28" t="n"/>
      <c r="H48" s="28" t="n"/>
      <c r="I48" s="28" t="n"/>
      <c r="J48" s="385" t="n">
        <v>200</v>
      </c>
      <c r="K48" s="378">
        <f>D48*J48</f>
        <v/>
      </c>
      <c r="L48" s="392" t="n">
        <v>0.33</v>
      </c>
      <c r="M48" s="311">
        <f>(K48/(1-L48))*(1+$D$9)</f>
        <v/>
      </c>
      <c r="N48" s="378">
        <f>(M48*VLOOKUP($C$9,'Base Costs'!$A$32:$B$37,2,FALSE))</f>
        <v/>
      </c>
      <c r="O48" s="379">
        <f>M48-K48</f>
        <v/>
      </c>
      <c r="U48" s="229" t="n"/>
    </row>
    <row r="49" ht="15" customHeight="1" s="1085">
      <c r="C49" s="239" t="n"/>
      <c r="D49" s="239" t="n"/>
      <c r="E49" s="239" t="n"/>
      <c r="F49" s="239" t="n"/>
      <c r="G49" s="239" t="n"/>
      <c r="H49" s="243" t="n"/>
      <c r="I49" s="244" t="n"/>
      <c r="J49" s="354" t="n"/>
      <c r="K49" s="353" t="n"/>
      <c r="L49" s="355" t="n"/>
      <c r="M49" s="353" t="n"/>
      <c r="N49" s="353" t="n"/>
      <c r="U49" s="229" t="n"/>
    </row>
    <row r="50" ht="15" customHeight="1" s="1085">
      <c r="C50" s="197" t="inlineStr">
        <is>
          <t>Office Use Only</t>
        </is>
      </c>
      <c r="D50" s="198" t="n"/>
      <c r="E50" s="199" t="n"/>
      <c r="F50" s="199" t="n"/>
      <c r="G50" s="198" t="n"/>
      <c r="H50" s="200" t="n"/>
      <c r="I50" s="198" t="n"/>
      <c r="J50" s="198" t="n"/>
      <c r="K50" s="198" t="n"/>
      <c r="L50" s="198" t="n"/>
      <c r="M50" s="198" t="n"/>
      <c r="N50" s="198" t="n"/>
      <c r="O50" s="198" t="n"/>
      <c r="U50" s="229" t="n"/>
    </row>
    <row r="51" ht="15" customHeight="1" s="1085">
      <c r="C51" s="202" t="n"/>
      <c r="D51" s="203" t="n"/>
      <c r="E51" s="202" t="n"/>
      <c r="F51" s="204" t="n"/>
      <c r="G51" s="202" t="n"/>
      <c r="H51" s="209" t="n"/>
      <c r="I51" s="203" t="n"/>
      <c r="J51" s="203" t="n"/>
      <c r="K51" s="205" t="n"/>
      <c r="L51" s="205" t="n"/>
      <c r="M51" s="205" t="n"/>
      <c r="N51" s="205" t="n"/>
      <c r="O51" s="205" t="n"/>
      <c r="U51" s="229" t="n"/>
    </row>
    <row r="52" ht="15" customHeight="1" s="1085">
      <c r="C52" s="202" t="n"/>
      <c r="D52" s="203" t="n"/>
      <c r="E52" s="202" t="n"/>
      <c r="F52" s="204" t="n"/>
      <c r="G52" s="202" t="n"/>
      <c r="H52" s="209" t="n"/>
      <c r="I52" s="203" t="n"/>
      <c r="J52" s="203" t="n"/>
      <c r="K52" s="205" t="n"/>
      <c r="L52" s="205" t="n"/>
      <c r="M52" s="205" t="n"/>
      <c r="N52" s="205" t="n"/>
      <c r="O52" s="205" t="n"/>
      <c r="U52" s="229" t="n"/>
    </row>
    <row r="53" ht="15" customHeight="1" s="1085">
      <c r="C53" s="202" t="n"/>
      <c r="D53" s="203" t="n"/>
      <c r="E53" s="202" t="n"/>
      <c r="F53" s="204" t="n"/>
      <c r="G53" s="202" t="n"/>
      <c r="H53" s="209" t="n"/>
      <c r="I53" s="203" t="n"/>
      <c r="J53" s="203" t="n"/>
      <c r="K53" s="209" t="n"/>
      <c r="L53" s="209" t="n"/>
      <c r="M53" s="209" t="n"/>
      <c r="N53" s="209" t="n"/>
      <c r="O53" s="209" t="n"/>
      <c r="U53" s="229" t="n"/>
    </row>
    <row r="54" ht="15" customHeight="1" s="1085">
      <c r="C54" s="202" t="n"/>
      <c r="D54" s="203" t="n"/>
      <c r="E54" s="202" t="n"/>
      <c r="F54" s="204" t="n"/>
      <c r="G54" s="202" t="n"/>
      <c r="H54" s="209" t="n"/>
      <c r="I54" s="206" t="n"/>
      <c r="J54" s="203" t="n"/>
      <c r="K54" s="209" t="n"/>
      <c r="L54" s="209" t="n"/>
      <c r="M54" s="209" t="n"/>
      <c r="N54" s="209" t="n"/>
      <c r="O54" s="209" t="n"/>
      <c r="U54" s="229" t="n"/>
    </row>
    <row r="55" ht="15" customHeight="1" s="1085">
      <c r="C55" s="202" t="n"/>
      <c r="D55" s="203" t="n"/>
      <c r="E55" s="202" t="n"/>
      <c r="F55" s="202" t="n"/>
      <c r="G55" s="202" t="n"/>
      <c r="H55" s="207" t="n"/>
      <c r="I55" s="209" t="n"/>
      <c r="J55" s="203" t="n"/>
      <c r="K55" s="205" t="n"/>
      <c r="L55" s="205" t="n"/>
      <c r="M55" s="205" t="n"/>
      <c r="N55" s="205" t="n"/>
      <c r="O55" s="205" t="n"/>
      <c r="U55" s="229" t="n"/>
    </row>
    <row r="56" ht="15" customHeight="1" s="1085">
      <c r="C56" s="202" t="n"/>
      <c r="D56" s="202" t="n"/>
      <c r="E56" s="202" t="n"/>
      <c r="F56" s="202" t="n"/>
      <c r="G56" s="202" t="n"/>
      <c r="H56" s="207" t="n"/>
      <c r="I56" s="209" t="n"/>
      <c r="J56" s="203" t="n"/>
      <c r="K56" s="205" t="n"/>
      <c r="L56" s="205" t="n"/>
      <c r="M56" s="205" t="n"/>
      <c r="N56" s="205" t="n"/>
      <c r="O56" s="205" t="n"/>
      <c r="U56" s="229" t="n"/>
    </row>
    <row r="57" ht="15" customHeight="1" s="1085">
      <c r="J57" s="228" t="n"/>
      <c r="M57" s="228" t="n"/>
      <c r="O57" s="228" t="n"/>
      <c r="U57" s="229" t="n"/>
    </row>
    <row r="58" ht="15" customHeight="1" s="1085">
      <c r="J58" s="228" t="n"/>
      <c r="M58" s="228" t="n"/>
      <c r="O58" s="228" t="n"/>
      <c r="U58" s="229" t="n"/>
    </row>
    <row r="59" ht="15" customHeight="1" s="1085">
      <c r="H59" s="219" t="n"/>
      <c r="U59" s="229" t="n"/>
    </row>
    <row r="60" ht="15" customHeight="1" s="1085">
      <c r="H60" s="219" t="n"/>
      <c r="U60" s="229" t="n"/>
    </row>
    <row r="61" ht="15" customHeight="1" s="1085">
      <c r="H61" s="219" t="n"/>
      <c r="U61" s="229" t="n"/>
    </row>
    <row r="62" ht="15" customHeight="1" s="1085">
      <c r="H62" s="219" t="n"/>
      <c r="U62" s="229" t="n"/>
    </row>
    <row r="63" ht="15" customHeight="1" s="1085">
      <c r="H63" s="219" t="n"/>
      <c r="U63" s="229" t="n"/>
    </row>
    <row r="64" ht="15" customHeight="1" s="1085">
      <c r="H64" s="219" t="n"/>
      <c r="U64" s="229" t="n"/>
    </row>
    <row r="65" ht="15" customHeight="1" s="1085">
      <c r="H65" s="219" t="n"/>
      <c r="U65" s="229" t="n"/>
    </row>
    <row r="66" ht="15" customHeight="1" s="1085">
      <c r="H66" s="219" t="n"/>
      <c r="U66" s="229" t="n"/>
    </row>
    <row r="67" ht="15" customHeight="1" s="1085">
      <c r="H67" s="219" t="n"/>
      <c r="U67" s="229" t="n"/>
    </row>
    <row r="68" ht="15" customHeight="1" s="1085">
      <c r="C68" s="245" t="n"/>
      <c r="D68" s="245" t="n"/>
      <c r="E68" s="245" t="n"/>
      <c r="F68" s="245" t="n"/>
      <c r="G68" s="245" t="n"/>
      <c r="H68" s="245" t="n"/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3" ht="15" customHeight="1" s="1085">
      <c r="U103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2" ht="15" customHeight="1" s="1085">
      <c r="U112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1" ht="15" customHeight="1" s="1085">
      <c r="U121" s="229" t="n"/>
    </row>
    <row r="122" ht="15" customHeight="1" s="1085">
      <c r="U122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  <row r="142" ht="15" customHeight="1" s="1085">
      <c r="U142" s="229" t="n"/>
    </row>
    <row r="143" ht="15" customHeight="1" s="1085">
      <c r="U143" s="229" t="n"/>
    </row>
    <row r="144" ht="15" customHeight="1" s="1085">
      <c r="U144" s="229" t="n"/>
    </row>
    <row r="145" ht="15" customHeight="1" s="1085">
      <c r="U145" s="229" t="n"/>
    </row>
    <row r="146" ht="15" customHeight="1" s="1085">
      <c r="U146" s="229" t="n"/>
    </row>
    <row r="147" ht="15" customHeight="1" s="1085">
      <c r="U147" s="229" t="n"/>
    </row>
    <row r="148" ht="15" customHeight="1" s="1085">
      <c r="U148" s="229" t="n"/>
    </row>
    <row r="149" ht="15" customHeight="1" s="1085">
      <c r="U149" s="229" t="n"/>
    </row>
    <row r="150" ht="15" customHeight="1" s="1085">
      <c r="U150" s="229" t="n"/>
    </row>
    <row r="151" ht="15" customHeight="1" s="1085">
      <c r="U151" s="229" t="n"/>
    </row>
    <row r="152" ht="15" customHeight="1" s="1085">
      <c r="U152" s="229" t="n"/>
    </row>
    <row r="153" ht="15" customHeight="1" s="1085">
      <c r="U153" s="229" t="n"/>
    </row>
    <row r="154" ht="15" customHeight="1" s="1085">
      <c r="U154" s="229" t="n"/>
    </row>
    <row r="155" ht="15" customHeight="1" s="1085">
      <c r="U155" s="229" t="n"/>
    </row>
    <row r="156" ht="15" customHeight="1" s="1085">
      <c r="U156" s="229" t="n"/>
    </row>
    <row r="157" ht="15" customHeight="1" s="1085">
      <c r="U157" s="229" t="n"/>
    </row>
    <row r="158" ht="15" customHeight="1" s="1085">
      <c r="U158" s="229" t="n"/>
    </row>
    <row r="159" ht="15" customHeight="1" s="1085">
      <c r="U159" s="229" t="n"/>
    </row>
    <row r="160" ht="15" customHeight="1" s="1085">
      <c r="U160" s="229" t="n"/>
    </row>
    <row r="161" ht="15" customHeight="1" s="1085">
      <c r="U161" s="229" t="n"/>
    </row>
  </sheetData>
  <mergeCells count="9">
    <mergeCell ref="P7:R7"/>
    <mergeCell ref="D7:E7"/>
    <mergeCell ref="C1:D1"/>
    <mergeCell ref="H5:J5"/>
    <mergeCell ref="C37:H37"/>
    <mergeCell ref="D5:E5"/>
    <mergeCell ref="H3:J3"/>
    <mergeCell ref="D3:E3"/>
    <mergeCell ref="H7:J7"/>
  </mergeCells>
  <conditionalFormatting sqref="C9">
    <cfRule type="containsText" priority="35" operator="containsText" dxfId="680" text="SELECT">
      <formula>NOT(ISERROR(SEARCH("SELECT",C9)))</formula>
    </cfRule>
    <cfRule type="expression" priority="36" dxfId="680">
      <formula>C9="CURRENCY"</formula>
    </cfRule>
  </conditionalFormatting>
  <conditionalFormatting sqref="C14:C34">
    <cfRule type="expression" priority="1" dxfId="633">
      <formula>$J14&gt;0</formula>
    </cfRule>
  </conditionalFormatting>
  <conditionalFormatting sqref="C38:C48">
    <cfRule type="expression" priority="12" dxfId="633">
      <formula>$D38&gt;0</formula>
    </cfRule>
  </conditionalFormatting>
  <conditionalFormatting sqref="D38:D39 D41:D48">
    <cfRule type="cellIs" priority="37" operator="lessThan" dxfId="554">
      <formula>1</formula>
    </cfRule>
  </conditionalFormatting>
  <conditionalFormatting sqref="D40">
    <cfRule type="cellIs" priority="32" operator="lessThan" dxfId="164">
      <formula>1</formula>
    </cfRule>
  </conditionalFormatting>
  <conditionalFormatting sqref="D9:E9">
    <cfRule type="cellIs" priority="33" operator="lessThan" dxfId="207">
      <formula>0</formula>
    </cfRule>
    <cfRule type="cellIs" priority="34" operator="greaterThan" dxfId="552">
      <formula>0</formula>
    </cfRule>
  </conditionalFormatting>
  <conditionalFormatting sqref="F12">
    <cfRule type="expression" priority="42" dxfId="386">
      <formula>AND((ISNUMBER(SEARCH("I-MUAP",$E$14))),F12&lt;2500)</formula>
    </cfRule>
    <cfRule type="expression" priority="43" dxfId="387">
      <formula>ISNUMBER(SEARCH("I-MUAP",$E$14))</formula>
    </cfRule>
    <cfRule type="cellIs" priority="44" operator="greaterThan" dxfId="204">
      <formula>2000</formula>
    </cfRule>
  </conditionalFormatting>
  <conditionalFormatting sqref="F12:G12">
    <cfRule type="cellIs" priority="38" operator="lessThan" dxfId="204">
      <formula>1000</formula>
    </cfRule>
  </conditionalFormatting>
  <conditionalFormatting sqref="F14:G28">
    <cfRule type="cellIs" priority="5" operator="lessThan" dxfId="164">
      <formula>1000</formula>
    </cfRule>
  </conditionalFormatting>
  <conditionalFormatting sqref="F31:G32">
    <cfRule type="cellIs" priority="2" operator="lessThan" dxfId="164">
      <formula>1000</formula>
    </cfRule>
  </conditionalFormatting>
  <conditionalFormatting sqref="G12">
    <cfRule type="cellIs" priority="39" operator="greaterThan" dxfId="204">
      <formula>3001</formula>
    </cfRule>
  </conditionalFormatting>
  <conditionalFormatting sqref="H11">
    <cfRule type="expression" priority="41" dxfId="176">
      <formula>((G14-50)/I14)&lt;950</formula>
    </cfRule>
  </conditionalFormatting>
  <conditionalFormatting sqref="H12">
    <cfRule type="expression" priority="40" dxfId="175">
      <formula>((G14-50)/I14)&lt;950</formula>
    </cfRule>
  </conditionalFormatting>
  <conditionalFormatting sqref="H14:H28">
    <cfRule type="cellIs" priority="6" operator="lessThan" dxfId="164">
      <formula>400</formula>
    </cfRule>
  </conditionalFormatting>
  <conditionalFormatting sqref="H31:H32">
    <cfRule type="cellIs" priority="3" operator="lessThan" dxfId="164">
      <formula>400</formula>
    </cfRule>
  </conditionalFormatting>
  <conditionalFormatting sqref="H35">
    <cfRule type="expression" priority="49" dxfId="176">
      <formula>((#REF!-50)/#REF!)&lt;950</formula>
    </cfRule>
  </conditionalFormatting>
  <conditionalFormatting sqref="J14:J32">
    <cfRule type="cellIs" priority="17" operator="greaterThan" dxfId="153">
      <formula>0</formula>
    </cfRule>
  </conditionalFormatting>
  <conditionalFormatting sqref="J38:J48">
    <cfRule type="expression" priority="25" dxfId="153">
      <formula>D38&gt;0</formula>
    </cfRule>
  </conditionalFormatting>
  <conditionalFormatting sqref="J50:J56">
    <cfRule type="expression" priority="30" dxfId="2">
      <formula>#REF!="EURO"</formula>
    </cfRule>
  </conditionalFormatting>
  <conditionalFormatting sqref="K14:K34">
    <cfRule type="cellIs" priority="4" operator="greaterThan" dxfId="141">
      <formula>0</formula>
    </cfRule>
  </conditionalFormatting>
  <conditionalFormatting sqref="K38:K48">
    <cfRule type="cellIs" priority="31" operator="greaterThan" dxfId="141">
      <formula>0</formula>
    </cfRule>
  </conditionalFormatting>
  <conditionalFormatting sqref="K50:K56">
    <cfRule type="expression" priority="26" dxfId="4">
      <formula>$C$9="PLN"</formula>
    </cfRule>
    <cfRule type="expression" priority="27" dxfId="0">
      <formula>$C$9="CZK"</formula>
    </cfRule>
    <cfRule type="expression" priority="28" dxfId="3">
      <formula>$C$9="USD"</formula>
    </cfRule>
    <cfRule type="expression" priority="29" dxfId="2">
      <formula>$C$9="EURO"</formula>
    </cfRule>
  </conditionalFormatting>
  <conditionalFormatting sqref="L14:L34">
    <cfRule type="expression" priority="15" dxfId="116">
      <formula>$D$9&lt;0</formula>
    </cfRule>
    <cfRule type="expression" priority="16" dxfId="115">
      <formula>$D$9&gt;0</formula>
    </cfRule>
  </conditionalFormatting>
  <conditionalFormatting sqref="L38:L48">
    <cfRule type="expression" priority="13" dxfId="116">
      <formula>$D$9&lt;0</formula>
    </cfRule>
    <cfRule type="expression" priority="14" dxfId="115">
      <formula>$D$9&gt;0</formula>
    </cfRule>
  </conditionalFormatting>
  <conditionalFormatting sqref="N9 N12">
    <cfRule type="expression" priority="45" dxfId="4">
      <formula>$C$9="PLN"</formula>
    </cfRule>
    <cfRule type="expression" priority="46" dxfId="0">
      <formula>$C$9="CZK"</formula>
    </cfRule>
    <cfRule type="expression" priority="47" dxfId="3">
      <formula>$C$9="USD"</formula>
    </cfRule>
    <cfRule type="expression" priority="48" dxfId="2">
      <formula>$C$9="EURO"</formula>
    </cfRule>
  </conditionalFormatting>
  <conditionalFormatting sqref="N14:N34">
    <cfRule type="expression" priority="19" dxfId="4">
      <formula>$C$9="PLN"</formula>
    </cfRule>
    <cfRule type="expression" priority="20" dxfId="0">
      <formula>$C$9="CZK"</formula>
    </cfRule>
    <cfRule type="expression" priority="21" dxfId="3">
      <formula>$C$9="USD"</formula>
    </cfRule>
    <cfRule type="expression" priority="22" dxfId="2">
      <formula>$C$9="EURO"</formula>
    </cfRule>
  </conditionalFormatting>
  <conditionalFormatting sqref="N18:N22">
    <cfRule type="cellIs" priority="23" operator="greaterThan" dxfId="5">
      <formula>0</formula>
    </cfRule>
  </conditionalFormatting>
  <conditionalFormatting sqref="N37:N48">
    <cfRule type="expression" priority="8" dxfId="4">
      <formula>$C$9="PLN"</formula>
    </cfRule>
    <cfRule type="expression" priority="9" dxfId="0">
      <formula>$C$9="CZK"</formula>
    </cfRule>
    <cfRule type="expression" priority="10" dxfId="3">
      <formula>$C$9="USD"</formula>
    </cfRule>
    <cfRule type="expression" priority="11" dxfId="2">
      <formula>$C$9="EURO"</formula>
    </cfRule>
  </conditionalFormatting>
  <conditionalFormatting sqref="N14:O34">
    <cfRule type="cellIs" priority="18" operator="greaterThan" dxfId="5">
      <formula>0</formula>
    </cfRule>
  </conditionalFormatting>
  <conditionalFormatting sqref="N38:O48">
    <cfRule type="cellIs" priority="7" operator="greaterThan" dxfId="141">
      <formula>0</formula>
    </cfRule>
  </conditionalFormatting>
  <conditionalFormatting sqref="O14:O22">
    <cfRule type="cellIs" priority="24" operator="greaterThan" dxfId="5">
      <formula>0</formula>
    </cfRule>
  </conditionalFormatting>
  <dataValidations count="3">
    <dataValidation sqref="H36" showDropDown="0" showInputMessage="1" showErrorMessage="1" allowBlank="1" type="list">
      <formula1>#REF!</formula1>
    </dataValidation>
    <dataValidation sqref="F14:F28 F31:F32" showDropDown="0" showInputMessage="1" showErrorMessage="1" allowBlank="1" operator="greaterThan"/>
    <dataValidation sqref="E14:E34" showDropDown="0" showInputMessage="1" showErrorMessage="1" allowBlank="1" type="list">
      <formula1>"0,1,2,3,4,5,6,7,8,9,10,11,12,13,14,15,16,17,18,19,20"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61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tabColor theme="8" tint="0.7999816888943144"/>
    <outlinePr summaryBelow="1" summaryRight="1"/>
    <pageSetUpPr fitToPage="1"/>
  </sheetPr>
  <dimension ref="A1:AB161"/>
  <sheetViews>
    <sheetView showGridLines="0" zoomScale="70" zoomScaleNormal="70" zoomScaleSheetLayoutView="50" workbookViewId="0">
      <selection activeCell="Q35" sqref="Q35"/>
    </sheetView>
  </sheetViews>
  <sheetFormatPr baseColWidth="10" defaultColWidth="8.83203125" defaultRowHeight="15" customHeight="1"/>
  <cols>
    <col width="2" customWidth="1" style="215" min="1" max="2"/>
    <col width="39.5" customWidth="1" style="1070" min="3" max="3"/>
    <col width="39.83203125" customWidth="1" style="1070" min="4" max="4"/>
    <col width="27.1640625" customWidth="1" style="1070" min="5" max="5"/>
    <col width="16.83203125" customWidth="1" style="1070" min="6" max="6"/>
    <col width="15.5" customWidth="1" style="1070" min="7" max="7"/>
    <col width="19.6640625" customWidth="1" style="1070" min="8" max="8"/>
    <col width="10" bestFit="1" customWidth="1" style="1072" min="9" max="9"/>
    <col width="14.83203125" bestFit="1" customWidth="1" style="1073" min="10" max="10"/>
    <col width="17.5" customWidth="1" style="228" min="11" max="11"/>
    <col width="10.5" customWidth="1" style="228" min="12" max="12"/>
    <col hidden="1" width="10.6640625" customWidth="1" style="346" min="13" max="13"/>
    <col width="14.5" bestFit="1" customWidth="1" style="1073" min="14" max="14"/>
    <col width="13.6640625" bestFit="1" customWidth="1" style="14" min="15" max="15"/>
    <col width="8.83203125" customWidth="1" style="1070" min="16" max="17"/>
    <col width="18.6640625" customWidth="1" style="1070" min="18" max="18"/>
    <col width="8.83203125" customWidth="1" style="1070" min="19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0"/>
    <col width="8.83203125" customWidth="1" style="1070" min="101" max="16384"/>
  </cols>
  <sheetData>
    <row r="1" ht="15" customHeight="1" s="1085">
      <c r="C1" s="1148" t="inlineStr">
        <is>
          <t xml:space="preserve">F24-19    EDGE BOX COST SHEET </t>
        </is>
      </c>
      <c r="E1" s="216" t="n"/>
      <c r="F1" s="216" t="n"/>
      <c r="G1" s="216" t="n"/>
      <c r="H1" s="216" t="n"/>
      <c r="I1" s="29" t="n"/>
      <c r="J1" s="336" t="n"/>
      <c r="K1" s="337" t="n"/>
      <c r="L1" s="338" t="n"/>
      <c r="M1" s="339" t="n"/>
      <c r="N1" s="336" t="n"/>
      <c r="O1" s="975" t="inlineStr">
        <is>
          <t>JAN25-19</t>
        </is>
      </c>
      <c r="S1" s="80" t="n"/>
      <c r="T1" s="218" t="n"/>
    </row>
    <row r="2" ht="15" customHeight="1" s="1085">
      <c r="C2" s="79" t="n"/>
      <c r="D2" s="221" t="n"/>
      <c r="E2" s="221" t="n"/>
      <c r="G2" s="79" t="n"/>
      <c r="H2" s="77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C3" s="78" t="inlineStr">
        <is>
          <t>Job No.</t>
        </is>
      </c>
      <c r="D3" s="1130">
        <f>IF(CANOPY!C3="","",CANOPY!C3)</f>
        <v/>
      </c>
      <c r="G3" s="76" t="inlineStr">
        <is>
          <t>Project Name</t>
        </is>
      </c>
      <c r="H3" s="1071">
        <f>IF(CANOPY!G3="","",CANOPY!G3)</f>
        <v/>
      </c>
      <c r="L3" s="342" t="n"/>
      <c r="M3" s="343" t="n"/>
      <c r="N3" s="344" t="n"/>
      <c r="T3" s="225" t="n"/>
    </row>
    <row r="4" ht="15" customHeight="1" s="1085">
      <c r="C4" s="79" t="n"/>
      <c r="D4" s="223" t="n"/>
      <c r="E4" s="223" t="n"/>
      <c r="G4" s="77" t="n"/>
      <c r="H4" s="222" t="n"/>
      <c r="I4" s="227" t="n"/>
      <c r="J4" s="341" t="n"/>
      <c r="L4" s="342" t="n"/>
      <c r="M4" s="343" t="n"/>
      <c r="N4" s="344" t="n"/>
      <c r="T4" s="225" t="n"/>
    </row>
    <row r="5" ht="15" customHeight="1" s="1085">
      <c r="C5" s="78" t="inlineStr">
        <is>
          <t>Customer</t>
        </is>
      </c>
      <c r="D5" s="1074">
        <f>IF(CANOPY!C5="","",CANOPY!C5)</f>
        <v/>
      </c>
      <c r="G5" s="76" t="inlineStr">
        <is>
          <t>Location</t>
        </is>
      </c>
      <c r="H5" s="1071">
        <f>IF(CANOPY!G5="","",CANOPY!G5)</f>
        <v/>
      </c>
      <c r="M5" s="343" t="n"/>
      <c r="N5" s="344" t="n"/>
      <c r="Q5" s="229" t="n"/>
      <c r="R5" s="229" t="n"/>
      <c r="T5" s="225" t="n"/>
      <c r="U5" s="226" t="n"/>
    </row>
    <row r="6" ht="15" customHeight="1" s="1085">
      <c r="C6" s="78" t="n"/>
      <c r="D6" s="230" t="n"/>
      <c r="E6" s="230" t="n"/>
      <c r="G6" s="76" t="n"/>
      <c r="H6" s="222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C7" s="80" t="inlineStr">
        <is>
          <t>Sales Manager / Estimator initials</t>
        </is>
      </c>
      <c r="D7" s="1074">
        <f>IF(CANOPY!C7="","",CANOPY!C7)</f>
        <v/>
      </c>
      <c r="G7" s="76" t="inlineStr">
        <is>
          <t>Date</t>
        </is>
      </c>
      <c r="H7" s="1075">
        <f>IF(CANOPY!G7="","",CANOPY!G7)</f>
        <v/>
      </c>
      <c r="N7" s="347" t="inlineStr">
        <is>
          <t>Revision No</t>
        </is>
      </c>
      <c r="O7" s="900">
        <f>IF(CANOPY!O7="","",CANOPY!O7)</f>
        <v/>
      </c>
      <c r="P7" s="1157" t="inlineStr">
        <is>
          <t>GP SHOULD BE MINIMUM 44%</t>
        </is>
      </c>
      <c r="T7" s="225" t="n"/>
      <c r="U7" s="226" t="n"/>
      <c r="AA7" s="231" t="n"/>
    </row>
    <row r="8" ht="15" customHeight="1" s="1085">
      <c r="E8" s="219" t="n"/>
      <c r="F8" s="219" t="n"/>
      <c r="H8" s="219" t="n"/>
      <c r="J8" s="346" t="n"/>
      <c r="K8" s="14" t="n"/>
      <c r="T8" s="225" t="n"/>
      <c r="AA8" s="231" t="n"/>
    </row>
    <row r="9" ht="15" customFormat="1" customHeight="1" s="80">
      <c r="A9" s="215" t="n"/>
      <c r="B9" s="215" t="n"/>
      <c r="C9" s="38" t="inlineStr">
        <is>
          <t>CURRENCY</t>
        </is>
      </c>
      <c r="D9" s="951" t="n">
        <v>0</v>
      </c>
      <c r="E9" s="377">
        <f>IF(D9=0,0,(SUBTOTAL(9,M14:M48)/(1-D9))-M9)</f>
        <v/>
      </c>
      <c r="I9" s="234" t="n"/>
      <c r="K9" s="25">
        <f>SUBTOTAL(9,K12:K48)</f>
        <v/>
      </c>
      <c r="L9" s="970">
        <f>IF(O9=0,"-",O9/M9)</f>
        <v/>
      </c>
      <c r="M9" s="25">
        <f>SUBTOTAL(9,M12:M48)</f>
        <v/>
      </c>
      <c r="N9" s="464">
        <f>SUBTOTAL(9,N12:N48)</f>
        <v/>
      </c>
      <c r="O9" s="25">
        <f>SUBTOTAL(9,O12:O48)</f>
        <v/>
      </c>
      <c r="P9" s="1070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215" t="n"/>
      <c r="C12" s="1089" t="inlineStr">
        <is>
          <t xml:space="preserve">ITEM </t>
        </is>
      </c>
      <c r="D12" s="236" t="n"/>
      <c r="E12" s="237">
        <f>E14</f>
        <v/>
      </c>
      <c r="F12" s="838" t="n">
        <v>0</v>
      </c>
      <c r="G12" s="838">
        <f>IF(I12&lt;1,0,CEILING((G14-100)/I14,250))</f>
        <v/>
      </c>
      <c r="H12" s="237">
        <f>E12&amp;G12&amp;F12</f>
        <v/>
      </c>
      <c r="I12" s="236">
        <f>IF(F14=0,0,IF(G14=0,0,(F14/(IF(D14="WALL",F14,(F14/2)))*I14)))</f>
        <v/>
      </c>
      <c r="J12" s="238" t="n"/>
      <c r="K12" s="154">
        <f>SUBTOTAL(9,K14:K34)</f>
        <v/>
      </c>
      <c r="L12" s="15">
        <f>IF(K14=0,"-",O12/M12)</f>
        <v/>
      </c>
      <c r="M12" s="154">
        <f>SUBTOTAL(9,M14:M34)</f>
        <v/>
      </c>
      <c r="N12" s="464">
        <f>SUBTOTAL(9,N14:N34)</f>
        <v/>
      </c>
      <c r="O12" s="154">
        <f>SUBTOTAL(9,O14:O34)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LENGTH</t>
        </is>
      </c>
      <c r="G13" s="10" t="inlineStr">
        <is>
          <t>WIDTH</t>
        </is>
      </c>
      <c r="H13" s="10" t="inlineStr">
        <is>
          <t>HEIGHT</t>
        </is>
      </c>
      <c r="I13" s="10" t="inlineStr">
        <is>
          <t>SECTIONS</t>
        </is>
      </c>
      <c r="J13" s="349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A14" s="215" t="n">
        <v>210</v>
      </c>
      <c r="C14" s="791" t="inlineStr">
        <is>
          <t xml:space="preserve">PS-150 TOUCH SCREEN </t>
        </is>
      </c>
      <c r="D14" s="460" t="inlineStr">
        <is>
          <t>TOUCH SCREEN REMOTE BOX - METAL</t>
        </is>
      </c>
      <c r="E14" s="448" t="n"/>
      <c r="F14" s="837" t="n">
        <v>300</v>
      </c>
      <c r="G14" s="835" t="n">
        <v>95</v>
      </c>
      <c r="H14" s="896" t="n">
        <v>250</v>
      </c>
      <c r="I14" s="31" t="n"/>
      <c r="J14" s="380" t="n">
        <v>419.97</v>
      </c>
      <c r="K14" s="378">
        <f>SUM(J14*E14)</f>
        <v/>
      </c>
      <c r="L14" s="392" t="n">
        <v>0.35</v>
      </c>
      <c r="M14" s="311">
        <f>(K14/(1-L14))*(1+$D$9)</f>
        <v/>
      </c>
      <c r="N14" s="378">
        <f>(M14*VLOOKUP($C$9,'Base Costs'!$A$32:$B$37,2,FALSE))</f>
        <v/>
      </c>
      <c r="O14" s="379">
        <f>M14-K14</f>
        <v/>
      </c>
      <c r="U14" s="229" t="n"/>
      <c r="AA14" s="1070" t="n"/>
    </row>
    <row r="15" ht="15" customHeight="1" s="1085">
      <c r="A15" s="215" t="n">
        <v>104</v>
      </c>
      <c r="C15" s="855" t="inlineStr">
        <is>
          <t>PS-152 EDGE BOX</t>
        </is>
      </c>
      <c r="D15" s="460" t="inlineStr">
        <is>
          <t>PEU/AEU/HOODS (Staged Alarms)</t>
        </is>
      </c>
      <c r="E15" s="448" t="n"/>
      <c r="F15" s="895" t="n">
        <v>380</v>
      </c>
      <c r="G15" s="835" t="n">
        <v>300</v>
      </c>
      <c r="H15" s="896" t="n">
        <v>180</v>
      </c>
      <c r="I15" s="31" t="n"/>
      <c r="J15" s="380" t="n">
        <v>1030.52</v>
      </c>
      <c r="K15" s="378">
        <f>SUM(J15*E15)</f>
        <v/>
      </c>
      <c r="L15" s="392" t="n">
        <v>0.35</v>
      </c>
      <c r="M15" s="311">
        <f>(K15/(1-L15))*(1+$D$9)</f>
        <v/>
      </c>
      <c r="N15" s="378">
        <f>(M15*VLOOKUP($C$9,'Base Costs'!$A$32:$B$37,2,FALSE))</f>
        <v/>
      </c>
      <c r="O15" s="379">
        <f>M15-K15</f>
        <v/>
      </c>
      <c r="U15" s="229" t="n"/>
      <c r="AA15" s="1070" t="n"/>
    </row>
    <row r="16" ht="15" customHeight="1" s="1085">
      <c r="A16" s="215" t="n">
        <v>234</v>
      </c>
      <c r="C16" s="855" t="inlineStr">
        <is>
          <t>PS-153 EDGE BOX</t>
        </is>
      </c>
      <c r="D16" s="460" t="inlineStr">
        <is>
          <t>PEU/HOODS (Staged Alarms)</t>
        </is>
      </c>
      <c r="E16" s="461" t="n"/>
      <c r="F16" s="895" t="n">
        <v>380</v>
      </c>
      <c r="G16" s="835" t="n">
        <v>300</v>
      </c>
      <c r="H16" s="896" t="n">
        <v>180</v>
      </c>
      <c r="I16" s="31" t="n"/>
      <c r="J16" s="380" t="n">
        <v>690.16</v>
      </c>
      <c r="K16" s="378">
        <f>SUM(J16*E16)</f>
        <v/>
      </c>
      <c r="L16" s="392" t="n">
        <v>0.35</v>
      </c>
      <c r="M16" s="311">
        <f>(K16/(1-L16))*(1+$D$9)</f>
        <v/>
      </c>
      <c r="N16" s="378">
        <f>(M16*VLOOKUP($C$9,'Base Costs'!$A$32:$B$37,2,FALSE))</f>
        <v/>
      </c>
      <c r="O16" s="379">
        <f>M16-K16</f>
        <v/>
      </c>
      <c r="U16" s="229" t="n"/>
      <c r="AA16" s="1070" t="n"/>
    </row>
    <row r="17" ht="15" customHeight="1" s="1085">
      <c r="C17" s="855" t="inlineStr">
        <is>
          <t>PS-154 EDGE BOX</t>
        </is>
      </c>
      <c r="D17" s="460" t="inlineStr">
        <is>
          <t>PEU/MRV/HOODS (Staged Alarms)</t>
        </is>
      </c>
      <c r="E17" s="448" t="n"/>
      <c r="F17" s="895" t="n">
        <v>380</v>
      </c>
      <c r="G17" s="895" t="n">
        <v>300</v>
      </c>
      <c r="H17" s="896" t="n">
        <v>180</v>
      </c>
      <c r="I17" s="31" t="n"/>
      <c r="J17" s="380" t="n">
        <v>894.01</v>
      </c>
      <c r="K17" s="378">
        <f>SUM(J17*E17)</f>
        <v/>
      </c>
      <c r="L17" s="392" t="n">
        <v>0.35</v>
      </c>
      <c r="M17" s="311">
        <f>(K17/(1-L17))*(1+$D$9)</f>
        <v/>
      </c>
      <c r="N17" s="378">
        <f>(M17*VLOOKUP($C$9,'Base Costs'!$A$32:$B$37,2,FALSE))</f>
        <v/>
      </c>
      <c r="O17" s="379">
        <f>M17-K17</f>
        <v/>
      </c>
      <c r="U17" s="229" t="n"/>
      <c r="AA17" s="1070" t="n"/>
    </row>
    <row r="18" ht="15" customHeight="1" s="1085">
      <c r="C18" s="855" t="inlineStr">
        <is>
          <t>PS-155 EDGE BOX</t>
        </is>
      </c>
      <c r="D18" s="460" t="inlineStr">
        <is>
          <t>PEU/AEU/ MRV/HOOD (No Staged Alarms)</t>
        </is>
      </c>
      <c r="E18" s="448" t="n"/>
      <c r="F18" s="895" t="n">
        <v>380</v>
      </c>
      <c r="G18" s="895" t="n">
        <v>300</v>
      </c>
      <c r="H18" s="896" t="n">
        <v>180</v>
      </c>
      <c r="I18" s="31" t="n"/>
      <c r="J18" s="380" t="n">
        <v>1039.58</v>
      </c>
      <c r="K18" s="378">
        <f>SUM(J18*E18)</f>
        <v/>
      </c>
      <c r="L18" s="392" t="n">
        <v>0.35</v>
      </c>
      <c r="M18" s="311">
        <f>(K18/(1-L18))*(1+$D$9)</f>
        <v/>
      </c>
      <c r="N18" s="378">
        <f>(M18*VLOOKUP($C$9,'Base Costs'!$A$32:$B$37,2,FALSE))</f>
        <v/>
      </c>
      <c r="O18" s="379">
        <f>M18-K18</f>
        <v/>
      </c>
      <c r="U18" s="229" t="n"/>
      <c r="AA18" s="1070" t="n"/>
    </row>
    <row r="19" ht="15" customHeight="1" s="1085">
      <c r="C19" s="855" t="n"/>
      <c r="D19" s="460" t="n"/>
      <c r="E19" s="448" t="n"/>
      <c r="F19" s="895" t="n"/>
      <c r="G19" s="895" t="n"/>
      <c r="H19" s="896" t="n"/>
      <c r="I19" s="31" t="n"/>
      <c r="J19" s="380" t="n"/>
      <c r="K19" s="378" t="n"/>
      <c r="L19" s="392" t="n"/>
      <c r="M19" s="311" t="n"/>
      <c r="N19" s="378" t="n"/>
      <c r="O19" s="379" t="n"/>
      <c r="U19" s="229" t="n"/>
      <c r="AA19" s="1070" t="n"/>
    </row>
    <row r="20" ht="15" customHeight="1" s="1085">
      <c r="C20" s="791" t="inlineStr">
        <is>
          <t>RCL-329 LPC-3 GOT.112 (CANOPY CONTROL)</t>
        </is>
      </c>
      <c r="D20" s="1065" t="inlineStr">
        <is>
          <t>GOT Panel Comp for UV-c (24 Sections Max)</t>
        </is>
      </c>
      <c r="E20" s="448" t="n"/>
      <c r="F20" s="895" t="n">
        <v>160</v>
      </c>
      <c r="G20" s="895" t="n">
        <v>34</v>
      </c>
      <c r="H20" s="896" t="n">
        <v>106</v>
      </c>
      <c r="I20" s="31" t="n"/>
      <c r="J20" s="380" t="n">
        <v>336.21</v>
      </c>
      <c r="K20" s="378">
        <f>SUM(J20*E20)</f>
        <v/>
      </c>
      <c r="L20" s="392" t="n">
        <v>0.35</v>
      </c>
      <c r="M20" s="311">
        <f>(K20/(1-L20))*(1+$D$9)</f>
        <v/>
      </c>
      <c r="N20" s="378">
        <f>(M20*VLOOKUP($C$9,'Base Costs'!$A$32:$B$37,2,FALSE))</f>
        <v/>
      </c>
      <c r="O20" s="379">
        <f>M20-K20</f>
        <v/>
      </c>
      <c r="U20" s="229" t="n"/>
      <c r="AA20" s="1070" t="n"/>
    </row>
    <row r="21" ht="15" customHeight="1" s="1085">
      <c r="C21" s="791" t="inlineStr">
        <is>
          <t>RCL-342 GOT-112 WALL BOX</t>
        </is>
      </c>
      <c r="D21" s="460" t="inlineStr">
        <is>
          <t>Remote Mounting box if Required</t>
        </is>
      </c>
      <c r="E21" s="448" t="n"/>
      <c r="F21" s="895" t="n">
        <v>270</v>
      </c>
      <c r="G21" s="895" t="n">
        <v>200</v>
      </c>
      <c r="H21" s="896" t="n">
        <v>150</v>
      </c>
      <c r="I21" s="31" t="n"/>
      <c r="J21" s="380" t="n">
        <v>82</v>
      </c>
      <c r="K21" s="378">
        <f>SUM(J21*E21)</f>
        <v/>
      </c>
      <c r="L21" s="392" t="n">
        <v>0.35</v>
      </c>
      <c r="M21" s="311">
        <f>(K21/(1-L21))*(1+$D$9)</f>
        <v/>
      </c>
      <c r="N21" s="378">
        <f>(M21*VLOOKUP($C$9,'Base Costs'!$A$32:$B$37,2,FALSE))</f>
        <v/>
      </c>
      <c r="O21" s="379">
        <f>M21-K21</f>
        <v/>
      </c>
      <c r="U21" s="229" t="n"/>
      <c r="AA21" s="1070" t="n"/>
    </row>
    <row r="22" ht="15" customHeight="1" s="1085">
      <c r="C22" s="270" t="inlineStr">
        <is>
          <t>RCL-280 STAGED ALARM BOX</t>
        </is>
      </c>
      <c r="D22" s="460" t="inlineStr">
        <is>
          <t>MU5 CONTROLLER BOX</t>
        </is>
      </c>
      <c r="E22" s="448" t="n"/>
      <c r="F22" s="895" t="n">
        <v>179</v>
      </c>
      <c r="G22" s="895" t="n">
        <v>129</v>
      </c>
      <c r="H22" s="896" t="n">
        <v>100</v>
      </c>
      <c r="I22" s="31" t="n"/>
      <c r="J22" s="380" t="n">
        <v>212.86</v>
      </c>
      <c r="K22" s="378">
        <f>SUM(J22*E22)</f>
        <v/>
      </c>
      <c r="L22" s="392" t="n">
        <v>0.35</v>
      </c>
      <c r="M22" s="311">
        <f>(K22/(1-L22))*(1+$D$9)</f>
        <v/>
      </c>
      <c r="N22" s="378">
        <f>(M22*VLOOKUP($C$9,'Base Costs'!$A$32:$B$37,2,FALSE))</f>
        <v/>
      </c>
      <c r="O22" s="379">
        <f>M22-K22</f>
        <v/>
      </c>
      <c r="P22" s="1064" t="inlineStr">
        <is>
          <t xml:space="preserve">Add if Alarms requested for a GOT panel </t>
        </is>
      </c>
      <c r="U22" s="229" t="n"/>
      <c r="AA22" s="1070" t="n"/>
    </row>
    <row r="23" ht="15" customHeight="1" s="1085">
      <c r="A23" s="215" t="n">
        <v>289</v>
      </c>
      <c r="C23" s="270" t="n"/>
      <c r="D23" s="460" t="n"/>
      <c r="E23" s="448" t="n"/>
      <c r="F23" s="895" t="n"/>
      <c r="G23" s="895" t="n"/>
      <c r="H23" s="896" t="n"/>
      <c r="I23" s="31" t="n"/>
      <c r="J23" s="380" t="n"/>
      <c r="K23" s="378">
        <f>SUM(J23*E23)</f>
        <v/>
      </c>
      <c r="L23" s="392" t="n"/>
      <c r="M23" s="311">
        <f>(K23/(1-L23))*(1+$D$9)</f>
        <v/>
      </c>
      <c r="N23" s="378">
        <f>(M23*VLOOKUP($C$9,'Base Costs'!$A$32:$B$37,2,FALSE))</f>
        <v/>
      </c>
      <c r="O23" s="379">
        <f>M23-K23</f>
        <v/>
      </c>
      <c r="U23" s="229" t="n"/>
      <c r="AA23" s="1070" t="n"/>
    </row>
    <row r="24" ht="15" customHeight="1" s="1085">
      <c r="A24" s="215" t="n">
        <v>242</v>
      </c>
      <c r="C24" s="270" t="inlineStr">
        <is>
          <t xml:space="preserve">PS-160 EXTERNAL AERIAL </t>
        </is>
      </c>
      <c r="D24" s="460" t="inlineStr">
        <is>
          <t>EXTERNAL AERIAL BOX</t>
        </is>
      </c>
      <c r="E24" s="448" t="n"/>
      <c r="F24" s="895" t="n">
        <v>250</v>
      </c>
      <c r="G24" s="895" t="n">
        <v>175</v>
      </c>
      <c r="H24" s="896" t="n">
        <v>100</v>
      </c>
      <c r="I24" s="31" t="n"/>
      <c r="J24" s="380" t="n">
        <v>100.91</v>
      </c>
      <c r="K24" s="378">
        <f>SUM(J24*E24)</f>
        <v/>
      </c>
      <c r="L24" s="392" t="n">
        <v>0.35</v>
      </c>
      <c r="M24" s="311">
        <f>(K24/(1-L24))*(1+$D$9)</f>
        <v/>
      </c>
      <c r="N24" s="378">
        <f>(M24*VLOOKUP($C$9,'Base Costs'!$A$32:$B$37,2,FALSE))</f>
        <v/>
      </c>
      <c r="O24" s="379">
        <f>M24-K24</f>
        <v/>
      </c>
      <c r="U24" s="229" t="n"/>
      <c r="AA24" s="1070" t="n"/>
    </row>
    <row r="25" ht="15" customHeight="1" s="1085">
      <c r="A25" s="215" t="n">
        <v>220</v>
      </c>
      <c r="C25" s="855" t="inlineStr">
        <is>
          <t xml:space="preserve">PS-156 EDGE BOX REMOTE ROUTER (UV-GOT)  </t>
        </is>
      </c>
      <c r="D25" s="1066" t="inlineStr">
        <is>
          <t>EXTERNAL ROUTER</t>
        </is>
      </c>
      <c r="E25" s="448" t="n"/>
      <c r="F25" s="837" t="n">
        <v>250</v>
      </c>
      <c r="G25" s="895" t="n">
        <v>175</v>
      </c>
      <c r="H25" s="896" t="n">
        <v>100</v>
      </c>
      <c r="I25" s="31" t="n"/>
      <c r="J25" s="380" t="n">
        <v>484.58</v>
      </c>
      <c r="K25" s="378">
        <f>SUM(J25*E25)</f>
        <v/>
      </c>
      <c r="L25" s="392" t="n">
        <v>0.35</v>
      </c>
      <c r="M25" s="311">
        <f>(K25/(1-L25))*(1+$D$9)</f>
        <v/>
      </c>
      <c r="N25" s="378">
        <f>(M25*VLOOKUP($C$9,'Base Costs'!$A$32:$B$37,2,FALSE))</f>
        <v/>
      </c>
      <c r="O25" s="379">
        <f>M25-K25</f>
        <v/>
      </c>
      <c r="U25" s="229" t="n"/>
      <c r="AA25" s="1070" t="n"/>
    </row>
    <row r="26" ht="15" customHeight="1" s="1085">
      <c r="A26" s="215" t="n">
        <v>103</v>
      </c>
      <c r="C26" s="855" t="n"/>
      <c r="D26" s="460" t="n"/>
      <c r="E26" s="448" t="n"/>
      <c r="F26" s="837" t="n"/>
      <c r="G26" s="895" t="n"/>
      <c r="H26" s="896" t="n"/>
      <c r="I26" s="31" t="n"/>
      <c r="J26" s="380" t="n"/>
      <c r="K26" s="378">
        <f>SUM(J26*E26)</f>
        <v/>
      </c>
      <c r="L26" s="392" t="n"/>
      <c r="M26" s="311">
        <f>(K26/(1-L26))*(1+$D$9)</f>
        <v/>
      </c>
      <c r="N26" s="378">
        <f>(M26*VLOOKUP($C$9,'Base Costs'!$A$32:$B$37,2,FALSE))</f>
        <v/>
      </c>
      <c r="O26" s="379">
        <f>M26-K26</f>
        <v/>
      </c>
      <c r="U26" s="229" t="n"/>
      <c r="AA26" s="1070" t="n"/>
    </row>
    <row r="27" ht="15" customHeight="1" s="1085">
      <c r="A27" s="215" t="n">
        <v>103</v>
      </c>
      <c r="C27" s="855" t="inlineStr">
        <is>
          <t>CONNECTIVITY PS-153/152/154/155</t>
        </is>
      </c>
      <c r="D27" s="921" t="inlineStr">
        <is>
          <t xml:space="preserve"> NOT INCLUDED IN THE ABOVE</t>
        </is>
      </c>
      <c r="E27" s="448" t="n"/>
      <c r="F27" s="837" t="n"/>
      <c r="G27" s="895" t="n"/>
      <c r="H27" s="896" t="n"/>
      <c r="I27" s="31" t="n"/>
      <c r="J27" s="380" t="n">
        <v>522.38</v>
      </c>
      <c r="K27" s="378">
        <f>SUM(J27*E27)</f>
        <v/>
      </c>
      <c r="L27" s="392" t="n">
        <v>0.35</v>
      </c>
      <c r="M27" s="311">
        <f>(K27/(1-L27))*(1+$D$9)</f>
        <v/>
      </c>
      <c r="N27" s="378">
        <f>(M27*VLOOKUP($C$9,'Base Costs'!$A$32:$B$37,2,FALSE))</f>
        <v/>
      </c>
      <c r="O27" s="379">
        <f>M27-K27</f>
        <v/>
      </c>
      <c r="P27" s="990" t="inlineStr">
        <is>
          <t>EDGE UP2 Plus First Year Connectivity Fee from Group</t>
        </is>
      </c>
      <c r="U27" s="229" t="n"/>
      <c r="AA27" s="1070" t="n"/>
    </row>
    <row r="28" ht="15" customHeight="1" s="1085">
      <c r="C28" s="855" t="inlineStr">
        <is>
          <t>CONNECTIVITY  (UV-GOT)</t>
        </is>
      </c>
      <c r="D28" s="1067" t="inlineStr">
        <is>
          <t xml:space="preserve"> NOT INCLUDED IN THE ABOVE</t>
        </is>
      </c>
      <c r="E28" s="448" t="n"/>
      <c r="F28" s="895" t="n"/>
      <c r="G28" s="895" t="n"/>
      <c r="H28" s="896" t="n"/>
      <c r="I28" s="31" t="n"/>
      <c r="J28" s="380" t="n">
        <v>130</v>
      </c>
      <c r="K28" s="378">
        <f>SUM(J28*E28)</f>
        <v/>
      </c>
      <c r="L28" s="392" t="n">
        <v>0.35</v>
      </c>
      <c r="M28" s="311">
        <f>(K28/(1-L28))*(1+$D$9)</f>
        <v/>
      </c>
      <c r="N28" s="378">
        <f>(M28*VLOOKUP($C$9,'Base Costs'!$A$32:$B$37,2,FALSE))</f>
        <v/>
      </c>
      <c r="O28" s="379">
        <f>M28-K28</f>
        <v/>
      </c>
      <c r="P28" s="990" t="inlineStr">
        <is>
          <t>First Year Connectivity Fee from Group</t>
        </is>
      </c>
      <c r="U28" s="229" t="n"/>
      <c r="AA28" s="1070" t="n"/>
    </row>
    <row r="29" ht="15" customHeight="1" s="1085">
      <c r="A29" s="215" t="n">
        <v>285</v>
      </c>
      <c r="C29" s="855" t="n"/>
      <c r="D29" s="460" t="n"/>
      <c r="E29" s="448" t="n"/>
      <c r="F29" s="898" t="n"/>
      <c r="G29" s="898" t="n"/>
      <c r="H29" s="899" t="n"/>
      <c r="I29" s="31" t="n"/>
      <c r="J29" s="380" t="n"/>
      <c r="K29" s="378">
        <f>SUM(J29*E29)</f>
        <v/>
      </c>
      <c r="L29" s="392" t="n"/>
      <c r="M29" s="311">
        <f>(K29/(1-L29))*(1+$D$9)</f>
        <v/>
      </c>
      <c r="N29" s="378">
        <f>(M29*VLOOKUP($C$9,'Base Costs'!$A$32:$B$37,2,FALSE))</f>
        <v/>
      </c>
      <c r="O29" s="379">
        <f>M29-K29</f>
        <v/>
      </c>
      <c r="U29" s="229" t="n"/>
      <c r="AA29" s="1070" t="n"/>
    </row>
    <row r="30" ht="15" customHeight="1" s="1085">
      <c r="C30" s="855" t="n"/>
      <c r="D30" s="460" t="n"/>
      <c r="E30" s="448" t="n"/>
      <c r="F30" s="898" t="n"/>
      <c r="G30" s="898" t="n"/>
      <c r="H30" s="899" t="n"/>
      <c r="I30" s="31" t="n"/>
      <c r="J30" s="380" t="n"/>
      <c r="K30" s="378">
        <f>SUM(J30*E30)</f>
        <v/>
      </c>
      <c r="L30" s="392" t="n"/>
      <c r="M30" s="311">
        <f>(K30/(1-L30))*(1+$D$9)</f>
        <v/>
      </c>
      <c r="N30" s="378">
        <f>(M30*VLOOKUP($C$9,'Base Costs'!$A$32:$B$37,2,FALSE))</f>
        <v/>
      </c>
      <c r="O30" s="379">
        <f>M30-K30</f>
        <v/>
      </c>
      <c r="U30" s="229" t="n"/>
      <c r="AA30" s="1070" t="n"/>
    </row>
    <row r="31" ht="15" customHeight="1" s="1085">
      <c r="C31" s="269" t="n"/>
      <c r="D31" s="460" t="n"/>
      <c r="E31" s="448" t="n"/>
      <c r="F31" s="895" t="n"/>
      <c r="G31" s="895" t="n"/>
      <c r="H31" s="896" t="n"/>
      <c r="I31" s="31" t="n"/>
      <c r="J31" s="380" t="n">
        <v>0</v>
      </c>
      <c r="K31" s="378">
        <f>SUM(J31*E31)</f>
        <v/>
      </c>
      <c r="L31" s="392" t="n"/>
      <c r="M31" s="311">
        <f>(K31/(1-L31))*(1+$D$9)</f>
        <v/>
      </c>
      <c r="N31" s="378">
        <f>(M31*VLOOKUP($C$9,'Base Costs'!$A$32:$B$37,2,FALSE))</f>
        <v/>
      </c>
      <c r="O31" s="379">
        <f>M31-K31</f>
        <v/>
      </c>
      <c r="U31" s="229" t="n"/>
      <c r="AA31" s="1070" t="n"/>
    </row>
    <row r="32" ht="15" customHeight="1" s="1085">
      <c r="A32" s="215" t="n">
        <v>286</v>
      </c>
      <c r="C32" s="270" t="n"/>
      <c r="D32" s="460" t="n"/>
      <c r="E32" s="448" t="n"/>
      <c r="F32" s="895" t="n"/>
      <c r="G32" s="895" t="n"/>
      <c r="H32" s="896" t="n"/>
      <c r="I32" s="31" t="n"/>
      <c r="J32" s="380" t="n">
        <v>0</v>
      </c>
      <c r="K32" s="378">
        <f>SUM(J32*E32)</f>
        <v/>
      </c>
      <c r="L32" s="392" t="n"/>
      <c r="M32" s="311">
        <f>(K32/(1-L32))*(1+$D$9)</f>
        <v/>
      </c>
      <c r="N32" s="378">
        <f>(M32*VLOOKUP($C$9,'Base Costs'!$A$32:$B$37,2,FALSE))</f>
        <v/>
      </c>
      <c r="O32" s="379">
        <f>M32-K32</f>
        <v/>
      </c>
      <c r="U32" s="229" t="n"/>
      <c r="AA32" s="1070" t="n"/>
    </row>
    <row r="33" ht="15" customHeight="1" s="1085">
      <c r="C33" s="269" t="n"/>
      <c r="D33" s="460" t="n"/>
      <c r="E33" s="448" t="n"/>
      <c r="F33" s="462" t="n"/>
      <c r="G33" s="32" t="n"/>
      <c r="H33" s="30" t="n"/>
      <c r="I33" s="31" t="n"/>
      <c r="J33" s="933" t="n"/>
      <c r="K33" s="378">
        <f>SUM(J33*E33)</f>
        <v/>
      </c>
      <c r="L33" s="392" t="n"/>
      <c r="M33" s="311">
        <f>(K33/(1-L33))*(1+$D$9)</f>
        <v/>
      </c>
      <c r="N33" s="378">
        <f>(M33*VLOOKUP($C$9,'Base Costs'!$A$32:$B$37,2,FALSE))</f>
        <v/>
      </c>
      <c r="O33" s="379">
        <f>M33-K33</f>
        <v/>
      </c>
      <c r="U33" s="229" t="n"/>
      <c r="AA33" s="1070" t="n"/>
    </row>
    <row r="34" ht="15" customHeight="1" s="1085">
      <c r="C34" s="855" t="n"/>
      <c r="D34" s="460" t="n"/>
      <c r="E34" s="448" t="n"/>
      <c r="F34" s="462" t="n"/>
      <c r="G34" s="32" t="n"/>
      <c r="H34" s="30" t="n"/>
      <c r="I34" s="31" t="n"/>
      <c r="J34" s="933" t="n"/>
      <c r="K34" s="378">
        <f>SUM(J34*E34)</f>
        <v/>
      </c>
      <c r="L34" s="392" t="n"/>
      <c r="M34" s="311">
        <f>(K34/(1-L34))*(1+$D$9)</f>
        <v/>
      </c>
      <c r="N34" s="378">
        <f>(M34*VLOOKUP($C$9,'Base Costs'!$A$32:$B$37,2,FALSE))</f>
        <v/>
      </c>
      <c r="O34" s="379">
        <f>M34-K34</f>
        <v/>
      </c>
      <c r="U34" s="229" t="n"/>
      <c r="AA34" s="1070" t="n"/>
    </row>
    <row r="35" ht="15" customHeight="1" s="1085">
      <c r="H35" s="34" t="inlineStr">
        <is>
          <t>SECTION UNDER 1000mm</t>
        </is>
      </c>
    </row>
    <row r="36" ht="15" customHeight="1" s="1085">
      <c r="C36" s="239" t="n"/>
      <c r="D36" s="239" t="n"/>
      <c r="E36" s="239" t="n"/>
      <c r="F36" s="239" t="n"/>
      <c r="G36" s="239" t="n"/>
      <c r="H36" s="239" t="n"/>
      <c r="I36" s="9" t="n"/>
      <c r="J36" s="11" t="n"/>
      <c r="K36" s="353" t="n"/>
      <c r="L36" s="240" t="n"/>
      <c r="M36" s="353" t="n"/>
      <c r="N36" s="353" t="n"/>
      <c r="U36" s="229" t="n"/>
      <c r="AA36" s="1070" t="n"/>
    </row>
    <row r="37" ht="15" customHeight="1" s="1085">
      <c r="C37" s="1089" t="inlineStr">
        <is>
          <t xml:space="preserve">DELIVERY &amp; INSTALLATION </t>
        </is>
      </c>
      <c r="I37" s="236" t="n"/>
      <c r="J37" s="330" t="n"/>
      <c r="K37" s="154">
        <f>SUBTOTAL(9,K38:K48)</f>
        <v/>
      </c>
      <c r="L37" s="15">
        <f>IF(K38=0,"-",O37/M37)</f>
        <v/>
      </c>
      <c r="M37" s="154">
        <f>SUBTOTAL(9,M38:M48)</f>
        <v/>
      </c>
      <c r="N37" s="464">
        <f>SUBTOTAL(9,N38:N48)</f>
        <v/>
      </c>
      <c r="O37" s="154">
        <f>SUBTOTAL(9,O39:O48)</f>
        <v/>
      </c>
      <c r="U37" s="229" t="n"/>
    </row>
    <row r="38" ht="15" customHeight="1" s="1085">
      <c r="A38" s="215" t="n">
        <v>222</v>
      </c>
      <c r="C38" s="269" t="inlineStr">
        <is>
          <t xml:space="preserve">DELIVERIES </t>
        </is>
      </c>
      <c r="D38" s="242" t="n"/>
      <c r="E38" s="309" t="inlineStr">
        <is>
          <t>SELECT LOCATION…</t>
        </is>
      </c>
      <c r="F38" s="28" t="n"/>
      <c r="G38" s="30" t="n"/>
      <c r="H38" s="28" t="n"/>
      <c r="I38" s="28" t="n"/>
      <c r="J38" s="385">
        <f>VLOOKUP(E38,'Base Costs'!E4:G213,2,FALSE)</f>
        <v/>
      </c>
      <c r="K38" s="378">
        <f>D38*J38</f>
        <v/>
      </c>
      <c r="L38" s="392" t="n">
        <v>0.33</v>
      </c>
      <c r="M38" s="311">
        <f>(K38/(1-L38))*(1+$D$9)</f>
        <v/>
      </c>
      <c r="N38" s="378">
        <f>(M38*VLOOKUP($C$9,'Base Costs'!$A$32:$B$37,2,FALSE))</f>
        <v/>
      </c>
      <c r="O38" s="379">
        <f>M38-K38</f>
        <v/>
      </c>
      <c r="U38" s="229" t="n"/>
    </row>
    <row r="39" ht="15" customHeight="1" s="1085">
      <c r="A39" s="215" t="n">
        <v>257</v>
      </c>
      <c r="C39" s="269" t="inlineStr">
        <is>
          <t>PLANT HIRE</t>
        </is>
      </c>
      <c r="D39" s="242" t="n"/>
      <c r="E39" s="309" t="inlineStr">
        <is>
          <t>PLANT SELECTION (weekly)</t>
        </is>
      </c>
      <c r="F39" s="28" t="n"/>
      <c r="G39" s="28" t="n"/>
      <c r="H39" s="28" t="n"/>
      <c r="I39" s="28" t="n"/>
      <c r="J39" s="385">
        <f>VLOOKUP(E39,'Base Costs'!$A$4:$B$16,2,FALSE)</f>
        <v/>
      </c>
      <c r="K39" s="378">
        <f>D39*J39</f>
        <v/>
      </c>
      <c r="L39" s="392" t="n">
        <v>0.33</v>
      </c>
      <c r="M39" s="311">
        <f>(K39/(1-L39))*(1+$D$9)</f>
        <v/>
      </c>
      <c r="N39" s="378">
        <f>(M39*VLOOKUP($C$9,'Base Costs'!$A$32:$B$37,2,FALSE))</f>
        <v/>
      </c>
      <c r="O39" s="379">
        <f>M39-K39</f>
        <v/>
      </c>
      <c r="U39" s="229" t="n"/>
    </row>
    <row r="40" ht="15" customHeight="1" s="1085">
      <c r="A40" s="215" t="n">
        <v>257</v>
      </c>
      <c r="C40" s="269" t="inlineStr">
        <is>
          <t>PLANT HIRE</t>
        </is>
      </c>
      <c r="D40" s="242" t="n"/>
      <c r="E40" s="309" t="inlineStr">
        <is>
          <t>PLANT SELECTION (weekly)</t>
        </is>
      </c>
      <c r="F40" s="28" t="n"/>
      <c r="G40" s="28" t="n"/>
      <c r="H40" s="28" t="n"/>
      <c r="I40" s="28" t="n"/>
      <c r="J40" s="385">
        <f>VLOOKUP(E40,'Base Costs'!$A$4:$B$16,2,FALSE)</f>
        <v/>
      </c>
      <c r="K40" s="378">
        <f>D40*J40</f>
        <v/>
      </c>
      <c r="L40" s="392" t="n">
        <v>0.33</v>
      </c>
      <c r="M40" s="311">
        <f>(K40/(1-L40))*(1+$D$9)</f>
        <v/>
      </c>
      <c r="N40" s="378">
        <f>(M40*VLOOKUP($C$9,'Base Costs'!$A$32:$B$37,2,FALSE))</f>
        <v/>
      </c>
      <c r="O40" s="379">
        <f>M40-K40</f>
        <v/>
      </c>
      <c r="U40" s="229" t="n"/>
    </row>
    <row r="41" ht="15" customHeight="1" s="1085">
      <c r="A41" s="215" t="n">
        <v>400</v>
      </c>
      <c r="C41" s="269" t="inlineStr">
        <is>
          <t>STRIP OUT</t>
        </is>
      </c>
      <c r="D41" s="242" t="n"/>
      <c r="E41" s="28" t="inlineStr">
        <is>
          <t>PER DAY</t>
        </is>
      </c>
      <c r="F41" s="28" t="n"/>
      <c r="G41" s="28" t="n"/>
      <c r="H41" s="28" t="n"/>
      <c r="I41" s="28" t="n"/>
      <c r="J41" s="385" t="n">
        <v>450</v>
      </c>
      <c r="K41" s="378">
        <f>D41*J41</f>
        <v/>
      </c>
      <c r="L41" s="392" t="n">
        <v>0.33</v>
      </c>
      <c r="M41" s="311">
        <f>(K41/(1-L41))*(1+$D$9)</f>
        <v/>
      </c>
      <c r="N41" s="378">
        <f>(M41*VLOOKUP($C$9,'Base Costs'!$A$32:$B$37,2,FALSE))</f>
        <v/>
      </c>
      <c r="O41" s="379">
        <f>M41-K41</f>
        <v/>
      </c>
      <c r="U41" s="229" t="n"/>
    </row>
    <row r="42" ht="15" customHeight="1" s="1085">
      <c r="A42" s="215" t="n">
        <v>102</v>
      </c>
      <c r="C42" s="269" t="inlineStr">
        <is>
          <t xml:space="preserve">CONSUMABLES </t>
        </is>
      </c>
      <c r="D42" s="242" t="n">
        <v>1</v>
      </c>
      <c r="E42" s="28" t="inlineStr">
        <is>
          <t>ON SITE FIXINGS</t>
        </is>
      </c>
      <c r="F42" s="28" t="n"/>
      <c r="G42" s="28" t="n"/>
      <c r="H42" s="28" t="n"/>
      <c r="I42" s="28" t="n"/>
      <c r="J42" s="385" t="n">
        <v>15</v>
      </c>
      <c r="K42" s="378">
        <f>D42*J42</f>
        <v/>
      </c>
      <c r="L42" s="392" t="n">
        <v>0.33</v>
      </c>
      <c r="M42" s="311">
        <f>(K42/(1-L42))*(1+$D$9)</f>
        <v/>
      </c>
      <c r="N42" s="378">
        <f>(M42*VLOOKUP($C$9,'Base Costs'!$A$32:$B$37,2,FALSE))</f>
        <v/>
      </c>
      <c r="O42" s="379">
        <f>M42-K42</f>
        <v/>
      </c>
      <c r="U42" s="229" t="n"/>
    </row>
    <row r="43" ht="15" customHeight="1" s="1085">
      <c r="A43" s="215" t="n">
        <v>400</v>
      </c>
      <c r="C43" s="269" t="inlineStr">
        <is>
          <t>INSTALLATION NORMAL HOURS</t>
        </is>
      </c>
      <c r="D43" s="242" t="n">
        <v>1</v>
      </c>
      <c r="E43" s="28" t="inlineStr">
        <is>
          <t>PER BOX</t>
        </is>
      </c>
      <c r="F43" s="28" t="n"/>
      <c r="G43" s="28" t="n"/>
      <c r="H43" s="28" t="n"/>
      <c r="I43" s="28" t="n"/>
      <c r="J43" s="385" t="n">
        <v>152.5</v>
      </c>
      <c r="K43" s="378">
        <f>D43*J43</f>
        <v/>
      </c>
      <c r="L43" s="392" t="n">
        <v>0.4</v>
      </c>
      <c r="M43" s="311">
        <f>(K43/(1-L43))*(1+$D$9)</f>
        <v/>
      </c>
      <c r="N43" s="378">
        <f>(M43*VLOOKUP($C$9,'Base Costs'!$A$32:$B$37,2,FALSE))</f>
        <v/>
      </c>
      <c r="O43" s="379">
        <f>M43-K43</f>
        <v/>
      </c>
      <c r="U43" s="229" t="n"/>
    </row>
    <row r="44" ht="15" customHeight="1" s="1085">
      <c r="A44" s="215" t="n">
        <v>400</v>
      </c>
      <c r="C44" s="269" t="inlineStr">
        <is>
          <t>INSTALLATION AFTER HOURS</t>
        </is>
      </c>
      <c r="D44" s="242" t="n"/>
      <c r="E44" s="28" t="inlineStr">
        <is>
          <t>PER BOX</t>
        </is>
      </c>
      <c r="F44" s="28" t="n"/>
      <c r="G44" s="28" t="n"/>
      <c r="H44" s="28" t="n"/>
      <c r="I44" s="28" t="n"/>
      <c r="J44" s="385" t="n">
        <v>861</v>
      </c>
      <c r="K44" s="378">
        <f>D44*J44</f>
        <v/>
      </c>
      <c r="L44" s="392" t="n">
        <v>0.4</v>
      </c>
      <c r="M44" s="311">
        <f>(K44/(1-L44))*(1+$D$9)</f>
        <v/>
      </c>
      <c r="N44" s="378">
        <f>(M44*VLOOKUP($C$9,'Base Costs'!$A$32:$B$37,2,FALSE))</f>
        <v/>
      </c>
      <c r="O44" s="379">
        <f>M44-K44</f>
        <v/>
      </c>
      <c r="U44" s="229" t="n"/>
    </row>
    <row r="45" ht="15" customHeight="1" s="1085">
      <c r="A45" s="215" t="n">
        <v>253</v>
      </c>
      <c r="C45" s="269" t="inlineStr">
        <is>
          <t>TRAVEL EXPENSES</t>
        </is>
      </c>
      <c r="D45" s="242" t="n"/>
      <c r="E45" s="28" t="inlineStr">
        <is>
          <t>PER NIGHT PER TEAM</t>
        </is>
      </c>
      <c r="F45" s="28" t="n"/>
      <c r="G45" s="28" t="n"/>
      <c r="H45" s="28" t="n"/>
      <c r="I45" s="28" t="n"/>
      <c r="J45" s="385" t="n"/>
      <c r="K45" s="378">
        <f>D45*J45</f>
        <v/>
      </c>
      <c r="L45" s="392" t="n">
        <v>0.33</v>
      </c>
      <c r="M45" s="311">
        <f>(K45/(1-L45))*(1+$D$9)</f>
        <v/>
      </c>
      <c r="N45" s="378">
        <f>(M45*VLOOKUP($C$9,'Base Costs'!$A$32:$B$37,2,FALSE))</f>
        <v/>
      </c>
      <c r="O45" s="379">
        <f>M45-K45</f>
        <v/>
      </c>
      <c r="U45" s="229" t="n"/>
    </row>
    <row r="46" ht="15" customHeight="1" s="1085">
      <c r="A46" s="215" t="n">
        <v>253</v>
      </c>
      <c r="C46" s="269" t="inlineStr">
        <is>
          <t>OVERNIGHT</t>
        </is>
      </c>
      <c r="D46" s="242" t="n"/>
      <c r="E46" s="28" t="inlineStr">
        <is>
          <t>PER NIGHT PER TEAM</t>
        </is>
      </c>
      <c r="F46" s="28" t="n"/>
      <c r="G46" s="28" t="n"/>
      <c r="H46" s="28" t="n"/>
      <c r="I46" s="28" t="n"/>
      <c r="J46" s="385" t="n">
        <v>170</v>
      </c>
      <c r="K46" s="378">
        <f>D46*J46</f>
        <v/>
      </c>
      <c r="L46" s="392" t="n">
        <v>0.33</v>
      </c>
      <c r="M46" s="311">
        <f>(K46/(1-L46))*(1+$D$9)</f>
        <v/>
      </c>
      <c r="N46" s="378">
        <f>(M46*VLOOKUP($C$9,'Base Costs'!$A$32:$B$37,2,FALSE))</f>
        <v/>
      </c>
      <c r="O46" s="379">
        <f>M46-K46</f>
        <v/>
      </c>
      <c r="U46" s="229" t="n"/>
    </row>
    <row r="47" ht="15" customHeight="1" s="1085">
      <c r="A47" s="215" t="n">
        <v>280</v>
      </c>
      <c r="C47" s="269" t="inlineStr">
        <is>
          <t>TEST &amp; COMMISSION</t>
        </is>
      </c>
      <c r="D47" s="242" t="n"/>
      <c r="E47" s="28" t="inlineStr">
        <is>
          <t>ONE ENGINEER</t>
        </is>
      </c>
      <c r="F47" s="28" t="n"/>
      <c r="G47" s="28" t="n"/>
      <c r="H47" s="28" t="n"/>
      <c r="I47" s="28" t="n"/>
      <c r="J47" s="385" t="n">
        <v>604</v>
      </c>
      <c r="K47" s="378">
        <f>D47*J47</f>
        <v/>
      </c>
      <c r="L47" s="392" t="n">
        <v>0.33</v>
      </c>
      <c r="M47" s="311">
        <f>(K47/(1-L47))*(1+$D$9)</f>
        <v/>
      </c>
      <c r="N47" s="378">
        <f>(M47*VLOOKUP($C$9,'Base Costs'!$A$32:$B$37,2,FALSE))</f>
        <v/>
      </c>
      <c r="O47" s="379">
        <f>M47-K47</f>
        <v/>
      </c>
      <c r="U47" s="229" t="n"/>
    </row>
    <row r="48" ht="15" customHeight="1" s="1085">
      <c r="A48" s="215" t="n">
        <v>284</v>
      </c>
      <c r="C48" s="269" t="n"/>
      <c r="D48" s="242" t="n"/>
      <c r="E48" s="28" t="inlineStr">
        <is>
          <t>OPTIONAL ITEM</t>
        </is>
      </c>
      <c r="F48" s="28" t="n"/>
      <c r="G48" s="28" t="n"/>
      <c r="H48" s="28" t="n"/>
      <c r="I48" s="28" t="n"/>
      <c r="J48" s="385" t="n">
        <v>200</v>
      </c>
      <c r="K48" s="378">
        <f>D48*J48</f>
        <v/>
      </c>
      <c r="L48" s="392" t="n">
        <v>0.33</v>
      </c>
      <c r="M48" s="311">
        <f>(K48/(1-L48))*(1+$D$9)</f>
        <v/>
      </c>
      <c r="N48" s="378">
        <f>(M48*VLOOKUP($C$9,'Base Costs'!$A$32:$B$37,2,FALSE))</f>
        <v/>
      </c>
      <c r="O48" s="379">
        <f>M48-K48</f>
        <v/>
      </c>
      <c r="U48" s="229" t="n"/>
    </row>
    <row r="49" ht="15" customHeight="1" s="1085">
      <c r="C49" s="239" t="n"/>
      <c r="D49" s="239" t="n"/>
      <c r="E49" s="239" t="n"/>
      <c r="F49" s="239" t="n"/>
      <c r="G49" s="239" t="n"/>
      <c r="H49" s="243" t="n"/>
      <c r="I49" s="244" t="n"/>
      <c r="J49" s="354" t="n"/>
      <c r="K49" s="353" t="n"/>
      <c r="L49" s="355" t="n"/>
      <c r="M49" s="353" t="n"/>
      <c r="N49" s="353" t="n"/>
      <c r="U49" s="229" t="n"/>
    </row>
    <row r="50" ht="15" customHeight="1" s="1085">
      <c r="C50" s="197" t="inlineStr">
        <is>
          <t>Office Use Only</t>
        </is>
      </c>
      <c r="D50" s="198" t="n"/>
      <c r="E50" s="199" t="n"/>
      <c r="F50" s="199" t="n"/>
      <c r="G50" s="198" t="n"/>
      <c r="H50" s="200" t="n"/>
      <c r="I50" s="198" t="n"/>
      <c r="J50" s="198" t="n"/>
      <c r="K50" s="198" t="n"/>
      <c r="L50" s="198" t="n"/>
      <c r="M50" s="198" t="n"/>
      <c r="N50" s="198" t="n"/>
      <c r="O50" s="198" t="n"/>
      <c r="U50" s="229" t="n"/>
    </row>
    <row r="51" ht="15" customHeight="1" s="1085">
      <c r="C51" s="202" t="n"/>
      <c r="D51" s="203" t="n"/>
      <c r="E51" s="202" t="n"/>
      <c r="F51" s="204" t="n"/>
      <c r="G51" s="202" t="n"/>
      <c r="H51" s="209" t="n"/>
      <c r="I51" s="203" t="n"/>
      <c r="J51" s="203" t="n"/>
      <c r="K51" s="205" t="n"/>
      <c r="L51" s="205" t="n"/>
      <c r="M51" s="205" t="n"/>
      <c r="N51" s="205" t="n"/>
      <c r="O51" s="205" t="n"/>
      <c r="U51" s="229" t="n"/>
    </row>
    <row r="52" ht="15" customHeight="1" s="1085">
      <c r="C52" s="202" t="n"/>
      <c r="D52" s="203" t="n"/>
      <c r="E52" s="202" t="n"/>
      <c r="F52" s="204" t="n"/>
      <c r="G52" s="202" t="n"/>
      <c r="H52" s="209" t="n"/>
      <c r="I52" s="203" t="n"/>
      <c r="J52" s="203" t="n"/>
      <c r="K52" s="205" t="n"/>
      <c r="L52" s="205" t="n"/>
      <c r="M52" s="205" t="n"/>
      <c r="N52" s="205" t="n"/>
      <c r="O52" s="205" t="n"/>
      <c r="U52" s="229" t="n"/>
    </row>
    <row r="53" ht="15" customHeight="1" s="1085">
      <c r="C53" s="202" t="n"/>
      <c r="D53" s="203" t="n"/>
      <c r="E53" s="202" t="n"/>
      <c r="F53" s="204" t="n"/>
      <c r="G53" s="202" t="n"/>
      <c r="H53" s="209" t="n"/>
      <c r="I53" s="203" t="n"/>
      <c r="J53" s="203" t="n"/>
      <c r="K53" s="209" t="n"/>
      <c r="L53" s="209" t="n"/>
      <c r="M53" s="209" t="n"/>
      <c r="N53" s="209" t="n"/>
      <c r="O53" s="209" t="n"/>
      <c r="U53" s="229" t="n"/>
    </row>
    <row r="54" ht="15" customHeight="1" s="1085">
      <c r="C54" s="202" t="n"/>
      <c r="D54" s="203" t="n"/>
      <c r="E54" s="202" t="n"/>
      <c r="F54" s="204" t="n"/>
      <c r="G54" s="202" t="n"/>
      <c r="H54" s="209" t="n"/>
      <c r="I54" s="206" t="n"/>
      <c r="J54" s="203" t="n"/>
      <c r="K54" s="209" t="n"/>
      <c r="L54" s="209" t="n"/>
      <c r="M54" s="209" t="n"/>
      <c r="N54" s="209" t="n"/>
      <c r="O54" s="209" t="n"/>
      <c r="U54" s="229" t="n"/>
    </row>
    <row r="55" ht="15" customHeight="1" s="1085">
      <c r="C55" s="202" t="n"/>
      <c r="D55" s="203" t="n"/>
      <c r="E55" s="202" t="n"/>
      <c r="F55" s="202" t="n"/>
      <c r="G55" s="202" t="n"/>
      <c r="H55" s="207" t="n"/>
      <c r="I55" s="209" t="n"/>
      <c r="J55" s="203" t="n"/>
      <c r="K55" s="205" t="n"/>
      <c r="L55" s="205" t="n"/>
      <c r="M55" s="205" t="n"/>
      <c r="N55" s="205" t="n"/>
      <c r="O55" s="205" t="n"/>
      <c r="U55" s="229" t="n"/>
    </row>
    <row r="56" ht="15" customHeight="1" s="1085">
      <c r="C56" s="202" t="n"/>
      <c r="D56" s="202" t="n"/>
      <c r="E56" s="202" t="n"/>
      <c r="F56" s="202" t="n"/>
      <c r="G56" s="202" t="n"/>
      <c r="H56" s="207" t="n"/>
      <c r="I56" s="209" t="n"/>
      <c r="J56" s="203" t="n"/>
      <c r="K56" s="205" t="n"/>
      <c r="L56" s="205" t="n"/>
      <c r="M56" s="205" t="n"/>
      <c r="N56" s="205" t="n"/>
      <c r="O56" s="205" t="n"/>
      <c r="U56" s="229" t="n"/>
    </row>
    <row r="57" ht="15" customHeight="1" s="1085">
      <c r="J57" s="228" t="n"/>
      <c r="M57" s="228" t="n"/>
      <c r="O57" s="228" t="n"/>
      <c r="U57" s="229" t="n"/>
    </row>
    <row r="58" ht="15" customHeight="1" s="1085">
      <c r="J58" s="228" t="n"/>
      <c r="M58" s="228" t="n"/>
      <c r="O58" s="228" t="n"/>
      <c r="U58" s="229" t="n"/>
    </row>
    <row r="59" ht="15" customHeight="1" s="1085">
      <c r="H59" s="219" t="n"/>
      <c r="U59" s="229" t="n"/>
    </row>
    <row r="60" ht="15" customHeight="1" s="1085">
      <c r="H60" s="219" t="n"/>
      <c r="U60" s="229" t="n"/>
    </row>
    <row r="61" ht="15" customHeight="1" s="1085">
      <c r="H61" s="219" t="n"/>
      <c r="U61" s="229" t="n"/>
    </row>
    <row r="62" ht="15" customHeight="1" s="1085">
      <c r="H62" s="219" t="n"/>
      <c r="U62" s="229" t="n"/>
    </row>
    <row r="63" ht="15" customHeight="1" s="1085">
      <c r="H63" s="219" t="n"/>
      <c r="U63" s="229" t="n"/>
    </row>
    <row r="64" ht="15" customHeight="1" s="1085">
      <c r="H64" s="219" t="n"/>
      <c r="U64" s="229" t="n"/>
    </row>
    <row r="65" ht="15" customHeight="1" s="1085">
      <c r="H65" s="219" t="n"/>
      <c r="U65" s="229" t="n"/>
    </row>
    <row r="66" ht="15" customHeight="1" s="1085">
      <c r="H66" s="219" t="n"/>
      <c r="U66" s="229" t="n"/>
    </row>
    <row r="67" ht="15" customHeight="1" s="1085">
      <c r="H67" s="219" t="n"/>
      <c r="U67" s="229" t="n"/>
    </row>
    <row r="68" ht="15" customHeight="1" s="1085">
      <c r="C68" s="245" t="n"/>
      <c r="D68" s="245" t="n"/>
      <c r="E68" s="245" t="n"/>
      <c r="F68" s="245" t="n"/>
      <c r="G68" s="245" t="n"/>
      <c r="H68" s="245" t="n"/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3" ht="15" customHeight="1" s="1085">
      <c r="U103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2" ht="15" customHeight="1" s="1085">
      <c r="U112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1" ht="15" customHeight="1" s="1085">
      <c r="U121" s="229" t="n"/>
    </row>
    <row r="122" ht="15" customHeight="1" s="1085">
      <c r="U122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  <row r="142" ht="15" customHeight="1" s="1085">
      <c r="U142" s="229" t="n"/>
    </row>
    <row r="143" ht="15" customHeight="1" s="1085">
      <c r="U143" s="229" t="n"/>
    </row>
    <row r="144" ht="15" customHeight="1" s="1085">
      <c r="U144" s="229" t="n"/>
    </row>
    <row r="145" ht="15" customHeight="1" s="1085">
      <c r="U145" s="229" t="n"/>
    </row>
    <row r="146" ht="15" customHeight="1" s="1085">
      <c r="U146" s="229" t="n"/>
    </row>
    <row r="147" ht="15" customHeight="1" s="1085">
      <c r="U147" s="229" t="n"/>
    </row>
    <row r="148" ht="15" customHeight="1" s="1085">
      <c r="U148" s="229" t="n"/>
    </row>
    <row r="149" ht="15" customHeight="1" s="1085">
      <c r="U149" s="229" t="n"/>
    </row>
    <row r="150" ht="15" customHeight="1" s="1085">
      <c r="U150" s="229" t="n"/>
    </row>
    <row r="151" ht="15" customHeight="1" s="1085">
      <c r="U151" s="229" t="n"/>
    </row>
    <row r="152" ht="15" customHeight="1" s="1085">
      <c r="U152" s="229" t="n"/>
    </row>
    <row r="153" ht="15" customHeight="1" s="1085">
      <c r="U153" s="229" t="n"/>
    </row>
    <row r="154" ht="15" customHeight="1" s="1085">
      <c r="U154" s="229" t="n"/>
    </row>
    <row r="155" ht="15" customHeight="1" s="1085">
      <c r="U155" s="229" t="n"/>
    </row>
    <row r="156" ht="15" customHeight="1" s="1085">
      <c r="U156" s="229" t="n"/>
    </row>
    <row r="157" ht="15" customHeight="1" s="1085">
      <c r="U157" s="229" t="n"/>
    </row>
    <row r="158" ht="15" customHeight="1" s="1085">
      <c r="U158" s="229" t="n"/>
    </row>
    <row r="159" ht="15" customHeight="1" s="1085">
      <c r="U159" s="229" t="n"/>
    </row>
    <row r="160" ht="15" customHeight="1" s="1085">
      <c r="U160" s="229" t="n"/>
    </row>
    <row r="161" ht="15" customHeight="1" s="1085">
      <c r="U161" s="229" t="n"/>
    </row>
  </sheetData>
  <mergeCells count="9">
    <mergeCell ref="P7:R7"/>
    <mergeCell ref="D7:E7"/>
    <mergeCell ref="C1:D1"/>
    <mergeCell ref="H5:J5"/>
    <mergeCell ref="C37:H37"/>
    <mergeCell ref="D5:E5"/>
    <mergeCell ref="H3:J3"/>
    <mergeCell ref="D3:E3"/>
    <mergeCell ref="H7:J7"/>
  </mergeCells>
  <conditionalFormatting sqref="C9">
    <cfRule type="containsText" priority="35" operator="containsText" dxfId="680" text="SELECT">
      <formula>NOT(ISERROR(SEARCH("SELECT",C9)))</formula>
    </cfRule>
    <cfRule type="expression" priority="36" dxfId="680">
      <formula>C9="CURRENCY"</formula>
    </cfRule>
  </conditionalFormatting>
  <conditionalFormatting sqref="C14:C34">
    <cfRule type="expression" priority="1" dxfId="633">
      <formula>$J14&gt;0</formula>
    </cfRule>
  </conditionalFormatting>
  <conditionalFormatting sqref="C38:C48">
    <cfRule type="expression" priority="12" dxfId="633">
      <formula>$D38&gt;0</formula>
    </cfRule>
  </conditionalFormatting>
  <conditionalFormatting sqref="D38:D39 D41:D48">
    <cfRule type="cellIs" priority="37" operator="lessThan" dxfId="554">
      <formula>1</formula>
    </cfRule>
  </conditionalFormatting>
  <conditionalFormatting sqref="D40">
    <cfRule type="cellIs" priority="32" operator="lessThan" dxfId="164">
      <formula>1</formula>
    </cfRule>
  </conditionalFormatting>
  <conditionalFormatting sqref="D9:E9">
    <cfRule type="cellIs" priority="33" operator="lessThan" dxfId="207">
      <formula>0</formula>
    </cfRule>
    <cfRule type="cellIs" priority="34" operator="greaterThan" dxfId="552">
      <formula>0</formula>
    </cfRule>
  </conditionalFormatting>
  <conditionalFormatting sqref="F12">
    <cfRule type="expression" priority="42" dxfId="386">
      <formula>AND((ISNUMBER(SEARCH("I-MUAP",$E$14))),F12&lt;2500)</formula>
    </cfRule>
    <cfRule type="expression" priority="43" dxfId="387">
      <formula>ISNUMBER(SEARCH("I-MUAP",$E$14))</formula>
    </cfRule>
    <cfRule type="cellIs" priority="44" operator="greaterThan" dxfId="204">
      <formula>2000</formula>
    </cfRule>
  </conditionalFormatting>
  <conditionalFormatting sqref="F12:G12">
    <cfRule type="cellIs" priority="38" operator="lessThan" dxfId="204">
      <formula>1000</formula>
    </cfRule>
  </conditionalFormatting>
  <conditionalFormatting sqref="F14:G28">
    <cfRule type="cellIs" priority="5" operator="lessThan" dxfId="164">
      <formula>1000</formula>
    </cfRule>
  </conditionalFormatting>
  <conditionalFormatting sqref="F31:G32">
    <cfRule type="cellIs" priority="2" operator="lessThan" dxfId="164">
      <formula>1000</formula>
    </cfRule>
  </conditionalFormatting>
  <conditionalFormatting sqref="G12">
    <cfRule type="cellIs" priority="39" operator="greaterThan" dxfId="204">
      <formula>3001</formula>
    </cfRule>
  </conditionalFormatting>
  <conditionalFormatting sqref="H11">
    <cfRule type="expression" priority="41" dxfId="176">
      <formula>((G14-50)/I14)&lt;950</formula>
    </cfRule>
  </conditionalFormatting>
  <conditionalFormatting sqref="H12">
    <cfRule type="expression" priority="40" dxfId="175">
      <formula>((G14-50)/I14)&lt;950</formula>
    </cfRule>
  </conditionalFormatting>
  <conditionalFormatting sqref="H14:H28">
    <cfRule type="cellIs" priority="6" operator="lessThan" dxfId="164">
      <formula>400</formula>
    </cfRule>
  </conditionalFormatting>
  <conditionalFormatting sqref="H31:H32">
    <cfRule type="cellIs" priority="3" operator="lessThan" dxfId="164">
      <formula>400</formula>
    </cfRule>
  </conditionalFormatting>
  <conditionalFormatting sqref="H35">
    <cfRule type="expression" priority="49" dxfId="176">
      <formula>((#REF!-50)/#REF!)&lt;950</formula>
    </cfRule>
  </conditionalFormatting>
  <conditionalFormatting sqref="J14:J32">
    <cfRule type="cellIs" priority="17" operator="greaterThan" dxfId="153">
      <formula>0</formula>
    </cfRule>
  </conditionalFormatting>
  <conditionalFormatting sqref="J38:J48">
    <cfRule type="expression" priority="25" dxfId="153">
      <formula>D38&gt;0</formula>
    </cfRule>
  </conditionalFormatting>
  <conditionalFormatting sqref="J50:J56">
    <cfRule type="expression" priority="30" dxfId="2">
      <formula>#REF!="EURO"</formula>
    </cfRule>
  </conditionalFormatting>
  <conditionalFormatting sqref="K14:K34">
    <cfRule type="cellIs" priority="4" operator="greaterThan" dxfId="141">
      <formula>0</formula>
    </cfRule>
  </conditionalFormatting>
  <conditionalFormatting sqref="K38:K48">
    <cfRule type="cellIs" priority="31" operator="greaterThan" dxfId="141">
      <formula>0</formula>
    </cfRule>
  </conditionalFormatting>
  <conditionalFormatting sqref="K50:K56">
    <cfRule type="expression" priority="26" dxfId="4">
      <formula>$C$9="PLN"</formula>
    </cfRule>
    <cfRule type="expression" priority="27" dxfId="0">
      <formula>$C$9="CZK"</formula>
    </cfRule>
    <cfRule type="expression" priority="28" dxfId="3">
      <formula>$C$9="USD"</formula>
    </cfRule>
    <cfRule type="expression" priority="29" dxfId="2">
      <formula>$C$9="EURO"</formula>
    </cfRule>
  </conditionalFormatting>
  <conditionalFormatting sqref="L14:L34">
    <cfRule type="expression" priority="15" dxfId="116">
      <formula>$D$9&lt;0</formula>
    </cfRule>
    <cfRule type="expression" priority="16" dxfId="115">
      <formula>$D$9&gt;0</formula>
    </cfRule>
  </conditionalFormatting>
  <conditionalFormatting sqref="L38:L48">
    <cfRule type="expression" priority="13" dxfId="116">
      <formula>$D$9&lt;0</formula>
    </cfRule>
    <cfRule type="expression" priority="14" dxfId="115">
      <formula>$D$9&gt;0</formula>
    </cfRule>
  </conditionalFormatting>
  <conditionalFormatting sqref="N9 N12">
    <cfRule type="expression" priority="45" dxfId="4">
      <formula>$C$9="PLN"</formula>
    </cfRule>
    <cfRule type="expression" priority="46" dxfId="0">
      <formula>$C$9="CZK"</formula>
    </cfRule>
    <cfRule type="expression" priority="47" dxfId="3">
      <formula>$C$9="USD"</formula>
    </cfRule>
    <cfRule type="expression" priority="48" dxfId="2">
      <formula>$C$9="EURO"</formula>
    </cfRule>
  </conditionalFormatting>
  <conditionalFormatting sqref="N14:N34">
    <cfRule type="expression" priority="19" dxfId="4">
      <formula>$C$9="PLN"</formula>
    </cfRule>
    <cfRule type="expression" priority="20" dxfId="0">
      <formula>$C$9="CZK"</formula>
    </cfRule>
    <cfRule type="expression" priority="21" dxfId="3">
      <formula>$C$9="USD"</formula>
    </cfRule>
    <cfRule type="expression" priority="22" dxfId="2">
      <formula>$C$9="EURO"</formula>
    </cfRule>
  </conditionalFormatting>
  <conditionalFormatting sqref="N18:N22">
    <cfRule type="cellIs" priority="23" operator="greaterThan" dxfId="5">
      <formula>0</formula>
    </cfRule>
  </conditionalFormatting>
  <conditionalFormatting sqref="N37:N48">
    <cfRule type="expression" priority="8" dxfId="4">
      <formula>$C$9="PLN"</formula>
    </cfRule>
    <cfRule type="expression" priority="9" dxfId="0">
      <formula>$C$9="CZK"</formula>
    </cfRule>
    <cfRule type="expression" priority="10" dxfId="3">
      <formula>$C$9="USD"</formula>
    </cfRule>
    <cfRule type="expression" priority="11" dxfId="2">
      <formula>$C$9="EURO"</formula>
    </cfRule>
  </conditionalFormatting>
  <conditionalFormatting sqref="N14:O34">
    <cfRule type="cellIs" priority="18" operator="greaterThan" dxfId="5">
      <formula>0</formula>
    </cfRule>
  </conditionalFormatting>
  <conditionalFormatting sqref="N38:O48">
    <cfRule type="cellIs" priority="7" operator="greaterThan" dxfId="141">
      <formula>0</formula>
    </cfRule>
  </conditionalFormatting>
  <conditionalFormatting sqref="O14:O22">
    <cfRule type="cellIs" priority="24" operator="greaterThan" dxfId="5">
      <formula>0</formula>
    </cfRule>
  </conditionalFormatting>
  <dataValidations count="3">
    <dataValidation sqref="E14:E34" showDropDown="0" showInputMessage="1" showErrorMessage="1" allowBlank="1" type="list">
      <formula1>"0,1,2,3,4,5,6,7,8,9,10,11,12,13,14,15,16,17,18,19,20"</formula1>
    </dataValidation>
    <dataValidation sqref="F14:F28 F31:F32" showDropDown="0" showInputMessage="1" showErrorMessage="1" allowBlank="1" operator="greaterThan"/>
    <dataValidation sqref="H36" showDropDown="0" showInputMessage="1" showErrorMessage="1" allowBlank="1" type="list">
      <formula1>#REF!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6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Sheet13">
    <tabColor theme="0" tint="-0.249977111117893"/>
    <outlinePr summaryBelow="1" summaryRight="1"/>
    <pageSetUpPr/>
  </sheetPr>
  <dimension ref="B2:V94"/>
  <sheetViews>
    <sheetView zoomScale="90" zoomScaleNormal="90" workbookViewId="0">
      <selection activeCell="U8" sqref="U8"/>
    </sheetView>
  </sheetViews>
  <sheetFormatPr baseColWidth="10" defaultColWidth="8.83203125" defaultRowHeight="13"/>
  <cols>
    <col width="13" customWidth="1" style="1085" min="2" max="2"/>
    <col width="10.1640625" customWidth="1" style="1085" min="3" max="3"/>
    <col width="10.5" customWidth="1" style="1085" min="5" max="5"/>
    <col width="10.5" customWidth="1" style="1085" min="7" max="7"/>
    <col width="10.33203125" customWidth="1" style="1085" min="9" max="9"/>
    <col width="10.5" customWidth="1" style="1085" min="11" max="11"/>
    <col width="10.5" customWidth="1" style="1085" min="13" max="13"/>
    <col width="10.1640625" customWidth="1" style="1085" min="15" max="15"/>
    <col width="9.1640625" customWidth="1" style="501" min="16" max="16"/>
    <col width="13.1640625" customWidth="1" style="1085" min="18" max="18"/>
    <col width="9.1640625" customWidth="1" style="501" min="20" max="20"/>
    <col width="5.5" customWidth="1" style="1085" min="21" max="21"/>
    <col width="12.33203125" customWidth="1" style="1085" min="22" max="22"/>
    <col width="11.5" customWidth="1" style="1085" min="23" max="23"/>
  </cols>
  <sheetData>
    <row r="1" ht="14" customHeight="1" s="1085" thickBot="1"/>
    <row r="2" ht="16" customHeight="1" s="1085" thickBot="1">
      <c r="B2" s="1081" t="inlineStr">
        <is>
          <t xml:space="preserve">GALVANISED SUPPLY DUCTWORK COSTS </t>
        </is>
      </c>
      <c r="C2" s="1082" t="n"/>
      <c r="D2" s="1082" t="n"/>
      <c r="E2" s="1083" t="n"/>
      <c r="G2" s="568" t="inlineStr">
        <is>
          <t xml:space="preserve">PROJECT                                                                                       </t>
        </is>
      </c>
      <c r="H2" s="1081">
        <f>IF(CANOPY!G3="","",CANOPY!G3)</f>
        <v/>
      </c>
      <c r="I2" s="1082" t="n"/>
      <c r="J2" s="1082" t="n"/>
      <c r="K2" s="1082" t="n"/>
      <c r="L2" s="1083" t="n"/>
      <c r="M2" s="569" t="inlineStr">
        <is>
          <t>REF</t>
        </is>
      </c>
      <c r="N2" s="1081">
        <f>IF(CANOPY!C3="","",CANOPY!C3)</f>
        <v/>
      </c>
      <c r="O2" s="1083" t="n"/>
      <c r="Q2" s="502" t="n"/>
      <c r="R2" s="555" t="inlineStr">
        <is>
          <t>TOTAL</t>
        </is>
      </c>
      <c r="T2" s="957" t="inlineStr">
        <is>
          <t>COST Inc. PRICE INCREASE</t>
        </is>
      </c>
      <c r="U2" s="958" t="n"/>
      <c r="V2" s="959" t="n"/>
    </row>
    <row r="3" ht="14" customHeight="1" s="1085" thickBot="1">
      <c r="B3" s="1084" t="inlineStr">
        <is>
          <t>Courtesy AIRTRACE NOV 2016  -  No change in price NOV 2018</t>
        </is>
      </c>
      <c r="R3" s="556">
        <f>R25+R48+R71+R94</f>
        <v/>
      </c>
      <c r="T3" s="595" t="inlineStr">
        <is>
          <t>DATE</t>
        </is>
      </c>
      <c r="U3" s="595" t="inlineStr">
        <is>
          <t>%</t>
        </is>
      </c>
      <c r="V3" s="1170" t="n"/>
    </row>
    <row r="4" ht="14" customHeight="1" s="1085" thickBot="1">
      <c r="T4" s="618" t="n">
        <v>2017</v>
      </c>
      <c r="U4" s="619" t="n">
        <v>0.03</v>
      </c>
      <c r="V4" s="620" t="inlineStr">
        <is>
          <t>ALL COSTS</t>
        </is>
      </c>
    </row>
    <row r="5" ht="15" customHeight="1" s="1085">
      <c r="C5" s="503" t="inlineStr">
        <is>
          <t>Size</t>
        </is>
      </c>
      <c r="D5" s="504" t="inlineStr">
        <is>
          <t>No. Off</t>
        </is>
      </c>
      <c r="E5" s="504" t="inlineStr">
        <is>
          <t>Size</t>
        </is>
      </c>
      <c r="F5" s="504" t="inlineStr">
        <is>
          <t>No. Off</t>
        </is>
      </c>
      <c r="G5" s="504" t="inlineStr">
        <is>
          <t>Size</t>
        </is>
      </c>
      <c r="H5" s="504" t="inlineStr">
        <is>
          <t>No. Off</t>
        </is>
      </c>
      <c r="I5" s="504" t="inlineStr">
        <is>
          <t>Size</t>
        </is>
      </c>
      <c r="J5" s="504" t="inlineStr">
        <is>
          <t>No. Off</t>
        </is>
      </c>
      <c r="K5" s="504" t="inlineStr">
        <is>
          <t>Size</t>
        </is>
      </c>
      <c r="L5" s="504" t="inlineStr">
        <is>
          <t>No. Off</t>
        </is>
      </c>
      <c r="M5" s="504" t="inlineStr">
        <is>
          <t>Size</t>
        </is>
      </c>
      <c r="N5" s="504" t="inlineStr">
        <is>
          <t>No. Off</t>
        </is>
      </c>
      <c r="O5" s="504" t="n"/>
      <c r="P5" s="504" t="n"/>
      <c r="Q5" s="505" t="n"/>
      <c r="R5" s="506" t="inlineStr">
        <is>
          <t>Total</t>
        </is>
      </c>
      <c r="T5" s="934" t="n">
        <v>2024</v>
      </c>
      <c r="U5" s="935" t="n">
        <v>0.4</v>
      </c>
      <c r="V5" s="960">
        <f>R3*U5+R3</f>
        <v/>
      </c>
    </row>
    <row r="6" ht="16" customHeight="1" s="1085" thickBot="1">
      <c r="C6" s="507" t="inlineStr">
        <is>
          <t>200x200</t>
        </is>
      </c>
      <c r="D6" s="508" t="n"/>
      <c r="E6" s="509" t="inlineStr">
        <is>
          <t>250x250</t>
        </is>
      </c>
      <c r="F6" s="508" t="n"/>
      <c r="G6" s="510" t="inlineStr">
        <is>
          <t>300x300</t>
        </is>
      </c>
      <c r="H6" s="508" t="n"/>
      <c r="I6" s="509" t="inlineStr">
        <is>
          <t>350x350</t>
        </is>
      </c>
      <c r="J6" s="508" t="n"/>
      <c r="K6" s="510" t="inlineStr">
        <is>
          <t>400x400</t>
        </is>
      </c>
      <c r="L6" s="508" t="n"/>
      <c r="M6" s="509" t="inlineStr">
        <is>
          <t>450x450</t>
        </is>
      </c>
      <c r="N6" s="508" t="n"/>
      <c r="O6" s="511" t="n"/>
      <c r="P6" s="508" t="n"/>
      <c r="Q6" s="512" t="n"/>
      <c r="R6" s="513" t="n"/>
    </row>
    <row r="7" ht="15" customHeight="1" s="1085">
      <c r="B7" s="514" t="inlineStr">
        <is>
          <t>Spigot</t>
        </is>
      </c>
      <c r="C7" s="515" t="n">
        <v>17.83</v>
      </c>
      <c r="D7" s="516" t="n"/>
      <c r="E7" s="517" t="n">
        <v>19.65</v>
      </c>
      <c r="F7" s="518" t="n"/>
      <c r="G7" s="519" t="n">
        <v>21.66</v>
      </c>
      <c r="H7" s="516" t="n"/>
      <c r="I7" s="520" t="n">
        <v>23.3</v>
      </c>
      <c r="J7" s="518" t="n"/>
      <c r="K7" s="519" t="n">
        <v>25</v>
      </c>
      <c r="L7" s="516" t="n"/>
      <c r="M7" s="520" t="n">
        <v>26.9</v>
      </c>
      <c r="N7" s="518" t="n"/>
      <c r="O7" s="521" t="n"/>
      <c r="P7" s="623" t="n"/>
      <c r="Q7" s="505" t="n"/>
      <c r="R7" s="522">
        <f>SUM(C7*D7+E7*F7+G7*H7+I7*J7+K7*L7+M7*+N7+O7*P7)</f>
        <v/>
      </c>
    </row>
    <row r="8" ht="15" customHeight="1" s="1085">
      <c r="B8" s="523" t="inlineStr">
        <is>
          <t>1.5m Sraight</t>
        </is>
      </c>
      <c r="C8" s="524" t="n">
        <v>41.24</v>
      </c>
      <c r="D8" s="525" t="n"/>
      <c r="E8" s="526" t="n">
        <v>47.3</v>
      </c>
      <c r="F8" s="527" t="n"/>
      <c r="G8" s="528" t="n">
        <v>54.24</v>
      </c>
      <c r="H8" s="525" t="n"/>
      <c r="I8" s="529" t="n">
        <v>58.57</v>
      </c>
      <c r="J8" s="527" t="n"/>
      <c r="K8" s="528" t="n">
        <v>63.31</v>
      </c>
      <c r="L8" s="525" t="n"/>
      <c r="M8" s="529" t="n">
        <v>68.36</v>
      </c>
      <c r="N8" s="527" t="n"/>
      <c r="O8" s="530" t="n"/>
      <c r="P8" s="535" t="n"/>
      <c r="Q8" s="531" t="n"/>
      <c r="R8" s="532">
        <f>SUM(C8*D8+E8*F8+G8*H8+I8*J8+K8*L8+M8*+N8+O8*P8)</f>
        <v/>
      </c>
    </row>
    <row r="9" ht="15" customHeight="1" s="1085">
      <c r="B9" s="523" t="inlineStr">
        <is>
          <t>90 Rad Bend</t>
        </is>
      </c>
      <c r="C9" s="524" t="n">
        <v>46.36</v>
      </c>
      <c r="D9" s="525" t="n"/>
      <c r="E9" s="526" t="n">
        <v>51.97</v>
      </c>
      <c r="F9" s="527" t="n"/>
      <c r="G9" s="528" t="n">
        <v>58.26</v>
      </c>
      <c r="H9" s="525" t="n"/>
      <c r="I9" s="529" t="n">
        <v>62.91</v>
      </c>
      <c r="J9" s="527" t="n"/>
      <c r="K9" s="528" t="n">
        <v>84.58</v>
      </c>
      <c r="L9" s="525" t="n"/>
      <c r="M9" s="529" t="n">
        <v>91.19</v>
      </c>
      <c r="N9" s="527" t="n"/>
      <c r="O9" s="530" t="n"/>
      <c r="P9" s="535" t="n"/>
      <c r="Q9" s="531" t="n"/>
      <c r="R9" s="532">
        <f>SUM(C9*D9+E9*F9+G9*H9+I9*J9+K9*L9+M9*+N9+O9*P9)</f>
        <v/>
      </c>
    </row>
    <row r="10" ht="15" customHeight="1" s="1085">
      <c r="B10" s="523" t="inlineStr">
        <is>
          <t>45 Bend</t>
        </is>
      </c>
      <c r="C10" s="524" t="n">
        <v>39.54</v>
      </c>
      <c r="D10" s="525" t="n"/>
      <c r="E10" s="526" t="n">
        <v>44.32</v>
      </c>
      <c r="F10" s="527" t="n"/>
      <c r="G10" s="528" t="n">
        <v>49.69</v>
      </c>
      <c r="H10" s="525" t="n"/>
      <c r="I10" s="529" t="n">
        <v>53.56</v>
      </c>
      <c r="J10" s="527" t="n"/>
      <c r="K10" s="528" t="n">
        <v>57.83</v>
      </c>
      <c r="L10" s="525" t="n"/>
      <c r="M10" s="529" t="n">
        <v>62.34</v>
      </c>
      <c r="N10" s="527" t="n"/>
      <c r="O10" s="530" t="n"/>
      <c r="P10" s="535" t="n"/>
      <c r="Q10" s="531" t="n"/>
      <c r="R10" s="532">
        <f>SUM(C10*D10+E10*F10+G10*H10+I10*J10+K10*L10+M10*+N10+O10*P10)</f>
        <v/>
      </c>
    </row>
    <row r="11" ht="15" customHeight="1" s="1085">
      <c r="B11" s="523" t="inlineStr">
        <is>
          <t>90 Sq Bend</t>
        </is>
      </c>
      <c r="C11" s="524" t="n">
        <v>48.83</v>
      </c>
      <c r="D11" s="525" t="n"/>
      <c r="E11" s="526" t="n">
        <v>56</v>
      </c>
      <c r="F11" s="527" t="n"/>
      <c r="G11" s="528" t="n">
        <v>64.22</v>
      </c>
      <c r="H11" s="525" t="n"/>
      <c r="I11" s="529" t="n">
        <v>69.34999999999999</v>
      </c>
      <c r="J11" s="527" t="n"/>
      <c r="K11" s="528" t="n">
        <v>75.65000000000001</v>
      </c>
      <c r="L11" s="525" t="n"/>
      <c r="M11" s="529" t="n">
        <v>82.14</v>
      </c>
      <c r="N11" s="527" t="n"/>
      <c r="O11" s="530" t="n"/>
      <c r="P11" s="535" t="n"/>
      <c r="Q11" s="531" t="n"/>
      <c r="R11" s="532">
        <f>SUM(C11*D11+E11*F11+G11*H11+I11*J11+K11*L11+M11*+N11+O11*P11)</f>
        <v/>
      </c>
    </row>
    <row r="12" ht="15" customHeight="1" s="1085">
      <c r="B12" s="523" t="inlineStr">
        <is>
          <t>Rad Tee</t>
        </is>
      </c>
      <c r="C12" s="524" t="n">
        <v>68.13</v>
      </c>
      <c r="D12" s="525" t="n"/>
      <c r="E12" s="526" t="n">
        <v>78.13</v>
      </c>
      <c r="F12" s="527" t="n"/>
      <c r="G12" s="528" t="n">
        <v>89.59999999999999</v>
      </c>
      <c r="H12" s="525" t="n"/>
      <c r="I12" s="529" t="n">
        <v>96.75</v>
      </c>
      <c r="J12" s="527" t="n"/>
      <c r="K12" s="528" t="n">
        <v>130.08</v>
      </c>
      <c r="L12" s="525" t="n"/>
      <c r="M12" s="529" t="n">
        <v>140.25</v>
      </c>
      <c r="N12" s="527" t="n"/>
      <c r="O12" s="530" t="n"/>
      <c r="P12" s="535" t="n"/>
      <c r="Q12" s="531" t="n"/>
      <c r="R12" s="532">
        <f>SUM(C12*D12+E12*F12+G12*H12+I12*J12+K12*L12+M12*+N12+O12*P12)</f>
        <v/>
      </c>
    </row>
    <row r="13" ht="15" customHeight="1" s="1085">
      <c r="B13" s="523" t="inlineStr">
        <is>
          <t>Square Tee</t>
        </is>
      </c>
      <c r="C13" s="524" t="n">
        <v>56.59</v>
      </c>
      <c r="D13" s="525" t="n"/>
      <c r="E13" s="526" t="n">
        <v>64.89</v>
      </c>
      <c r="F13" s="527" t="n"/>
      <c r="G13" s="528" t="n">
        <v>74.42</v>
      </c>
      <c r="H13" s="525" t="n"/>
      <c r="I13" s="529" t="n">
        <v>80.36</v>
      </c>
      <c r="J13" s="527" t="n"/>
      <c r="K13" s="528" t="n">
        <v>86.86</v>
      </c>
      <c r="L13" s="525" t="n"/>
      <c r="M13" s="529" t="n">
        <v>94.31</v>
      </c>
      <c r="N13" s="527" t="n"/>
      <c r="O13" s="530" t="n"/>
      <c r="P13" s="535" t="n"/>
      <c r="Q13" s="531" t="n"/>
      <c r="R13" s="532">
        <f>SUM(C13*D13+E13*F13+G13*H13+I13*J13+K13*L13+M13*+N13+O13*P13)</f>
        <v/>
      </c>
    </row>
    <row r="14" ht="15" customHeight="1" s="1085">
      <c r="B14" s="523" t="inlineStr">
        <is>
          <t>Taper 0.8m</t>
        </is>
      </c>
      <c r="C14" s="524" t="n">
        <v>46.55</v>
      </c>
      <c r="D14" s="525" t="n"/>
      <c r="E14" s="526" t="n">
        <v>53.38</v>
      </c>
      <c r="F14" s="527" t="n"/>
      <c r="G14" s="528" t="n">
        <v>61.22</v>
      </c>
      <c r="H14" s="525" t="n"/>
      <c r="I14" s="529" t="n">
        <v>66.11</v>
      </c>
      <c r="J14" s="527" t="n"/>
      <c r="K14" s="528" t="n">
        <v>71.45</v>
      </c>
      <c r="L14" s="525" t="n"/>
      <c r="M14" s="529" t="n">
        <v>77.16</v>
      </c>
      <c r="N14" s="527" t="n"/>
      <c r="O14" s="530" t="n"/>
      <c r="P14" s="535" t="n"/>
      <c r="Q14" s="531" t="n"/>
      <c r="R14" s="532">
        <f>SUM(C14*D14+E14*F14+G14*H14+I14*J14+K14*L14+M14*+N14+O14*P14)</f>
        <v/>
      </c>
    </row>
    <row r="15" ht="15" customHeight="1" s="1085">
      <c r="B15" s="523" t="inlineStr">
        <is>
          <t>Offset 0.8m</t>
        </is>
      </c>
      <c r="C15" s="524" t="n">
        <v>46.55</v>
      </c>
      <c r="D15" s="525" t="n"/>
      <c r="E15" s="526" t="n">
        <v>53.38</v>
      </c>
      <c r="F15" s="527" t="n"/>
      <c r="G15" s="528" t="n">
        <v>61.22</v>
      </c>
      <c r="H15" s="525" t="n"/>
      <c r="I15" s="529" t="n">
        <v>66.11</v>
      </c>
      <c r="J15" s="527" t="n"/>
      <c r="K15" s="528" t="n">
        <v>71.45</v>
      </c>
      <c r="L15" s="525" t="n"/>
      <c r="M15" s="529" t="n">
        <v>77.16</v>
      </c>
      <c r="N15" s="527" t="n"/>
      <c r="O15" s="530" t="n"/>
      <c r="P15" s="535" t="n"/>
      <c r="Q15" s="531" t="n"/>
      <c r="R15" s="532">
        <f>SUM(C15*D15+E15*F15+G15*H15+I15*J15+K15*L15+M15*+N15+O15*P15)</f>
        <v/>
      </c>
    </row>
    <row r="16" ht="15" customHeight="1" s="1085">
      <c r="B16" s="523" t="inlineStr">
        <is>
          <t>Sq to Round</t>
        </is>
      </c>
      <c r="C16" s="524" t="n">
        <v>45.56</v>
      </c>
      <c r="D16" s="525" t="n"/>
      <c r="E16" s="526" t="n">
        <v>51.08</v>
      </c>
      <c r="F16" s="527" t="n"/>
      <c r="G16" s="528" t="n">
        <v>57.26</v>
      </c>
      <c r="H16" s="525" t="n"/>
      <c r="I16" s="529" t="n">
        <v>61.72</v>
      </c>
      <c r="J16" s="527" t="n"/>
      <c r="K16" s="528" t="n">
        <v>66.64</v>
      </c>
      <c r="L16" s="525" t="n"/>
      <c r="M16" s="529" t="n">
        <v>71.83</v>
      </c>
      <c r="N16" s="527" t="n"/>
      <c r="O16" s="530" t="n"/>
      <c r="P16" s="535" t="n"/>
      <c r="Q16" s="531" t="n"/>
      <c r="R16" s="532">
        <f>SUM(C16*D16+E16*F16+G16*H16+I16*J16+K16*L16+M16*+N16+O16*P16)</f>
        <v/>
      </c>
    </row>
    <row r="17" ht="15" customHeight="1" s="1085">
      <c r="B17" s="523" t="inlineStr">
        <is>
          <t>Shoe</t>
        </is>
      </c>
      <c r="C17" s="524" t="n">
        <v>29.21</v>
      </c>
      <c r="D17" s="525" t="n"/>
      <c r="E17" s="526" t="n">
        <v>32.2</v>
      </c>
      <c r="F17" s="527" t="n"/>
      <c r="G17" s="528" t="n">
        <v>35.49</v>
      </c>
      <c r="H17" s="525" t="n"/>
      <c r="I17" s="529" t="n">
        <v>38.18</v>
      </c>
      <c r="J17" s="527" t="n"/>
      <c r="K17" s="528" t="n">
        <v>40.96</v>
      </c>
      <c r="L17" s="525" t="n"/>
      <c r="M17" s="529" t="n">
        <v>44.07</v>
      </c>
      <c r="N17" s="527" t="n"/>
      <c r="O17" s="530" t="n"/>
      <c r="P17" s="535" t="n"/>
      <c r="Q17" s="531" t="n"/>
      <c r="R17" s="532">
        <f>SUM(C17*D17+E17*F17+G17*H17+I17*J17+K17*L17+M17*+N17+O17*P17)</f>
        <v/>
      </c>
    </row>
    <row r="18" ht="15" customHeight="1" s="1085">
      <c r="B18" s="523" t="inlineStr">
        <is>
          <t>Blank End</t>
        </is>
      </c>
      <c r="C18" s="524" t="n">
        <v>5.66</v>
      </c>
      <c r="D18" s="525" t="n"/>
      <c r="E18" s="526" t="n">
        <v>6.5</v>
      </c>
      <c r="F18" s="527" t="n"/>
      <c r="G18" s="528" t="n">
        <v>7.45</v>
      </c>
      <c r="H18" s="525" t="n"/>
      <c r="I18" s="529" t="n">
        <v>8.119999999999999</v>
      </c>
      <c r="J18" s="527" t="n"/>
      <c r="K18" s="528" t="n">
        <v>8.859999999999999</v>
      </c>
      <c r="L18" s="525" t="n"/>
      <c r="M18" s="529" t="n">
        <v>9.65</v>
      </c>
      <c r="N18" s="527" t="n"/>
      <c r="O18" s="530" t="n"/>
      <c r="P18" s="535" t="n"/>
      <c r="Q18" s="531" t="n"/>
      <c r="R18" s="532">
        <f>SUM(C18*D18+E18*F18+G18*H18+I18*J18+K18*L18+M18*+N18+O18*P18)</f>
        <v/>
      </c>
    </row>
    <row r="19" ht="15" customHeight="1" s="1085">
      <c r="B19" s="523" t="inlineStr">
        <is>
          <t>Grille Box</t>
        </is>
      </c>
      <c r="C19" s="524" t="n">
        <v>21.1</v>
      </c>
      <c r="D19" s="525" t="n"/>
      <c r="E19" s="526" t="n">
        <v>24.2</v>
      </c>
      <c r="F19" s="527" t="n"/>
      <c r="G19" s="528" t="n">
        <v>27.75</v>
      </c>
      <c r="H19" s="525" t="n"/>
      <c r="I19" s="529" t="n">
        <v>29.97</v>
      </c>
      <c r="J19" s="527" t="n"/>
      <c r="K19" s="528" t="n">
        <v>32.39</v>
      </c>
      <c r="L19" s="525" t="n"/>
      <c r="M19" s="529" t="n">
        <v>34.97</v>
      </c>
      <c r="N19" s="527" t="n"/>
      <c r="O19" s="530" t="n"/>
      <c r="P19" s="535" t="n"/>
      <c r="Q19" s="531" t="n"/>
      <c r="R19" s="532">
        <f>SUM(C19*D19+E19*F19+G19*H19+I19*J19+K19*L19+M19*+N19+O19*P19)</f>
        <v/>
      </c>
    </row>
    <row r="20" ht="15" customHeight="1" s="1085">
      <c r="B20" s="523" t="inlineStr">
        <is>
          <t>Flange</t>
        </is>
      </c>
      <c r="C20" s="524" t="n">
        <v>7.77</v>
      </c>
      <c r="D20" s="525" t="n"/>
      <c r="E20" s="526" t="n">
        <v>8.56</v>
      </c>
      <c r="F20" s="527" t="n"/>
      <c r="G20" s="528" t="n">
        <v>9.44</v>
      </c>
      <c r="H20" s="525" t="n"/>
      <c r="I20" s="529" t="n">
        <v>10.16</v>
      </c>
      <c r="J20" s="527" t="n"/>
      <c r="K20" s="528" t="n">
        <v>10.9</v>
      </c>
      <c r="L20" s="525" t="n"/>
      <c r="M20" s="529" t="n">
        <v>11.72</v>
      </c>
      <c r="N20" s="527" t="n"/>
      <c r="O20" s="530" t="n"/>
      <c r="P20" s="535" t="n"/>
      <c r="Q20" s="531" t="n"/>
      <c r="R20" s="532">
        <f>SUM(C20*D20+E20*F20+G20*H20+I20*J20+K20*L20+M20*+N20+O20*P20)</f>
        <v/>
      </c>
    </row>
    <row r="21" ht="15" customHeight="1" s="1085">
      <c r="B21" s="523" t="inlineStr">
        <is>
          <t>Access Door</t>
        </is>
      </c>
      <c r="C21" s="524" t="n">
        <v>25</v>
      </c>
      <c r="D21" s="525" t="n"/>
      <c r="E21" s="526" t="n">
        <v>25</v>
      </c>
      <c r="F21" s="527" t="n"/>
      <c r="G21" s="528" t="n">
        <v>28</v>
      </c>
      <c r="H21" s="525" t="n"/>
      <c r="I21" s="529" t="n">
        <v>28</v>
      </c>
      <c r="J21" s="527" t="n"/>
      <c r="K21" s="528" t="n">
        <v>30</v>
      </c>
      <c r="L21" s="525" t="n"/>
      <c r="M21" s="529" t="n">
        <v>32</v>
      </c>
      <c r="N21" s="527" t="n"/>
      <c r="O21" s="530" t="n"/>
      <c r="P21" s="535" t="n"/>
      <c r="Q21" s="531" t="n"/>
      <c r="R21" s="532">
        <f>SUM(C21*D21+E21*F21+G21*H21+I21*J21+K21*L21+M21*+N21+O21*P21)</f>
        <v/>
      </c>
    </row>
    <row r="22" ht="15" customHeight="1" s="1085">
      <c r="B22" s="523" t="inlineStr">
        <is>
          <t>VCD</t>
        </is>
      </c>
      <c r="C22" s="524" t="n">
        <v>32.25</v>
      </c>
      <c r="D22" s="525" t="n"/>
      <c r="E22" s="526" t="n">
        <v>35.4</v>
      </c>
      <c r="F22" s="527" t="n"/>
      <c r="G22" s="528" t="n">
        <v>40.16</v>
      </c>
      <c r="H22" s="525" t="n"/>
      <c r="I22" s="529" t="n">
        <v>45.11</v>
      </c>
      <c r="J22" s="527" t="n"/>
      <c r="K22" s="528" t="n">
        <v>48.76</v>
      </c>
      <c r="L22" s="525" t="n"/>
      <c r="M22" s="529" t="n">
        <v>53.19</v>
      </c>
      <c r="N22" s="527" t="n"/>
      <c r="O22" s="530" t="n"/>
      <c r="P22" s="535" t="n"/>
      <c r="Q22" s="531" t="n"/>
      <c r="R22" s="532">
        <f>SUM(C22*D22+E22*F22+G22*H22+I22*J22+K22*L22+M22*+N22+O22*P22)</f>
        <v/>
      </c>
    </row>
    <row r="23" ht="15" customHeight="1" s="1085">
      <c r="B23" s="533" t="n"/>
      <c r="C23" s="534" t="n"/>
      <c r="D23" s="535" t="n"/>
      <c r="E23" s="535" t="n"/>
      <c r="F23" s="535" t="n"/>
      <c r="G23" s="535" t="n"/>
      <c r="H23" s="535" t="n"/>
      <c r="I23" s="535" t="n"/>
      <c r="J23" s="535" t="n"/>
      <c r="K23" s="535" t="n"/>
      <c r="L23" s="535" t="n"/>
      <c r="M23" s="535" t="n"/>
      <c r="N23" s="535" t="n"/>
      <c r="O23" s="530" t="n"/>
      <c r="P23" s="535" t="n"/>
      <c r="Q23" s="624" t="inlineStr">
        <is>
          <t>S/TOTAL</t>
        </is>
      </c>
      <c r="R23" s="532">
        <f>SUM(R7:R22)</f>
        <v/>
      </c>
    </row>
    <row r="24" ht="15" customHeight="1" s="1085">
      <c r="B24" s="536" t="inlineStr">
        <is>
          <t xml:space="preserve">Supports </t>
        </is>
      </c>
      <c r="C24" s="537" t="n"/>
      <c r="D24" s="538" t="n"/>
      <c r="E24" s="538" t="n"/>
      <c r="F24" s="538" t="n"/>
      <c r="G24" s="538" t="n"/>
      <c r="H24" s="538" t="n"/>
      <c r="I24" s="538" t="n"/>
      <c r="J24" s="538" t="n"/>
      <c r="K24" s="538" t="n"/>
      <c r="L24" s="538" t="n"/>
      <c r="M24" s="538" t="n"/>
      <c r="N24" s="538" t="n"/>
      <c r="O24" s="539" t="n"/>
      <c r="P24" s="538" t="n"/>
      <c r="Q24" s="540" t="n">
        <v>0.15</v>
      </c>
      <c r="R24" s="541">
        <f>SUM(R23*0.15)</f>
        <v/>
      </c>
    </row>
    <row r="25" ht="16" customHeight="1" s="1085" thickBot="1">
      <c r="B25" s="542" t="n"/>
      <c r="C25" s="543" t="n"/>
      <c r="D25" s="544" t="n"/>
      <c r="E25" s="544" t="n"/>
      <c r="F25" s="544" t="n"/>
      <c r="G25" s="544" t="n"/>
      <c r="H25" s="544" t="n"/>
      <c r="I25" s="544" t="n"/>
      <c r="J25" s="544" t="n"/>
      <c r="K25" s="544" t="n"/>
      <c r="L25" s="544" t="n"/>
      <c r="M25" s="544" t="n"/>
      <c r="N25" s="544" t="n"/>
      <c r="O25" s="545" t="n"/>
      <c r="P25" s="544" t="n"/>
      <c r="Q25" s="546" t="inlineStr">
        <is>
          <t>TOTAL</t>
        </is>
      </c>
      <c r="R25" s="547">
        <f>SUM(R23+R24)</f>
        <v/>
      </c>
    </row>
    <row r="27" ht="14" customHeight="1" s="1085" thickBot="1"/>
    <row r="28" ht="15" customHeight="1" s="1085">
      <c r="C28" s="503" t="inlineStr">
        <is>
          <t>Size</t>
        </is>
      </c>
      <c r="D28" s="504" t="inlineStr">
        <is>
          <t>No. Off</t>
        </is>
      </c>
      <c r="E28" s="504" t="inlineStr">
        <is>
          <t>Size</t>
        </is>
      </c>
      <c r="F28" s="504" t="inlineStr">
        <is>
          <t>No. Off</t>
        </is>
      </c>
      <c r="G28" s="504" t="inlineStr">
        <is>
          <t>Size</t>
        </is>
      </c>
      <c r="H28" s="504" t="inlineStr">
        <is>
          <t>No. Off</t>
        </is>
      </c>
      <c r="I28" s="504" t="inlineStr">
        <is>
          <t>Size</t>
        </is>
      </c>
      <c r="J28" s="504" t="inlineStr">
        <is>
          <t>No. Off</t>
        </is>
      </c>
      <c r="K28" s="504" t="inlineStr">
        <is>
          <t>Size</t>
        </is>
      </c>
      <c r="L28" s="504" t="inlineStr">
        <is>
          <t>No. Off</t>
        </is>
      </c>
      <c r="M28" s="504" t="inlineStr">
        <is>
          <t>Size</t>
        </is>
      </c>
      <c r="N28" s="548" t="inlineStr">
        <is>
          <t>No. Off</t>
        </is>
      </c>
      <c r="O28" s="504" t="n"/>
      <c r="P28" s="504" t="n"/>
      <c r="Q28" s="505" t="n"/>
      <c r="R28" s="506" t="inlineStr">
        <is>
          <t>Total</t>
        </is>
      </c>
    </row>
    <row r="29" ht="16" customHeight="1" s="1085" thickBot="1">
      <c r="C29" s="507" t="inlineStr">
        <is>
          <t>500x500</t>
        </is>
      </c>
      <c r="D29" s="508" t="n"/>
      <c r="E29" s="509" t="inlineStr">
        <is>
          <t>550x550</t>
        </is>
      </c>
      <c r="F29" s="508" t="n"/>
      <c r="G29" s="510" t="inlineStr">
        <is>
          <t>600x600</t>
        </is>
      </c>
      <c r="H29" s="508" t="n"/>
      <c r="I29" s="509" t="inlineStr">
        <is>
          <t>650x650</t>
        </is>
      </c>
      <c r="J29" s="508" t="n"/>
      <c r="K29" s="510" t="inlineStr">
        <is>
          <t>700x700</t>
        </is>
      </c>
      <c r="L29" s="508" t="n"/>
      <c r="M29" s="509" t="inlineStr">
        <is>
          <t>750x750</t>
        </is>
      </c>
      <c r="N29" s="549" t="n"/>
      <c r="O29" s="511" t="n"/>
      <c r="P29" s="508" t="n"/>
      <c r="Q29" s="512" t="n"/>
      <c r="R29" s="513" t="n"/>
    </row>
    <row r="30" ht="15" customHeight="1" s="1085">
      <c r="B30" s="514" t="inlineStr">
        <is>
          <t>Spigot</t>
        </is>
      </c>
      <c r="C30" s="515" t="n">
        <v>28.86</v>
      </c>
      <c r="D30" s="516" t="n"/>
      <c r="E30" s="517" t="n">
        <v>31.04</v>
      </c>
      <c r="F30" s="518" t="n"/>
      <c r="G30" s="519" t="n">
        <v>33.3</v>
      </c>
      <c r="H30" s="516" t="n"/>
      <c r="I30" s="520" t="n">
        <v>35.83</v>
      </c>
      <c r="J30" s="518" t="n"/>
      <c r="K30" s="519" t="n">
        <v>38.44</v>
      </c>
      <c r="L30" s="516" t="n"/>
      <c r="M30" s="520" t="n">
        <v>41.36</v>
      </c>
      <c r="N30" s="518" t="n"/>
      <c r="O30" s="521" t="n"/>
      <c r="P30" s="623" t="n"/>
      <c r="Q30" s="505" t="n"/>
      <c r="R30" s="522">
        <f>SUM(C30*D30+E30*F30+G30*H30+I30*J30+K30*L30+M30*+N30+O30*P30)</f>
        <v/>
      </c>
    </row>
    <row r="31" ht="15" customHeight="1" s="1085">
      <c r="B31" s="523" t="inlineStr">
        <is>
          <t>1.5m Sraight</t>
        </is>
      </c>
      <c r="C31" s="524" t="n">
        <v>73.89</v>
      </c>
      <c r="D31" s="525" t="n"/>
      <c r="E31" s="526" t="n">
        <v>79.78</v>
      </c>
      <c r="F31" s="527" t="n"/>
      <c r="G31" s="528" t="n">
        <v>86.23</v>
      </c>
      <c r="H31" s="525" t="n"/>
      <c r="I31" s="529" t="n">
        <v>93.12</v>
      </c>
      <c r="J31" s="527" t="n"/>
      <c r="K31" s="528" t="n">
        <v>100.65</v>
      </c>
      <c r="L31" s="525" t="n"/>
      <c r="M31" s="529" t="n">
        <v>108.68</v>
      </c>
      <c r="N31" s="527" t="n"/>
      <c r="O31" s="530" t="n"/>
      <c r="P31" s="535" t="n"/>
      <c r="Q31" s="531" t="n"/>
      <c r="R31" s="532">
        <f>SUM(C31*D31+E31*F31+G31*H31+I31*J31+K31*L31+M31*+N31+O31*P31)</f>
        <v/>
      </c>
    </row>
    <row r="32" ht="15" customHeight="1" s="1085">
      <c r="B32" s="523" t="inlineStr">
        <is>
          <t>90 Rad Bend</t>
        </is>
      </c>
      <c r="C32" s="524" t="n">
        <v>98.31999999999999</v>
      </c>
      <c r="D32" s="525" t="n"/>
      <c r="E32" s="526" t="n">
        <v>106</v>
      </c>
      <c r="F32" s="527" t="n"/>
      <c r="G32" s="528" t="n">
        <v>114.28</v>
      </c>
      <c r="H32" s="525" t="n"/>
      <c r="I32" s="529" t="n">
        <v>123.21</v>
      </c>
      <c r="J32" s="527" t="n"/>
      <c r="K32" s="528" t="n">
        <v>132.84</v>
      </c>
      <c r="L32" s="525" t="n"/>
      <c r="M32" s="529" t="n">
        <v>143.22</v>
      </c>
      <c r="N32" s="527" t="n"/>
      <c r="O32" s="530" t="n"/>
      <c r="P32" s="535" t="n"/>
      <c r="Q32" s="531" t="n"/>
      <c r="R32" s="532">
        <f>SUM(C32*D32+E32*F32+G32*H32+I32*J32+K32*L32+M32*+N32+O32*P32)</f>
        <v/>
      </c>
    </row>
    <row r="33" ht="15" customHeight="1" s="1085">
      <c r="B33" s="523" t="inlineStr">
        <is>
          <t>45 Bend</t>
        </is>
      </c>
      <c r="C33" s="524" t="n">
        <v>67.31</v>
      </c>
      <c r="D33" s="525" t="n"/>
      <c r="E33" s="526" t="n">
        <v>72.55</v>
      </c>
      <c r="F33" s="527" t="n"/>
      <c r="G33" s="528" t="n">
        <v>78.34</v>
      </c>
      <c r="H33" s="525" t="n"/>
      <c r="I33" s="529" t="n">
        <v>84.44</v>
      </c>
      <c r="J33" s="527" t="n"/>
      <c r="K33" s="528" t="n">
        <v>91.19</v>
      </c>
      <c r="L33" s="525" t="n"/>
      <c r="M33" s="529" t="n">
        <v>98.28</v>
      </c>
      <c r="N33" s="527" t="n"/>
      <c r="O33" s="530" t="n"/>
      <c r="P33" s="535" t="n"/>
      <c r="Q33" s="531" t="n"/>
      <c r="R33" s="532">
        <f>SUM(C33*D33+E33*F33+G33*H33+I33*J33+K33*L33+M33*+N33+O33*P33)</f>
        <v/>
      </c>
    </row>
    <row r="34" ht="15" customHeight="1" s="1085">
      <c r="B34" s="523" t="inlineStr">
        <is>
          <t>90 Sq Bend</t>
        </is>
      </c>
      <c r="C34" s="524" t="n">
        <v>89.59999999999999</v>
      </c>
      <c r="D34" s="525" t="n"/>
      <c r="E34" s="526" t="n">
        <v>97.29000000000001</v>
      </c>
      <c r="F34" s="527" t="n"/>
      <c r="G34" s="528" t="n">
        <v>106.13</v>
      </c>
      <c r="H34" s="525" t="n"/>
      <c r="I34" s="529" t="n">
        <v>115.24</v>
      </c>
      <c r="J34" s="527" t="n"/>
      <c r="K34" s="528" t="n">
        <v>125.71</v>
      </c>
      <c r="L34" s="525" t="n"/>
      <c r="M34" s="529" t="n">
        <v>136.5</v>
      </c>
      <c r="N34" s="527" t="n"/>
      <c r="O34" s="530" t="n"/>
      <c r="P34" s="535" t="n"/>
      <c r="Q34" s="531" t="n"/>
      <c r="R34" s="532">
        <f>SUM(C34*D34+E34*F34+G34*H34+I34*J34+K34*L34+M34*+N34+O34*P34)</f>
        <v/>
      </c>
    </row>
    <row r="35" ht="15" customHeight="1" s="1085">
      <c r="B35" s="523" t="inlineStr">
        <is>
          <t>Rad Tee</t>
        </is>
      </c>
      <c r="C35" s="524" t="n">
        <v>151.2</v>
      </c>
      <c r="D35" s="525" t="n"/>
      <c r="E35" s="526" t="n">
        <v>163.02</v>
      </c>
      <c r="F35" s="527" t="n"/>
      <c r="G35" s="528" t="n">
        <v>175.76</v>
      </c>
      <c r="H35" s="525" t="n"/>
      <c r="I35" s="529" t="n">
        <v>189.49</v>
      </c>
      <c r="J35" s="527" t="n"/>
      <c r="K35" s="621" t="n">
        <v>204.29</v>
      </c>
      <c r="L35" s="525" t="n"/>
      <c r="M35" s="529" t="n">
        <v>220.26</v>
      </c>
      <c r="N35" s="527" t="n"/>
      <c r="O35" s="530" t="n"/>
      <c r="P35" s="535" t="n"/>
      <c r="Q35" s="531" t="n"/>
      <c r="R35" s="532">
        <f>SUM(C35*D35+E35*F35+G35*H35+I35*J35+K35*L35+M35*+N35+O35*P35)</f>
        <v/>
      </c>
    </row>
    <row r="36" ht="15" customHeight="1" s="1085">
      <c r="B36" s="523" t="inlineStr">
        <is>
          <t>Square Tee</t>
        </is>
      </c>
      <c r="C36" s="524" t="n">
        <v>101.94</v>
      </c>
      <c r="D36" s="525" t="n"/>
      <c r="E36" s="526" t="n">
        <v>110.69</v>
      </c>
      <c r="F36" s="527" t="n"/>
      <c r="G36" s="528" t="n">
        <v>119.64</v>
      </c>
      <c r="H36" s="525" t="n"/>
      <c r="I36" s="529" t="n">
        <v>129.91</v>
      </c>
      <c r="J36" s="527" t="n"/>
      <c r="K36" s="528" t="n">
        <v>140.41</v>
      </c>
      <c r="L36" s="525" t="n"/>
      <c r="M36" s="529" t="n">
        <v>152.46</v>
      </c>
      <c r="N36" s="527" t="n"/>
      <c r="O36" s="530" t="n"/>
      <c r="P36" s="535" t="n"/>
      <c r="Q36" s="531" t="n"/>
      <c r="R36" s="532">
        <f>SUM(C36*D36+E36*F36+G36*H36+I36*J36+K36*L36+M36*+N36+O36*P36)</f>
        <v/>
      </c>
    </row>
    <row r="37" ht="15" customHeight="1" s="1085">
      <c r="B37" s="523" t="inlineStr">
        <is>
          <t>Taper 0.8m</t>
        </is>
      </c>
      <c r="C37" s="524" t="n">
        <v>83.39</v>
      </c>
      <c r="D37" s="525" t="n"/>
      <c r="E37" s="526" t="n">
        <v>90.05</v>
      </c>
      <c r="F37" s="527" t="n"/>
      <c r="G37" s="528" t="n">
        <v>97.33</v>
      </c>
      <c r="H37" s="525" t="n"/>
      <c r="I37" s="529" t="n">
        <v>105.1</v>
      </c>
      <c r="J37" s="527" t="n"/>
      <c r="K37" s="528" t="n">
        <v>113.6</v>
      </c>
      <c r="L37" s="525" t="n"/>
      <c r="M37" s="529" t="n">
        <v>122.67</v>
      </c>
      <c r="N37" s="527" t="n"/>
      <c r="O37" s="530" t="n"/>
      <c r="P37" s="535" t="n"/>
      <c r="Q37" s="531" t="n"/>
      <c r="R37" s="532">
        <f>SUM(C37*D37+E37*F37+G37*H37+I37*J37+K37*L37+M37*+N37+O37*P37)</f>
        <v/>
      </c>
    </row>
    <row r="38" ht="15" customHeight="1" s="1085">
      <c r="B38" s="523" t="inlineStr">
        <is>
          <t>Offset 0.8m</t>
        </is>
      </c>
      <c r="C38" s="524" t="n">
        <v>83.39</v>
      </c>
      <c r="D38" s="525" t="n"/>
      <c r="E38" s="526" t="n">
        <v>90.05</v>
      </c>
      <c r="F38" s="527" t="n"/>
      <c r="G38" s="528" t="n">
        <v>97.33</v>
      </c>
      <c r="H38" s="525" t="n"/>
      <c r="I38" s="529" t="n">
        <v>105.1</v>
      </c>
      <c r="J38" s="527" t="n"/>
      <c r="K38" s="528" t="n">
        <v>113.6</v>
      </c>
      <c r="L38" s="525" t="n"/>
      <c r="M38" s="529" t="n">
        <v>122.67</v>
      </c>
      <c r="N38" s="527" t="n"/>
      <c r="O38" s="530" t="n"/>
      <c r="P38" s="535" t="n"/>
      <c r="Q38" s="531" t="n"/>
      <c r="R38" s="532">
        <f>SUM(C38*D38+E38*F38+G38*H38+I38*J38+K38*L38+M38*+N38+O38*P38)</f>
        <v/>
      </c>
    </row>
    <row r="39" ht="15" customHeight="1" s="1085">
      <c r="B39" s="523" t="inlineStr">
        <is>
          <t>Sq to Round</t>
        </is>
      </c>
      <c r="C39" s="524" t="n">
        <v>77.56999999999999</v>
      </c>
      <c r="D39" s="525" t="n"/>
      <c r="E39" s="622" t="n">
        <v>83.61</v>
      </c>
      <c r="F39" s="527" t="n"/>
      <c r="G39" s="528" t="n">
        <v>90.28</v>
      </c>
      <c r="H39" s="525" t="n"/>
      <c r="I39" s="529" t="n">
        <v>97.31</v>
      </c>
      <c r="J39" s="527" t="n"/>
      <c r="K39" s="528" t="n">
        <v>105.08</v>
      </c>
      <c r="L39" s="525" t="n"/>
      <c r="M39" s="529" t="n">
        <v>113.26</v>
      </c>
      <c r="N39" s="527" t="n"/>
      <c r="O39" s="530" t="n"/>
      <c r="P39" s="535" t="n"/>
      <c r="Q39" s="531" t="n"/>
      <c r="R39" s="532">
        <f>SUM(C39*D39+E39*F39+G39*H39+I39*J39+K39*L39+M39*+N39+O39*P39)</f>
        <v/>
      </c>
    </row>
    <row r="40" ht="15" customHeight="1" s="1085">
      <c r="B40" s="523" t="inlineStr">
        <is>
          <t>Shoe</t>
        </is>
      </c>
      <c r="C40" s="524" t="n">
        <v>47.28</v>
      </c>
      <c r="D40" s="525" t="n"/>
      <c r="E40" s="526" t="n">
        <v>50.86</v>
      </c>
      <c r="F40" s="527" t="n"/>
      <c r="G40" s="528" t="n">
        <v>54.57</v>
      </c>
      <c r="H40" s="525" t="n"/>
      <c r="I40" s="529" t="n">
        <v>58.71</v>
      </c>
      <c r="J40" s="527" t="n"/>
      <c r="K40" s="528" t="n">
        <v>62.98</v>
      </c>
      <c r="L40" s="525" t="n"/>
      <c r="M40" s="529" t="n">
        <v>67.76000000000001</v>
      </c>
      <c r="N40" s="527" t="n"/>
      <c r="O40" s="530" t="n"/>
      <c r="P40" s="535" t="n"/>
      <c r="Q40" s="531" t="n"/>
      <c r="R40" s="532">
        <f>SUM(C40*D40+E40*F40+G40*H40+I40*J40+K40*L40+M40*+N40+O40*P40)</f>
        <v/>
      </c>
    </row>
    <row r="41" ht="15" customHeight="1" s="1085">
      <c r="B41" s="523" t="inlineStr">
        <is>
          <t>Blank End</t>
        </is>
      </c>
      <c r="C41" s="524" t="n">
        <v>10.53</v>
      </c>
      <c r="D41" s="525" t="n"/>
      <c r="E41" s="526" t="n">
        <v>11.48</v>
      </c>
      <c r="F41" s="527" t="n"/>
      <c r="G41" s="528" t="n">
        <v>12.52</v>
      </c>
      <c r="H41" s="525" t="n"/>
      <c r="I41" s="529" t="n">
        <v>13.64</v>
      </c>
      <c r="J41" s="527" t="n"/>
      <c r="K41" s="528" t="n">
        <v>14.88</v>
      </c>
      <c r="L41" s="525" t="n"/>
      <c r="M41" s="529" t="n">
        <v>16.22</v>
      </c>
      <c r="N41" s="527" t="n"/>
      <c r="O41" s="530" t="n"/>
      <c r="P41" s="535" t="n"/>
      <c r="Q41" s="531" t="n"/>
      <c r="R41" s="532">
        <f>SUM(C41*D41+E41*F41+G41*H41+I41*J41+K41*L41+M41*+N41+O41*P41)</f>
        <v/>
      </c>
    </row>
    <row r="42" ht="15" customHeight="1" s="1085">
      <c r="B42" s="523" t="inlineStr">
        <is>
          <t>Grille Box</t>
        </is>
      </c>
      <c r="C42" s="524" t="n">
        <v>37.8</v>
      </c>
      <c r="D42" s="525" t="n"/>
      <c r="E42" s="526" t="n">
        <v>40.82</v>
      </c>
      <c r="F42" s="527" t="n"/>
      <c r="G42" s="528" t="n">
        <v>44.12</v>
      </c>
      <c r="H42" s="525" t="n"/>
      <c r="I42" s="529" t="n">
        <v>47.64</v>
      </c>
      <c r="J42" s="527" t="n"/>
      <c r="K42" s="528" t="n">
        <v>51.49</v>
      </c>
      <c r="L42" s="525" t="n"/>
      <c r="M42" s="529" t="n">
        <v>55.6</v>
      </c>
      <c r="N42" s="527" t="n"/>
      <c r="O42" s="530" t="n"/>
      <c r="P42" s="535" t="n"/>
      <c r="Q42" s="531" t="n"/>
      <c r="R42" s="532">
        <f>SUM(C42*D42+E42*F42+G42*H42+I42*J42+K42*L42+M42*+N42+O42*P42)</f>
        <v/>
      </c>
    </row>
    <row r="43" ht="15" customHeight="1" s="1085">
      <c r="B43" s="523" t="inlineStr">
        <is>
          <t>Flange</t>
        </is>
      </c>
      <c r="C43" s="524" t="n">
        <v>12.58</v>
      </c>
      <c r="D43" s="525" t="n"/>
      <c r="E43" s="526" t="n">
        <v>13.53</v>
      </c>
      <c r="F43" s="527" t="n"/>
      <c r="G43" s="528" t="n">
        <v>14.52</v>
      </c>
      <c r="H43" s="525" t="n"/>
      <c r="I43" s="529" t="n">
        <v>15.62</v>
      </c>
      <c r="J43" s="527" t="n"/>
      <c r="K43" s="528" t="n">
        <v>16.75</v>
      </c>
      <c r="L43" s="525" t="n"/>
      <c r="M43" s="529" t="n">
        <v>18.02</v>
      </c>
      <c r="N43" s="527" t="n"/>
      <c r="O43" s="530" t="n"/>
      <c r="P43" s="535" t="n"/>
      <c r="Q43" s="531" t="n"/>
      <c r="R43" s="532">
        <f>SUM(C43*D43+E43*F43+G43*H43+I43*J43+K43*L43+M43*+N43+O43*P43)</f>
        <v/>
      </c>
    </row>
    <row r="44" ht="15" customHeight="1" s="1085">
      <c r="B44" s="523" t="inlineStr">
        <is>
          <t>Access Door</t>
        </is>
      </c>
      <c r="C44" s="524" t="n">
        <v>35</v>
      </c>
      <c r="D44" s="525" t="n"/>
      <c r="E44" s="526" t="n">
        <v>48</v>
      </c>
      <c r="F44" s="527" t="n"/>
      <c r="G44" s="528" t="n">
        <v>48</v>
      </c>
      <c r="H44" s="525" t="n"/>
      <c r="I44" s="529" t="n">
        <v>48</v>
      </c>
      <c r="J44" s="527" t="n"/>
      <c r="K44" s="528" t="n">
        <v>48</v>
      </c>
      <c r="L44" s="525" t="n"/>
      <c r="M44" s="529" t="n">
        <v>48</v>
      </c>
      <c r="N44" s="527" t="n"/>
      <c r="O44" s="530" t="n"/>
      <c r="P44" s="535" t="n"/>
      <c r="Q44" s="531" t="n"/>
      <c r="R44" s="532">
        <f>SUM(C44*D44+E44*F44+G44*H44+I44*J44+K44*L44+M44*+N44+O44*P44)</f>
        <v/>
      </c>
    </row>
    <row r="45" ht="15" customHeight="1" s="1085">
      <c r="B45" s="523" t="inlineStr">
        <is>
          <t>VCD</t>
        </is>
      </c>
      <c r="C45" s="524" t="n">
        <v>58.52</v>
      </c>
      <c r="D45" s="525" t="n"/>
      <c r="E45" s="526" t="n">
        <v>62.94</v>
      </c>
      <c r="F45" s="527" t="n"/>
      <c r="G45" s="528" t="n">
        <v>71.89</v>
      </c>
      <c r="H45" s="525" t="n"/>
      <c r="I45" s="529" t="n">
        <v>77.38</v>
      </c>
      <c r="J45" s="527" t="n"/>
      <c r="K45" s="528" t="n">
        <v>84.03</v>
      </c>
      <c r="L45" s="525" t="n"/>
      <c r="M45" s="529" t="n">
        <v>89.84</v>
      </c>
      <c r="N45" s="527" t="n"/>
      <c r="O45" s="530" t="n"/>
      <c r="P45" s="535" t="n"/>
      <c r="Q45" s="531" t="n"/>
      <c r="R45" s="532">
        <f>SUM(C45*D45+E45*F45+G45*H45+I45*J45+K45*L45+M45*+N45+O45*P45)</f>
        <v/>
      </c>
    </row>
    <row r="46" ht="15" customHeight="1" s="1085">
      <c r="B46" s="523" t="n"/>
      <c r="C46" s="550" t="n"/>
      <c r="D46" s="535" t="n"/>
      <c r="E46" s="551" t="n"/>
      <c r="F46" s="535" t="n"/>
      <c r="G46" s="552" t="n"/>
      <c r="H46" s="535" t="n"/>
      <c r="I46" s="552" t="n"/>
      <c r="J46" s="535" t="n"/>
      <c r="K46" s="552" t="n"/>
      <c r="L46" s="535" t="n"/>
      <c r="M46" s="552" t="n"/>
      <c r="N46" s="535" t="n"/>
      <c r="O46" s="530" t="n"/>
      <c r="P46" s="535" t="n"/>
      <c r="Q46" s="625" t="inlineStr">
        <is>
          <t>S/TOTAL</t>
        </is>
      </c>
      <c r="R46" s="541">
        <f>SUM(R30:R45)</f>
        <v/>
      </c>
    </row>
    <row r="47" ht="15" customHeight="1" s="1085">
      <c r="B47" s="523" t="inlineStr">
        <is>
          <t>Supports</t>
        </is>
      </c>
      <c r="C47" s="534" t="n"/>
      <c r="D47" s="535" t="n"/>
      <c r="E47" s="535" t="n"/>
      <c r="F47" s="535" t="n"/>
      <c r="G47" s="535" t="n"/>
      <c r="H47" s="535" t="n"/>
      <c r="I47" s="535" t="n"/>
      <c r="J47" s="535" t="n"/>
      <c r="K47" s="535" t="n"/>
      <c r="L47" s="535" t="n"/>
      <c r="M47" s="535" t="n"/>
      <c r="N47" s="535" t="n"/>
      <c r="O47" s="530" t="n"/>
      <c r="P47" s="535" t="n"/>
      <c r="Q47" s="540" t="n">
        <v>0.15</v>
      </c>
      <c r="R47" s="541">
        <f>SUM(R46*0.15)</f>
        <v/>
      </c>
    </row>
    <row r="48" ht="16" customHeight="1" s="1085" thickBot="1">
      <c r="B48" s="542" t="n"/>
      <c r="C48" s="543" t="n"/>
      <c r="D48" s="544" t="n"/>
      <c r="E48" s="544" t="n"/>
      <c r="F48" s="544" t="n"/>
      <c r="G48" s="544" t="n"/>
      <c r="H48" s="544" t="n"/>
      <c r="I48" s="544" t="n"/>
      <c r="J48" s="544" t="n"/>
      <c r="K48" s="544" t="n"/>
      <c r="L48" s="544" t="n"/>
      <c r="M48" s="544" t="n"/>
      <c r="N48" s="544" t="n"/>
      <c r="O48" s="545" t="n"/>
      <c r="P48" s="544" t="n"/>
      <c r="Q48" s="546" t="inlineStr">
        <is>
          <t>TOTAL</t>
        </is>
      </c>
      <c r="R48" s="547">
        <f>SUM(R46+R47)</f>
        <v/>
      </c>
    </row>
    <row r="50" ht="14" customHeight="1" s="1085" thickBot="1"/>
    <row r="51" ht="15" customHeight="1" s="1085">
      <c r="C51" s="503" t="inlineStr">
        <is>
          <t>Size</t>
        </is>
      </c>
      <c r="D51" s="504" t="inlineStr">
        <is>
          <t>No. Off</t>
        </is>
      </c>
      <c r="E51" s="504" t="inlineStr">
        <is>
          <t>Size</t>
        </is>
      </c>
      <c r="F51" s="504" t="inlineStr">
        <is>
          <t>No. Off</t>
        </is>
      </c>
      <c r="G51" s="504" t="inlineStr">
        <is>
          <t>Size</t>
        </is>
      </c>
      <c r="H51" s="504" t="inlineStr">
        <is>
          <t>No. Off</t>
        </is>
      </c>
      <c r="I51" s="504" t="inlineStr">
        <is>
          <t>Size</t>
        </is>
      </c>
      <c r="J51" s="504" t="inlineStr">
        <is>
          <t>No. Off</t>
        </is>
      </c>
      <c r="K51" s="504" t="inlineStr">
        <is>
          <t>Size</t>
        </is>
      </c>
      <c r="L51" s="504" t="inlineStr">
        <is>
          <t>No. Off</t>
        </is>
      </c>
      <c r="M51" s="504" t="inlineStr">
        <is>
          <t>Size</t>
        </is>
      </c>
      <c r="N51" s="504" t="inlineStr">
        <is>
          <t>No. Off</t>
        </is>
      </c>
      <c r="O51" s="504" t="inlineStr">
        <is>
          <t>Size</t>
        </is>
      </c>
      <c r="P51" s="504" t="inlineStr">
        <is>
          <t>No. Off</t>
        </is>
      </c>
      <c r="Q51" s="505" t="n"/>
      <c r="R51" s="506" t="inlineStr">
        <is>
          <t>Total</t>
        </is>
      </c>
    </row>
    <row r="52" ht="16" customHeight="1" s="1085" thickBot="1">
      <c r="C52" s="507" t="inlineStr">
        <is>
          <t>800x800</t>
        </is>
      </c>
      <c r="D52" s="508" t="n"/>
      <c r="E52" s="509" t="inlineStr">
        <is>
          <t>850x850</t>
        </is>
      </c>
      <c r="F52" s="508" t="n"/>
      <c r="G52" s="510" t="inlineStr">
        <is>
          <t>900x900</t>
        </is>
      </c>
      <c r="H52" s="508" t="n"/>
      <c r="I52" s="509" t="inlineStr">
        <is>
          <t>950x950</t>
        </is>
      </c>
      <c r="J52" s="508" t="n"/>
      <c r="K52" s="510" t="inlineStr">
        <is>
          <t>1000x1000</t>
        </is>
      </c>
      <c r="L52" s="508" t="n"/>
      <c r="M52" s="509" t="inlineStr">
        <is>
          <t>1050x1050</t>
        </is>
      </c>
      <c r="N52" s="508" t="n"/>
      <c r="O52" s="510" t="inlineStr">
        <is>
          <t>1100x1100</t>
        </is>
      </c>
      <c r="P52" s="508" t="n"/>
      <c r="Q52" s="512" t="n"/>
      <c r="R52" s="513" t="n"/>
    </row>
    <row r="53" ht="15" customHeight="1" s="1085">
      <c r="B53" s="514" t="inlineStr">
        <is>
          <t>Spigot</t>
        </is>
      </c>
      <c r="C53" s="515" t="n">
        <v>45.2</v>
      </c>
      <c r="D53" s="516" t="n"/>
      <c r="E53" s="517" t="n">
        <v>48.62</v>
      </c>
      <c r="F53" s="518" t="n"/>
      <c r="G53" s="519" t="n">
        <v>52.16</v>
      </c>
      <c r="H53" s="516" t="n"/>
      <c r="I53" s="520" t="n">
        <v>56.12</v>
      </c>
      <c r="J53" s="518" t="n"/>
      <c r="K53" s="519" t="n">
        <v>61.33</v>
      </c>
      <c r="L53" s="516" t="n"/>
      <c r="M53" s="520" t="n">
        <v>65.98</v>
      </c>
      <c r="N53" s="518" t="n"/>
      <c r="O53" s="553" t="n">
        <v>70.79000000000001</v>
      </c>
      <c r="P53" s="516" t="n"/>
      <c r="Q53" s="505" t="n"/>
      <c r="R53" s="522">
        <f>SUM(C53*D53+E53*F53+G53*H53+I53*J53+K53*L53+M53*+N53+O53*P53)</f>
        <v/>
      </c>
    </row>
    <row r="54" ht="15" customHeight="1" s="1085">
      <c r="B54" s="523" t="inlineStr">
        <is>
          <t>1.5m Sraight</t>
        </is>
      </c>
      <c r="C54" s="524" t="n">
        <v>118.56</v>
      </c>
      <c r="D54" s="525" t="n"/>
      <c r="E54" s="526" t="n">
        <v>128.02</v>
      </c>
      <c r="F54" s="527" t="n"/>
      <c r="G54" s="528" t="n">
        <v>138.37</v>
      </c>
      <c r="H54" s="525" t="n"/>
      <c r="I54" s="529" t="n">
        <v>149.42</v>
      </c>
      <c r="J54" s="527" t="n"/>
      <c r="K54" s="528" t="n">
        <v>162.99</v>
      </c>
      <c r="L54" s="525" t="n"/>
      <c r="M54" s="529" t="n">
        <v>176</v>
      </c>
      <c r="N54" s="527" t="n"/>
      <c r="O54" s="554" t="n">
        <v>190.23</v>
      </c>
      <c r="P54" s="525" t="n"/>
      <c r="Q54" s="531" t="n"/>
      <c r="R54" s="532">
        <f>SUM(C54*D54+E54*F54+G54*H54+I54*J54+K54*L54+M54*+N54+O54*P54)</f>
        <v/>
      </c>
    </row>
    <row r="55" ht="15" customHeight="1" s="1085">
      <c r="B55" s="523" t="inlineStr">
        <is>
          <t>90 Rad Bend</t>
        </is>
      </c>
      <c r="C55" s="524" t="n">
        <v>168.41</v>
      </c>
      <c r="D55" s="525" t="n"/>
      <c r="E55" s="526" t="n">
        <v>181.57</v>
      </c>
      <c r="F55" s="527" t="n"/>
      <c r="G55" s="528" t="n">
        <v>195.76</v>
      </c>
      <c r="H55" s="525" t="n"/>
      <c r="I55" s="529" t="n">
        <v>211.05</v>
      </c>
      <c r="J55" s="527" t="n"/>
      <c r="K55" s="528" t="n">
        <v>227.54</v>
      </c>
      <c r="L55" s="525" t="n"/>
      <c r="M55" s="529" t="n">
        <v>245.32</v>
      </c>
      <c r="N55" s="527" t="n"/>
      <c r="O55" s="554" t="n">
        <v>264.49</v>
      </c>
      <c r="P55" s="525" t="n"/>
      <c r="Q55" s="531" t="n"/>
      <c r="R55" s="532">
        <f>SUM(C55*D55+E55*F55+G55*H55+I55*J55+K55*L55+M55*+N55+O55*P55)</f>
        <v/>
      </c>
    </row>
    <row r="56" ht="15" customHeight="1" s="1085">
      <c r="B56" s="523" t="inlineStr">
        <is>
          <t>45 Bend</t>
        </is>
      </c>
      <c r="C56" s="524" t="n">
        <v>107.11</v>
      </c>
      <c r="D56" s="525" t="n"/>
      <c r="E56" s="526" t="n">
        <v>115.45</v>
      </c>
      <c r="F56" s="527" t="n"/>
      <c r="G56" s="528" t="n">
        <v>124.67</v>
      </c>
      <c r="H56" s="525" t="n"/>
      <c r="I56" s="529" t="n">
        <v>134.37</v>
      </c>
      <c r="J56" s="527" t="n"/>
      <c r="K56" s="528" t="n">
        <v>146.44</v>
      </c>
      <c r="L56" s="525" t="n"/>
      <c r="M56" s="529" t="n">
        <v>157.84</v>
      </c>
      <c r="N56" s="527" t="n"/>
      <c r="O56" s="554" t="n">
        <v>170.45</v>
      </c>
      <c r="P56" s="525" t="n"/>
      <c r="Q56" s="531" t="n"/>
      <c r="R56" s="532">
        <f>SUM(C56*D56+E56*F56+G56*H56+I56*J56+K56*L56+M56*+N56+O56*P56)</f>
        <v/>
      </c>
    </row>
    <row r="57" ht="15" customHeight="1" s="1085">
      <c r="B57" s="523" t="inlineStr">
        <is>
          <t>90 Sq Bend</t>
        </is>
      </c>
      <c r="C57" s="524" t="n">
        <v>148.9</v>
      </c>
      <c r="D57" s="525" t="n"/>
      <c r="E57" s="526" t="n">
        <v>161.68</v>
      </c>
      <c r="F57" s="527" t="n"/>
      <c r="G57" s="528" t="n">
        <v>174.75</v>
      </c>
      <c r="H57" s="525" t="n"/>
      <c r="I57" s="529" t="n">
        <v>189.75</v>
      </c>
      <c r="J57" s="527" t="n"/>
      <c r="K57" s="528" t="n">
        <v>206.99</v>
      </c>
      <c r="L57" s="525" t="n"/>
      <c r="M57" s="529" t="n">
        <v>224.76</v>
      </c>
      <c r="N57" s="527" t="n"/>
      <c r="O57" s="554" t="n">
        <v>242.93</v>
      </c>
      <c r="P57" s="525" t="n"/>
      <c r="Q57" s="531" t="n"/>
      <c r="R57" s="532">
        <f>SUM(C57*D57+E57*F57+G57*H57+I57*J57+K57*L57+M57*+N57+O57*P57)</f>
        <v/>
      </c>
    </row>
    <row r="58" ht="15" customHeight="1" s="1085">
      <c r="B58" s="523" t="inlineStr">
        <is>
          <t>Rad Tee</t>
        </is>
      </c>
      <c r="C58" s="524" t="n">
        <v>244.13</v>
      </c>
      <c r="D58" s="525" t="n"/>
      <c r="E58" s="526" t="n">
        <v>263.21</v>
      </c>
      <c r="F58" s="527" t="n"/>
      <c r="G58" s="528" t="n">
        <v>283.77</v>
      </c>
      <c r="H58" s="525" t="n"/>
      <c r="I58" s="529" t="n">
        <v>305.94</v>
      </c>
      <c r="J58" s="527" t="n"/>
      <c r="K58" s="528" t="n">
        <v>329.85</v>
      </c>
      <c r="L58" s="525" t="n"/>
      <c r="M58" s="529" t="n">
        <v>355.62</v>
      </c>
      <c r="N58" s="527" t="n"/>
      <c r="O58" s="554" t="n">
        <v>383.41</v>
      </c>
      <c r="P58" s="525" t="n"/>
      <c r="Q58" s="531" t="n"/>
      <c r="R58" s="532">
        <f>SUM(C58*D58+E58*F58+G58*H58+I58*J58+K58*L58+M58*+N58+O58*P58)</f>
        <v/>
      </c>
    </row>
    <row r="59" ht="15" customHeight="1" s="1085">
      <c r="B59" s="523" t="inlineStr">
        <is>
          <t>Square Tee</t>
        </is>
      </c>
      <c r="C59" s="524" t="n">
        <v>166.31</v>
      </c>
      <c r="D59" s="525" t="n"/>
      <c r="E59" s="526" t="n">
        <v>180.59</v>
      </c>
      <c r="F59" s="527" t="n"/>
      <c r="G59" s="528" t="n">
        <v>195.18</v>
      </c>
      <c r="H59" s="525" t="n"/>
      <c r="I59" s="529" t="n">
        <v>211.94</v>
      </c>
      <c r="J59" s="527" t="n"/>
      <c r="K59" s="528" t="n">
        <v>231.19</v>
      </c>
      <c r="L59" s="525" t="n"/>
      <c r="M59" s="529" t="n">
        <v>251.04</v>
      </c>
      <c r="N59" s="527" t="n"/>
      <c r="O59" s="554" t="n">
        <v>271.33</v>
      </c>
      <c r="P59" s="525" t="n"/>
      <c r="Q59" s="531" t="n"/>
      <c r="R59" s="532">
        <f>SUM(C59*D59+E59*F59+G59*H59+I59*J59+K59*L59+M59*+N59+O59*P59)</f>
        <v/>
      </c>
    </row>
    <row r="60" ht="15" customHeight="1" s="1085">
      <c r="B60" s="523" t="inlineStr">
        <is>
          <t>Taper 0.8m</t>
        </is>
      </c>
      <c r="C60" s="524" t="n">
        <v>132.59</v>
      </c>
      <c r="D60" s="525" t="n"/>
      <c r="E60" s="526" t="n">
        <v>143.17</v>
      </c>
      <c r="F60" s="527" t="n"/>
      <c r="G60" s="528" t="n">
        <v>154.75</v>
      </c>
      <c r="H60" s="525" t="n"/>
      <c r="I60" s="529" t="n">
        <v>167.1</v>
      </c>
      <c r="J60" s="527" t="n"/>
      <c r="K60" s="528" t="n">
        <v>180.61</v>
      </c>
      <c r="L60" s="525" t="n"/>
      <c r="M60" s="529" t="n">
        <v>195.03</v>
      </c>
      <c r="N60" s="527" t="n"/>
      <c r="O60" s="554" t="n">
        <v>210.79</v>
      </c>
      <c r="P60" s="525" t="n"/>
      <c r="Q60" s="531" t="n"/>
      <c r="R60" s="532">
        <f>SUM(C60*D60+E60*F60+G60*H60+I60*J60+K60*L60+M60*+N60+O60*P60)</f>
        <v/>
      </c>
    </row>
    <row r="61" ht="15" customHeight="1" s="1085">
      <c r="B61" s="523" t="inlineStr">
        <is>
          <t>Offset 0.8m</t>
        </is>
      </c>
      <c r="C61" s="524" t="n">
        <v>132.59</v>
      </c>
      <c r="D61" s="525" t="n"/>
      <c r="E61" s="526" t="n">
        <v>143.17</v>
      </c>
      <c r="F61" s="527" t="n"/>
      <c r="G61" s="528" t="n">
        <v>154.75</v>
      </c>
      <c r="H61" s="525" t="n"/>
      <c r="I61" s="529" t="n">
        <v>167.1</v>
      </c>
      <c r="J61" s="527" t="n"/>
      <c r="K61" s="528" t="n">
        <v>180.61</v>
      </c>
      <c r="L61" s="525" t="n"/>
      <c r="M61" s="529" t="n">
        <v>195.03</v>
      </c>
      <c r="N61" s="527" t="n"/>
      <c r="O61" s="554" t="n">
        <v>210.79</v>
      </c>
      <c r="P61" s="525" t="n"/>
      <c r="Q61" s="531" t="n"/>
      <c r="R61" s="532">
        <f>SUM(C61*D61+E61*F61+G61*H61+I61*J61+K61*L61+M61*+N61+O61*P61)</f>
        <v/>
      </c>
    </row>
    <row r="62" ht="15" customHeight="1" s="1085">
      <c r="B62" s="523" t="inlineStr">
        <is>
          <t>Sq to Round</t>
        </is>
      </c>
      <c r="C62" s="524" t="n">
        <v>122.3</v>
      </c>
      <c r="D62" s="525" t="n"/>
      <c r="E62" s="526" t="n">
        <v>131.82</v>
      </c>
      <c r="F62" s="527" t="n"/>
      <c r="G62" s="528" t="n">
        <v>142.34</v>
      </c>
      <c r="H62" s="525" t="n"/>
      <c r="I62" s="529" t="n">
        <v>153.42</v>
      </c>
      <c r="J62" s="527" t="n"/>
      <c r="K62" s="528" t="n">
        <v>165.67</v>
      </c>
      <c r="L62" s="525" t="n"/>
      <c r="M62" s="529" t="n">
        <v>178.57</v>
      </c>
      <c r="N62" s="527" t="n"/>
      <c r="O62" s="554" t="n">
        <v>192.82</v>
      </c>
      <c r="P62" s="525" t="n"/>
      <c r="Q62" s="531" t="n"/>
      <c r="R62" s="532">
        <f>SUM(C62*D62+E62*F62+G62*H62+I62*J62+K62*L62+M62*+N62+O62*P62)</f>
        <v/>
      </c>
    </row>
    <row r="63" ht="15" customHeight="1" s="1085">
      <c r="B63" s="523" t="inlineStr">
        <is>
          <t>Shoe</t>
        </is>
      </c>
      <c r="C63" s="524" t="n">
        <v>72.7</v>
      </c>
      <c r="D63" s="525" t="n"/>
      <c r="E63" s="526" t="n">
        <v>78.20999999999999</v>
      </c>
      <c r="F63" s="527" t="n"/>
      <c r="G63" s="528" t="n">
        <v>83.91</v>
      </c>
      <c r="H63" s="525" t="n"/>
      <c r="I63" s="529" t="n">
        <v>90.27</v>
      </c>
      <c r="J63" s="527" t="n"/>
      <c r="K63" s="528" t="n">
        <v>96.84999999999999</v>
      </c>
      <c r="L63" s="525" t="n"/>
      <c r="M63" s="529" t="n">
        <v>104.19</v>
      </c>
      <c r="N63" s="527" t="n"/>
      <c r="O63" s="554" t="n">
        <v>111.78</v>
      </c>
      <c r="P63" s="525" t="n"/>
      <c r="Q63" s="531" t="n"/>
      <c r="R63" s="532">
        <f>SUM(C63*D63+E63*F63+G63*H63+I63*J63+K63*L63+M63*+N63+O63*P63)</f>
        <v/>
      </c>
    </row>
    <row r="64" ht="15" customHeight="1" s="1085">
      <c r="B64" s="523" t="inlineStr">
        <is>
          <t>Blank End</t>
        </is>
      </c>
      <c r="C64" s="524" t="n">
        <v>17.69</v>
      </c>
      <c r="D64" s="525" t="n"/>
      <c r="E64" s="526" t="n">
        <v>19.28</v>
      </c>
      <c r="F64" s="527" t="n"/>
      <c r="G64" s="528" t="n">
        <v>21.03</v>
      </c>
      <c r="H64" s="525" t="n"/>
      <c r="I64" s="529" t="n">
        <v>22.92</v>
      </c>
      <c r="J64" s="527" t="n"/>
      <c r="K64" s="528" t="n">
        <v>25</v>
      </c>
      <c r="L64" s="525" t="n"/>
      <c r="M64" s="529" t="n">
        <v>27.25</v>
      </c>
      <c r="N64" s="527" t="n"/>
      <c r="O64" s="554" t="n">
        <v>29.73</v>
      </c>
      <c r="P64" s="525" t="n"/>
      <c r="Q64" s="531" t="n"/>
      <c r="R64" s="532">
        <f>SUM(C64*D64+E64*F64+G64*H64+I64*J64+K64*L64+M64*+N64+O64*P64)</f>
        <v/>
      </c>
    </row>
    <row r="65" ht="15" customHeight="1" s="1085">
      <c r="B65" s="523" t="inlineStr">
        <is>
          <t>Grille Box</t>
        </is>
      </c>
      <c r="C65" s="524" t="n">
        <v>60.1</v>
      </c>
      <c r="D65" s="525" t="n"/>
      <c r="E65" s="526" t="n">
        <v>64.90000000000001</v>
      </c>
      <c r="F65" s="527" t="n"/>
      <c r="G65" s="528" t="n">
        <v>70.14</v>
      </c>
      <c r="H65" s="525" t="n"/>
      <c r="I65" s="529" t="n">
        <v>75.73999999999999</v>
      </c>
      <c r="J65" s="527" t="n"/>
      <c r="K65" s="528" t="n">
        <v>81.87</v>
      </c>
      <c r="L65" s="525" t="n"/>
      <c r="M65" s="529" t="n">
        <v>88.40000000000001</v>
      </c>
      <c r="N65" s="527" t="n"/>
      <c r="O65" s="554" t="n">
        <v>95.55</v>
      </c>
      <c r="P65" s="525" t="n"/>
      <c r="Q65" s="531" t="n"/>
      <c r="R65" s="532">
        <f>SUM(C65*D65+E65*F65+G65*H65+I65*J65+K65*L65+M65*+N65+O65*P65)</f>
        <v/>
      </c>
    </row>
    <row r="66" ht="15" customHeight="1" s="1085">
      <c r="B66" s="523" t="inlineStr">
        <is>
          <t>Flange</t>
        </is>
      </c>
      <c r="C66" s="524" t="n">
        <v>19.34</v>
      </c>
      <c r="D66" s="525" t="n"/>
      <c r="E66" s="526" t="n">
        <v>20.8</v>
      </c>
      <c r="F66" s="527" t="n"/>
      <c r="G66" s="528" t="n">
        <v>22.32</v>
      </c>
      <c r="H66" s="525" t="n"/>
      <c r="I66" s="529" t="n">
        <v>24.01</v>
      </c>
      <c r="J66" s="527" t="n"/>
      <c r="K66" s="528" t="n">
        <v>25.76</v>
      </c>
      <c r="L66" s="525" t="n"/>
      <c r="M66" s="529" t="n">
        <v>27.71</v>
      </c>
      <c r="N66" s="527" t="n"/>
      <c r="O66" s="554" t="n">
        <v>29.73</v>
      </c>
      <c r="P66" s="525" t="n"/>
      <c r="Q66" s="531" t="n"/>
      <c r="R66" s="532">
        <f>SUM(C66*D66+E66*F66+G66*H66+I66*J66+K66*L66+M66*+N66+O66*P66)</f>
        <v/>
      </c>
    </row>
    <row r="67" ht="15" customHeight="1" s="1085">
      <c r="B67" s="523" t="inlineStr">
        <is>
          <t>Access Door</t>
        </is>
      </c>
      <c r="C67" s="524" t="n">
        <v>48</v>
      </c>
      <c r="D67" s="525" t="n"/>
      <c r="E67" s="526" t="n">
        <v>48</v>
      </c>
      <c r="F67" s="527" t="n"/>
      <c r="G67" s="528" t="n">
        <v>48</v>
      </c>
      <c r="H67" s="525" t="n"/>
      <c r="I67" s="529" t="n">
        <v>48</v>
      </c>
      <c r="J67" s="527" t="n"/>
      <c r="K67" s="528" t="n">
        <v>48</v>
      </c>
      <c r="L67" s="525" t="n"/>
      <c r="M67" s="529" t="n">
        <v>48</v>
      </c>
      <c r="N67" s="527" t="n"/>
      <c r="O67" s="554" t="n">
        <v>48</v>
      </c>
      <c r="P67" s="525" t="n"/>
      <c r="Q67" s="531" t="n"/>
      <c r="R67" s="532">
        <f>SUM(C67*D67+E67*F67+G67*H67+I67*J67+K67*L67+M67*+N67+O67*P67)</f>
        <v/>
      </c>
    </row>
    <row r="68" ht="15" customHeight="1" s="1085">
      <c r="B68" s="523" t="inlineStr">
        <is>
          <t>VCD</t>
        </is>
      </c>
      <c r="C68" s="524" t="n">
        <v>97.22</v>
      </c>
      <c r="D68" s="525" t="n"/>
      <c r="E68" s="526" t="n">
        <v>104.74</v>
      </c>
      <c r="F68" s="527" t="n"/>
      <c r="G68" s="528" t="n">
        <v>112.19</v>
      </c>
      <c r="H68" s="525" t="n"/>
      <c r="I68" s="529" t="n">
        <v>119.05</v>
      </c>
      <c r="J68" s="527" t="n"/>
      <c r="K68" s="528" t="n">
        <v>127.24</v>
      </c>
      <c r="L68" s="525" t="n"/>
      <c r="M68" s="529" t="n">
        <v>148.56</v>
      </c>
      <c r="N68" s="527" t="n"/>
      <c r="O68" s="554" t="n">
        <v>157.18</v>
      </c>
      <c r="P68" s="525" t="n"/>
      <c r="Q68" s="531" t="n"/>
      <c r="R68" s="532">
        <f>SUM(C68*D68+E68*F68+G68*H68+I68*J68+K68*L68+M68*+N68+O68*P68)</f>
        <v/>
      </c>
    </row>
    <row r="69" ht="15" customHeight="1" s="1085">
      <c r="B69" s="533" t="n"/>
      <c r="C69" s="534" t="n"/>
      <c r="D69" s="535" t="n"/>
      <c r="E69" s="535" t="n"/>
      <c r="F69" s="535" t="n"/>
      <c r="G69" s="535" t="n"/>
      <c r="H69" s="535" t="n"/>
      <c r="I69" s="535" t="n"/>
      <c r="J69" s="535" t="n"/>
      <c r="K69" s="535" t="n"/>
      <c r="L69" s="535" t="n"/>
      <c r="M69" s="535" t="n"/>
      <c r="N69" s="535" t="n"/>
      <c r="O69" s="530" t="n"/>
      <c r="P69" s="535" t="n"/>
      <c r="Q69" s="624" t="inlineStr">
        <is>
          <t>S/TOTAL</t>
        </is>
      </c>
      <c r="R69" s="541">
        <f>SUM(R52:R68)</f>
        <v/>
      </c>
    </row>
    <row r="70" ht="15" customHeight="1" s="1085">
      <c r="B70" s="523" t="inlineStr">
        <is>
          <t>Supports</t>
        </is>
      </c>
      <c r="C70" s="537" t="n"/>
      <c r="D70" s="538" t="n"/>
      <c r="E70" s="538" t="n"/>
      <c r="F70" s="538" t="n"/>
      <c r="G70" s="538" t="n"/>
      <c r="H70" s="538" t="n"/>
      <c r="I70" s="538" t="n"/>
      <c r="J70" s="538" t="n"/>
      <c r="K70" s="538" t="n"/>
      <c r="L70" s="538" t="n"/>
      <c r="M70" s="538" t="n"/>
      <c r="N70" s="538" t="n"/>
      <c r="O70" s="539" t="n"/>
      <c r="P70" s="538" t="n"/>
      <c r="Q70" s="540" t="n">
        <v>0.15</v>
      </c>
      <c r="R70" s="541">
        <f>SUM(R69*0.15)</f>
        <v/>
      </c>
    </row>
    <row r="71" ht="16" customHeight="1" s="1085" thickBot="1">
      <c r="B71" s="542" t="n"/>
      <c r="C71" s="543" t="n"/>
      <c r="D71" s="544" t="n"/>
      <c r="E71" s="544" t="n"/>
      <c r="F71" s="544" t="n"/>
      <c r="G71" s="544" t="n"/>
      <c r="H71" s="544" t="n"/>
      <c r="I71" s="544" t="n"/>
      <c r="J71" s="544" t="n"/>
      <c r="K71" s="544" t="n"/>
      <c r="L71" s="544" t="n"/>
      <c r="M71" s="544" t="n"/>
      <c r="N71" s="544" t="n"/>
      <c r="O71" s="545" t="n"/>
      <c r="P71" s="544" t="n"/>
      <c r="Q71" s="546" t="inlineStr">
        <is>
          <t>TOTAL</t>
        </is>
      </c>
      <c r="R71" s="547">
        <f>SUM(R69+R70)</f>
        <v/>
      </c>
    </row>
    <row r="73" ht="14" customHeight="1" s="1085" thickBot="1"/>
    <row r="74" ht="15" customHeight="1" s="1085">
      <c r="C74" s="503" t="inlineStr">
        <is>
          <t>Size</t>
        </is>
      </c>
      <c r="D74" s="504" t="inlineStr">
        <is>
          <t>No. Off</t>
        </is>
      </c>
      <c r="E74" s="504" t="inlineStr">
        <is>
          <t>Size</t>
        </is>
      </c>
      <c r="F74" s="504" t="inlineStr">
        <is>
          <t>No. Off</t>
        </is>
      </c>
      <c r="G74" s="504" t="inlineStr">
        <is>
          <t>Size</t>
        </is>
      </c>
      <c r="H74" s="504" t="inlineStr">
        <is>
          <t>No. Off</t>
        </is>
      </c>
      <c r="I74" s="504" t="inlineStr">
        <is>
          <t>Size</t>
        </is>
      </c>
      <c r="J74" s="504" t="inlineStr">
        <is>
          <t>No. Off</t>
        </is>
      </c>
      <c r="K74" s="504" t="inlineStr">
        <is>
          <t>Size</t>
        </is>
      </c>
      <c r="L74" s="504" t="inlineStr">
        <is>
          <t>No. Off</t>
        </is>
      </c>
      <c r="M74" s="504" t="inlineStr">
        <is>
          <t>Size</t>
        </is>
      </c>
      <c r="N74" s="504" t="inlineStr">
        <is>
          <t>No. Off</t>
        </is>
      </c>
      <c r="O74" s="504" t="inlineStr">
        <is>
          <t>Size</t>
        </is>
      </c>
      <c r="P74" s="504" t="inlineStr">
        <is>
          <t>No. Off</t>
        </is>
      </c>
      <c r="Q74" s="505" t="n"/>
      <c r="R74" s="506" t="inlineStr">
        <is>
          <t>Total</t>
        </is>
      </c>
    </row>
    <row r="75" ht="16" customHeight="1" s="1085" thickBot="1">
      <c r="C75" s="507" t="inlineStr">
        <is>
          <t>1150x1150</t>
        </is>
      </c>
      <c r="D75" s="508" t="n"/>
      <c r="E75" s="509" t="inlineStr">
        <is>
          <t>1200x1200</t>
        </is>
      </c>
      <c r="F75" s="508" t="n"/>
      <c r="G75" s="510" t="inlineStr">
        <is>
          <t>1250x1250</t>
        </is>
      </c>
      <c r="H75" s="508" t="n"/>
      <c r="I75" s="509" t="inlineStr">
        <is>
          <t>1300x1300</t>
        </is>
      </c>
      <c r="J75" s="508" t="n"/>
      <c r="K75" s="510" t="inlineStr">
        <is>
          <t>1350x1350</t>
        </is>
      </c>
      <c r="L75" s="508" t="n"/>
      <c r="M75" s="509" t="inlineStr">
        <is>
          <t>1400x1400</t>
        </is>
      </c>
      <c r="N75" s="508" t="n"/>
      <c r="O75" s="510" t="inlineStr">
        <is>
          <t>1450x1450</t>
        </is>
      </c>
      <c r="P75" s="508" t="n"/>
      <c r="Q75" s="512" t="n"/>
      <c r="R75" s="513" t="n"/>
    </row>
    <row r="76" ht="15" customHeight="1" s="1085">
      <c r="B76" s="514" t="inlineStr">
        <is>
          <t>Spigot</t>
        </is>
      </c>
      <c r="C76" s="515" t="n">
        <v>76.15000000000001</v>
      </c>
      <c r="D76" s="516" t="n"/>
      <c r="E76" s="517" t="n">
        <v>83.23</v>
      </c>
      <c r="F76" s="518" t="n"/>
      <c r="G76" s="519" t="n">
        <v>89.54000000000001</v>
      </c>
      <c r="H76" s="516" t="n"/>
      <c r="I76" s="520" t="n">
        <v>96.06</v>
      </c>
      <c r="J76" s="518" t="n"/>
      <c r="K76" s="519" t="n">
        <v>103.35</v>
      </c>
      <c r="L76" s="516" t="n"/>
      <c r="M76" s="520" t="n">
        <v>110.87</v>
      </c>
      <c r="N76" s="518" t="n"/>
      <c r="O76" s="553" t="n">
        <v>119.28</v>
      </c>
      <c r="P76" s="516" t="n"/>
      <c r="Q76" s="505" t="n"/>
      <c r="R76" s="522">
        <f>SUM(C76*D76+E76*F76+G76*H76+I76*J76+K76*L76+M76*+N76+O76*P76)</f>
        <v/>
      </c>
    </row>
    <row r="77" ht="15" customHeight="1" s="1085">
      <c r="B77" s="523" t="inlineStr">
        <is>
          <t>1.5m Sraight</t>
        </is>
      </c>
      <c r="C77" s="524" t="n">
        <v>205.42</v>
      </c>
      <c r="D77" s="525" t="n"/>
      <c r="E77" s="526" t="n">
        <v>224.08</v>
      </c>
      <c r="F77" s="527" t="n"/>
      <c r="G77" s="528" t="n">
        <v>241.97</v>
      </c>
      <c r="H77" s="525" t="n"/>
      <c r="I77" s="529" t="n">
        <v>261.53</v>
      </c>
      <c r="J77" s="527" t="n"/>
      <c r="K77" s="528" t="n">
        <v>282.41</v>
      </c>
      <c r="L77" s="525" t="n"/>
      <c r="M77" s="529" t="n">
        <v>305.24</v>
      </c>
      <c r="N77" s="527" t="n"/>
      <c r="O77" s="554" t="n">
        <v>329.62</v>
      </c>
      <c r="P77" s="525" t="n"/>
      <c r="Q77" s="531" t="n"/>
      <c r="R77" s="532">
        <f>SUM(C77*D77+E77*F77+G77*H77+I77*J77+K77*L77+M77*+N77+O77*P77)</f>
        <v/>
      </c>
    </row>
    <row r="78" ht="15" customHeight="1" s="1085">
      <c r="B78" s="523" t="inlineStr">
        <is>
          <t>90 Rad Bend</t>
        </is>
      </c>
      <c r="C78" s="524" t="n">
        <v>285.15</v>
      </c>
      <c r="D78" s="525" t="n"/>
      <c r="E78" s="526" t="n">
        <v>307.44</v>
      </c>
      <c r="F78" s="527" t="n"/>
      <c r="G78" s="528" t="n">
        <v>331.46</v>
      </c>
      <c r="H78" s="525" t="n"/>
      <c r="I78" s="529" t="n">
        <v>357.36</v>
      </c>
      <c r="J78" s="527" t="n"/>
      <c r="K78" s="528" t="n">
        <v>385.28</v>
      </c>
      <c r="L78" s="525" t="n"/>
      <c r="M78" s="529" t="n">
        <v>415.38</v>
      </c>
      <c r="N78" s="527" t="n"/>
      <c r="O78" s="554" t="n">
        <v>447.84</v>
      </c>
      <c r="P78" s="525" t="n"/>
      <c r="Q78" s="531" t="n"/>
      <c r="R78" s="532">
        <f>SUM(C78*D78+E78*F78+G78*H78+I78*J78+K78*L78+M78*+N78+O78*P78)</f>
        <v/>
      </c>
    </row>
    <row r="79" ht="15" customHeight="1" s="1085">
      <c r="B79" s="523" t="inlineStr">
        <is>
          <t>45 Bend</t>
        </is>
      </c>
      <c r="C79" s="524" t="n">
        <v>183.71</v>
      </c>
      <c r="D79" s="525" t="n"/>
      <c r="E79" s="526" t="n">
        <v>200.22</v>
      </c>
      <c r="F79" s="527" t="n"/>
      <c r="G79" s="528" t="n">
        <v>215.8</v>
      </c>
      <c r="H79" s="525" t="n"/>
      <c r="I79" s="529" t="n">
        <v>233.03</v>
      </c>
      <c r="J79" s="527" t="n"/>
      <c r="K79" s="528" t="n">
        <v>251.17</v>
      </c>
      <c r="L79" s="525" t="n"/>
      <c r="M79" s="529" t="n">
        <v>271.23</v>
      </c>
      <c r="N79" s="527" t="n"/>
      <c r="O79" s="554" t="n">
        <v>292.34</v>
      </c>
      <c r="P79" s="525" t="n"/>
      <c r="Q79" s="531" t="n"/>
      <c r="R79" s="532">
        <f>SUM(C79*D79+E79*F79+G79*H79+I79*J79+K79*L79+M79*+N79+O79*P79)</f>
        <v/>
      </c>
    </row>
    <row r="80" ht="15" customHeight="1" s="1085">
      <c r="B80" s="523" t="inlineStr">
        <is>
          <t>90 Sq Bend</t>
        </is>
      </c>
      <c r="C80" s="524" t="n">
        <v>263.78</v>
      </c>
      <c r="D80" s="525" t="n"/>
      <c r="E80" s="526" t="n">
        <v>287.74</v>
      </c>
      <c r="F80" s="527" t="n"/>
      <c r="G80" s="528" t="n">
        <v>312.44</v>
      </c>
      <c r="H80" s="525" t="n"/>
      <c r="I80" s="529" t="n">
        <v>337.7</v>
      </c>
      <c r="J80" s="527" t="n"/>
      <c r="K80" s="528" t="n">
        <v>366.69</v>
      </c>
      <c r="L80" s="525" t="n"/>
      <c r="M80" s="529" t="n">
        <v>396.33</v>
      </c>
      <c r="N80" s="527" t="n"/>
      <c r="O80" s="554" t="n">
        <v>430.36</v>
      </c>
      <c r="P80" s="525" t="n"/>
      <c r="Q80" s="531" t="n"/>
      <c r="R80" s="532">
        <f>SUM(C80*D80+E80*F80+G80*H80+I80*J80+K80*L80+M80*+N80+O80*P80)</f>
        <v/>
      </c>
    </row>
    <row r="81" ht="15" customHeight="1" s="1085">
      <c r="B81" s="523" t="inlineStr">
        <is>
          <t>Rad Tee</t>
        </is>
      </c>
      <c r="C81" s="524" t="n">
        <v>413.37</v>
      </c>
      <c r="D81" s="525" t="n"/>
      <c r="E81" s="526" t="n">
        <v>445.66</v>
      </c>
      <c r="F81" s="527" t="n"/>
      <c r="G81" s="528" t="n">
        <v>480.49</v>
      </c>
      <c r="H81" s="525" t="n"/>
      <c r="I81" s="529" t="n">
        <v>518.03</v>
      </c>
      <c r="J81" s="527" t="n"/>
      <c r="K81" s="528" t="n">
        <v>558.51</v>
      </c>
      <c r="L81" s="525" t="n"/>
      <c r="M81" s="529" t="n">
        <v>602.14</v>
      </c>
      <c r="N81" s="527" t="n"/>
      <c r="O81" s="554" t="n">
        <v>649.1900000000001</v>
      </c>
      <c r="P81" s="525" t="n"/>
      <c r="Q81" s="531" t="n"/>
      <c r="R81" s="532">
        <f>SUM(C81*D81+E81*F81+G81*H81+I81*J81+K81*L81+M81*+N81+O81*P81)</f>
        <v/>
      </c>
    </row>
    <row r="82" ht="15" customHeight="1" s="1085">
      <c r="B82" s="523" t="inlineStr">
        <is>
          <t>Square Tee</t>
        </is>
      </c>
      <c r="C82" s="524" t="n">
        <v>294.62</v>
      </c>
      <c r="D82" s="525" t="n"/>
      <c r="E82" s="526" t="n">
        <v>321.39</v>
      </c>
      <c r="F82" s="527" t="n"/>
      <c r="G82" s="528" t="n">
        <v>348.97</v>
      </c>
      <c r="H82" s="525" t="n"/>
      <c r="I82" s="529" t="n">
        <v>377.19</v>
      </c>
      <c r="J82" s="527" t="n"/>
      <c r="K82" s="528" t="n">
        <v>409.56</v>
      </c>
      <c r="L82" s="525" t="n"/>
      <c r="M82" s="529" t="n">
        <v>442.67</v>
      </c>
      <c r="N82" s="527" t="n"/>
      <c r="O82" s="554" t="n">
        <v>480.67</v>
      </c>
      <c r="P82" s="525" t="n"/>
      <c r="Q82" s="531" t="n"/>
      <c r="R82" s="532">
        <f>SUM(C82*D82+E82*F82+G82*H82+I82*J82+K82*L82+M82*+N82+O82*P82)</f>
        <v/>
      </c>
    </row>
    <row r="83" ht="15" customHeight="1" s="1085">
      <c r="B83" s="523" t="inlineStr">
        <is>
          <t>Taper 0.8m</t>
        </is>
      </c>
      <c r="C83" s="524" t="n">
        <v>227.62</v>
      </c>
      <c r="D83" s="525" t="n"/>
      <c r="E83" s="526" t="n">
        <v>246.03</v>
      </c>
      <c r="F83" s="527" t="n"/>
      <c r="G83" s="528" t="n">
        <v>265.67</v>
      </c>
      <c r="H83" s="525" t="n"/>
      <c r="I83" s="529" t="n">
        <v>287.15</v>
      </c>
      <c r="J83" s="527" t="n"/>
      <c r="K83" s="528" t="n">
        <v>310.07</v>
      </c>
      <c r="L83" s="525" t="n"/>
      <c r="M83" s="529" t="n">
        <v>335.14</v>
      </c>
      <c r="N83" s="527" t="n"/>
      <c r="O83" s="554" t="n">
        <v>361.89</v>
      </c>
      <c r="P83" s="525" t="n"/>
      <c r="Q83" s="531" t="n"/>
      <c r="R83" s="532">
        <f>SUM(C83*D83+E83*F83+G83*H83+I83*J83+K83*L83+M83*+N83+O83*P83)</f>
        <v/>
      </c>
    </row>
    <row r="84" ht="15" customHeight="1" s="1085">
      <c r="B84" s="523" t="inlineStr">
        <is>
          <t>Offset 0.8m</t>
        </is>
      </c>
      <c r="C84" s="524" t="n">
        <v>227.62</v>
      </c>
      <c r="D84" s="525" t="n"/>
      <c r="E84" s="526" t="n">
        <v>246.03</v>
      </c>
      <c r="F84" s="527" t="n"/>
      <c r="G84" s="528" t="n">
        <v>265.67</v>
      </c>
      <c r="H84" s="525" t="n"/>
      <c r="I84" s="529" t="n">
        <v>287.15</v>
      </c>
      <c r="J84" s="527" t="n"/>
      <c r="K84" s="528" t="n">
        <v>310.07</v>
      </c>
      <c r="L84" s="525" t="n"/>
      <c r="M84" s="529" t="n">
        <v>335.14</v>
      </c>
      <c r="N84" s="527" t="n"/>
      <c r="O84" s="554" t="n">
        <v>361.89</v>
      </c>
      <c r="P84" s="525" t="n"/>
      <c r="Q84" s="531" t="n"/>
      <c r="R84" s="532">
        <f>SUM(C84*D84+E84*F84+G84*H84+I84*J84+K84*L84+M84*+N84+O84*P84)</f>
        <v/>
      </c>
    </row>
    <row r="85" ht="15" customHeight="1" s="1085">
      <c r="B85" s="523" t="inlineStr">
        <is>
          <t>Sq to Round</t>
        </is>
      </c>
      <c r="C85" s="524" t="n">
        <v>207.83</v>
      </c>
      <c r="D85" s="525" t="n"/>
      <c r="E85" s="526" t="n">
        <v>224.43</v>
      </c>
      <c r="F85" s="527" t="n"/>
      <c r="G85" s="528" t="n">
        <v>241.9</v>
      </c>
      <c r="H85" s="525" t="n"/>
      <c r="I85" s="529" t="n">
        <v>261.21</v>
      </c>
      <c r="J85" s="527" t="n"/>
      <c r="K85" s="528" t="n">
        <v>281.54</v>
      </c>
      <c r="L85" s="525" t="n"/>
      <c r="M85" s="529" t="n">
        <v>304.02</v>
      </c>
      <c r="N85" s="527" t="n"/>
      <c r="O85" s="554" t="n">
        <v>327.68</v>
      </c>
      <c r="P85" s="525" t="n"/>
      <c r="Q85" s="531" t="n"/>
      <c r="R85" s="532">
        <f>SUM(C85*D85+E85*F85+G85*H85+I85*J85+K85*L85+M85*+N85+O85*P85)</f>
        <v/>
      </c>
    </row>
    <row r="86" ht="15" customHeight="1" s="1085">
      <c r="B86" s="523" t="inlineStr">
        <is>
          <t>Shoe</t>
        </is>
      </c>
      <c r="C86" s="524" t="n">
        <v>120.26</v>
      </c>
      <c r="D86" s="525" t="n"/>
      <c r="E86" s="526" t="n">
        <v>129.02</v>
      </c>
      <c r="F86" s="527" t="n"/>
      <c r="G86" s="528" t="n">
        <v>138.8</v>
      </c>
      <c r="H86" s="525" t="n"/>
      <c r="I86" s="529" t="n">
        <v>148.91</v>
      </c>
      <c r="J86" s="527" t="n"/>
      <c r="K86" s="528" t="n">
        <v>160.21</v>
      </c>
      <c r="L86" s="525" t="n"/>
      <c r="M86" s="529" t="n">
        <v>171.88</v>
      </c>
      <c r="N86" s="527" t="n"/>
      <c r="O86" s="554" t="n">
        <v>184.91</v>
      </c>
      <c r="P86" s="525" t="n"/>
      <c r="Q86" s="531" t="n"/>
      <c r="R86" s="532">
        <f>SUM(C86*D86+E86*F86+G86*H86+I86*J86+K86*L86+M86*+N86+O86*P86)</f>
        <v/>
      </c>
    </row>
    <row r="87" ht="15" customHeight="1" s="1085">
      <c r="B87" s="523" t="inlineStr">
        <is>
          <t>Blank End</t>
        </is>
      </c>
      <c r="C87" s="524" t="n">
        <v>32.4</v>
      </c>
      <c r="D87" s="525" t="n"/>
      <c r="E87" s="526" t="n">
        <v>35.34</v>
      </c>
      <c r="F87" s="527" t="n"/>
      <c r="G87" s="528" t="n">
        <v>38.52</v>
      </c>
      <c r="H87" s="525" t="n"/>
      <c r="I87" s="529" t="n">
        <v>42.01</v>
      </c>
      <c r="J87" s="527" t="n"/>
      <c r="K87" s="528" t="n">
        <v>45.79</v>
      </c>
      <c r="L87" s="525" t="n"/>
      <c r="M87" s="529" t="n">
        <v>49.95</v>
      </c>
      <c r="N87" s="527" t="n"/>
      <c r="O87" s="554" t="n">
        <v>54.44</v>
      </c>
      <c r="P87" s="525" t="n"/>
      <c r="Q87" s="531" t="n"/>
      <c r="R87" s="532">
        <f>SUM(C87*D87+E87*F87+G87*H87+I87*J87+K87*L87+M87*+N87+O87*P87)</f>
        <v/>
      </c>
    </row>
    <row r="88" ht="15" customHeight="1" s="1085">
      <c r="B88" s="523" t="inlineStr">
        <is>
          <t>Grille Box</t>
        </is>
      </c>
      <c r="C88" s="524" t="n">
        <v>103.18</v>
      </c>
      <c r="D88" s="525" t="n"/>
      <c r="E88" s="526" t="n">
        <v>111.52</v>
      </c>
      <c r="F88" s="527" t="n"/>
      <c r="G88" s="528" t="n">
        <v>120.42</v>
      </c>
      <c r="H88" s="525" t="n"/>
      <c r="I88" s="529" t="n">
        <v>130.16</v>
      </c>
      <c r="J88" s="527" t="n"/>
      <c r="K88" s="528" t="n">
        <v>140.55</v>
      </c>
      <c r="L88" s="525" t="n"/>
      <c r="M88" s="529" t="n">
        <v>151.91</v>
      </c>
      <c r="N88" s="527" t="n"/>
      <c r="O88" s="554" t="n">
        <v>164.04</v>
      </c>
      <c r="P88" s="525" t="n"/>
      <c r="Q88" s="531" t="n"/>
      <c r="R88" s="532">
        <f>SUM(C88*D88+E88*F88+G88*H88+I88*J88+K88*L88+M88*+N88+O88*P88)</f>
        <v/>
      </c>
    </row>
    <row r="89" ht="15" customHeight="1" s="1085">
      <c r="B89" s="523" t="inlineStr">
        <is>
          <t>Flange</t>
        </is>
      </c>
      <c r="C89" s="524" t="n">
        <v>31.99</v>
      </c>
      <c r="D89" s="525" t="n"/>
      <c r="E89" s="526" t="n">
        <v>34.32</v>
      </c>
      <c r="F89" s="527" t="n"/>
      <c r="G89" s="528" t="n">
        <v>36.92</v>
      </c>
      <c r="H89" s="525" t="n"/>
      <c r="I89" s="529" t="n">
        <v>39.61</v>
      </c>
      <c r="J89" s="527" t="n"/>
      <c r="K89" s="528" t="n">
        <v>42.61</v>
      </c>
      <c r="L89" s="525" t="n"/>
      <c r="M89" s="529" t="n">
        <v>45.72</v>
      </c>
      <c r="N89" s="527" t="n"/>
      <c r="O89" s="554" t="n">
        <v>49.18</v>
      </c>
      <c r="P89" s="525" t="n"/>
      <c r="Q89" s="531" t="n"/>
      <c r="R89" s="532">
        <f>SUM(C89*D89+E89*F89+G89*H89+I89*J89+K89*L89+M89*+N89+O89*P89)</f>
        <v/>
      </c>
    </row>
    <row r="90" ht="15" customHeight="1" s="1085">
      <c r="B90" s="523" t="inlineStr">
        <is>
          <t>Access Door</t>
        </is>
      </c>
      <c r="C90" s="524" t="n">
        <v>48</v>
      </c>
      <c r="D90" s="525" t="n"/>
      <c r="E90" s="526" t="n">
        <v>48</v>
      </c>
      <c r="F90" s="527" t="n"/>
      <c r="G90" s="528" t="n">
        <v>48</v>
      </c>
      <c r="H90" s="525" t="n"/>
      <c r="I90" s="529" t="n">
        <v>48</v>
      </c>
      <c r="J90" s="527" t="n"/>
      <c r="K90" s="528" t="n">
        <v>48</v>
      </c>
      <c r="L90" s="525" t="n"/>
      <c r="M90" s="529" t="n">
        <v>48</v>
      </c>
      <c r="N90" s="527" t="n"/>
      <c r="O90" s="554" t="n">
        <v>48</v>
      </c>
      <c r="P90" s="525" t="n"/>
      <c r="Q90" s="531" t="n"/>
      <c r="R90" s="532">
        <f>SUM(C90*D90+E90*F90+G90*H90+I90*J90+K90*L90+M90*+N90+O90*P90)</f>
        <v/>
      </c>
    </row>
    <row r="91" ht="15" customHeight="1" s="1085">
      <c r="B91" s="523" t="inlineStr">
        <is>
          <t>VCD</t>
        </is>
      </c>
      <c r="C91" s="524" t="n"/>
      <c r="D91" s="525" t="n"/>
      <c r="E91" s="526" t="n"/>
      <c r="F91" s="527" t="n"/>
      <c r="G91" s="528" t="n"/>
      <c r="H91" s="525" t="n"/>
      <c r="I91" s="529" t="n"/>
      <c r="J91" s="527" t="n"/>
      <c r="K91" s="528" t="n"/>
      <c r="L91" s="525" t="n"/>
      <c r="M91" s="529" t="n"/>
      <c r="N91" s="527" t="n"/>
      <c r="O91" s="554" t="n"/>
      <c r="P91" s="525" t="n"/>
      <c r="Q91" s="531" t="n"/>
      <c r="R91" s="532">
        <f>SUM(C91*D91+E91*F91+G91*H91+I91*J91+K91*L91+M91*+N91+O91*P91)</f>
        <v/>
      </c>
    </row>
    <row r="92" ht="15" customHeight="1" s="1085">
      <c r="B92" s="533" t="n"/>
      <c r="C92" s="534" t="n"/>
      <c r="D92" s="535" t="n"/>
      <c r="E92" s="535" t="n"/>
      <c r="F92" s="535" t="n"/>
      <c r="G92" s="535" t="n"/>
      <c r="H92" s="535" t="n"/>
      <c r="I92" s="535" t="n"/>
      <c r="J92" s="535" t="n"/>
      <c r="K92" s="535" t="n"/>
      <c r="L92" s="535" t="n"/>
      <c r="M92" s="535" t="n"/>
      <c r="N92" s="535" t="n"/>
      <c r="O92" s="530" t="n"/>
      <c r="P92" s="535" t="n"/>
      <c r="Q92" s="624" t="inlineStr">
        <is>
          <t>S/TOTAL</t>
        </is>
      </c>
      <c r="R92" s="541">
        <f>SUM(R75:R91)</f>
        <v/>
      </c>
    </row>
    <row r="93" ht="15" customHeight="1" s="1085">
      <c r="B93" s="523" t="inlineStr">
        <is>
          <t>Supports</t>
        </is>
      </c>
      <c r="C93" s="537" t="n"/>
      <c r="D93" s="538" t="n"/>
      <c r="E93" s="538" t="n"/>
      <c r="F93" s="538" t="n"/>
      <c r="G93" s="538" t="n"/>
      <c r="H93" s="538" t="n"/>
      <c r="I93" s="538" t="n"/>
      <c r="J93" s="538" t="n"/>
      <c r="K93" s="538" t="n"/>
      <c r="L93" s="538" t="n"/>
      <c r="M93" s="538" t="n"/>
      <c r="N93" s="538" t="n"/>
      <c r="O93" s="539" t="n"/>
      <c r="P93" s="538" t="n"/>
      <c r="Q93" s="540" t="n">
        <v>0.15</v>
      </c>
      <c r="R93" s="541">
        <f>SUM(R92*0.15)</f>
        <v/>
      </c>
    </row>
    <row r="94" ht="16" customHeight="1" s="1085" thickBot="1">
      <c r="B94" s="542" t="n"/>
      <c r="C94" s="543" t="n"/>
      <c r="D94" s="544" t="n"/>
      <c r="E94" s="544" t="n"/>
      <c r="F94" s="544" t="n"/>
      <c r="G94" s="544" t="n"/>
      <c r="H94" s="544" t="n"/>
      <c r="I94" s="544" t="n"/>
      <c r="J94" s="544" t="n"/>
      <c r="K94" s="544" t="n"/>
      <c r="L94" s="544" t="n"/>
      <c r="M94" s="544" t="n"/>
      <c r="N94" s="544" t="n"/>
      <c r="O94" s="545" t="n"/>
      <c r="P94" s="544" t="n"/>
      <c r="Q94" s="546" t="inlineStr">
        <is>
          <t>TOTAL</t>
        </is>
      </c>
      <c r="R94" s="547">
        <f>SUM(R92+R93)</f>
        <v/>
      </c>
    </row>
  </sheetData>
  <mergeCells count="4">
    <mergeCell ref="H2:L2"/>
    <mergeCell ref="B3:O3"/>
    <mergeCell ref="N2:O2"/>
    <mergeCell ref="B2:E2"/>
  </mergeCells>
  <pageMargins left="0.7" right="0.7" top="0.75" bottom="0.75" header="0.3" footer="0.3"/>
  <pageSetup orientation="portrait" paperSize="9"/>
</worksheet>
</file>

<file path=xl/worksheets/sheet40.xml><?xml version="1.0" encoding="utf-8"?>
<worksheet xmlns="http://schemas.openxmlformats.org/spreadsheetml/2006/main">
  <sheetPr>
    <tabColor theme="8" tint="0.7999816888943144"/>
    <outlinePr summaryBelow="1" summaryRight="1"/>
    <pageSetUpPr fitToPage="1"/>
  </sheetPr>
  <dimension ref="A1:AB161"/>
  <sheetViews>
    <sheetView showGridLines="0" zoomScale="70" zoomScaleNormal="70" zoomScaleSheetLayoutView="50" workbookViewId="0">
      <selection activeCell="Q35" sqref="Q35"/>
    </sheetView>
  </sheetViews>
  <sheetFormatPr baseColWidth="10" defaultColWidth="8.83203125" defaultRowHeight="15" customHeight="1"/>
  <cols>
    <col width="2" customWidth="1" style="215" min="1" max="2"/>
    <col width="39.5" customWidth="1" style="1070" min="3" max="3"/>
    <col width="39.83203125" customWidth="1" style="1070" min="4" max="4"/>
    <col width="27.1640625" customWidth="1" style="1070" min="5" max="5"/>
    <col width="16.83203125" customWidth="1" style="1070" min="6" max="6"/>
    <col width="15.5" customWidth="1" style="1070" min="7" max="7"/>
    <col width="19.6640625" customWidth="1" style="1070" min="8" max="8"/>
    <col width="10" bestFit="1" customWidth="1" style="1072" min="9" max="9"/>
    <col width="14.83203125" bestFit="1" customWidth="1" style="1073" min="10" max="10"/>
    <col width="17.5" customWidth="1" style="228" min="11" max="11"/>
    <col width="10.5" customWidth="1" style="228" min="12" max="12"/>
    <col hidden="1" width="10.6640625" customWidth="1" style="346" min="13" max="13"/>
    <col width="14.5" bestFit="1" customWidth="1" style="1073" min="14" max="14"/>
    <col width="13.6640625" bestFit="1" customWidth="1" style="14" min="15" max="15"/>
    <col width="8.83203125" customWidth="1" style="1070" min="16" max="17"/>
    <col width="18.6640625" customWidth="1" style="1070" min="18" max="18"/>
    <col width="8.83203125" customWidth="1" style="1070" min="19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0"/>
    <col width="8.83203125" customWidth="1" style="1070" min="101" max="16384"/>
  </cols>
  <sheetData>
    <row r="1" ht="15" customHeight="1" s="1085">
      <c r="C1" s="1148" t="inlineStr">
        <is>
          <t xml:space="preserve">F24-19    EDGE BOX COST SHEET </t>
        </is>
      </c>
      <c r="E1" s="216" t="n"/>
      <c r="F1" s="216" t="n"/>
      <c r="G1" s="216" t="n"/>
      <c r="H1" s="216" t="n"/>
      <c r="I1" s="29" t="n"/>
      <c r="J1" s="336" t="n"/>
      <c r="K1" s="337" t="n"/>
      <c r="L1" s="338" t="n"/>
      <c r="M1" s="339" t="n"/>
      <c r="N1" s="336" t="n"/>
      <c r="O1" s="975" t="inlineStr">
        <is>
          <t>JAN25-19</t>
        </is>
      </c>
      <c r="S1" s="80" t="n"/>
      <c r="T1" s="218" t="n"/>
    </row>
    <row r="2" ht="15" customHeight="1" s="1085">
      <c r="C2" s="79" t="n"/>
      <c r="D2" s="221" t="n"/>
      <c r="E2" s="221" t="n"/>
      <c r="G2" s="79" t="n"/>
      <c r="H2" s="77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C3" s="78" t="inlineStr">
        <is>
          <t>Job No.</t>
        </is>
      </c>
      <c r="D3" s="1130">
        <f>IF(CANOPY!C3="","",CANOPY!C3)</f>
        <v/>
      </c>
      <c r="G3" s="76" t="inlineStr">
        <is>
          <t>Project Name</t>
        </is>
      </c>
      <c r="H3" s="1071">
        <f>IF(CANOPY!G3="","",CANOPY!G3)</f>
        <v/>
      </c>
      <c r="L3" s="342" t="n"/>
      <c r="M3" s="343" t="n"/>
      <c r="N3" s="344" t="n"/>
      <c r="T3" s="225" t="n"/>
    </row>
    <row r="4" ht="15" customHeight="1" s="1085">
      <c r="C4" s="79" t="n"/>
      <c r="D4" s="223" t="n"/>
      <c r="E4" s="223" t="n"/>
      <c r="G4" s="77" t="n"/>
      <c r="H4" s="222" t="n"/>
      <c r="I4" s="227" t="n"/>
      <c r="J4" s="341" t="n"/>
      <c r="L4" s="342" t="n"/>
      <c r="M4" s="343" t="n"/>
      <c r="N4" s="344" t="n"/>
      <c r="T4" s="225" t="n"/>
    </row>
    <row r="5" ht="15" customHeight="1" s="1085">
      <c r="C5" s="78" t="inlineStr">
        <is>
          <t>Customer</t>
        </is>
      </c>
      <c r="D5" s="1074">
        <f>IF(CANOPY!C5="","",CANOPY!C5)</f>
        <v/>
      </c>
      <c r="G5" s="76" t="inlineStr">
        <is>
          <t>Location</t>
        </is>
      </c>
      <c r="H5" s="1071">
        <f>IF(CANOPY!G5="","",CANOPY!G5)</f>
        <v/>
      </c>
      <c r="M5" s="343" t="n"/>
      <c r="N5" s="344" t="n"/>
      <c r="Q5" s="229" t="n"/>
      <c r="R5" s="229" t="n"/>
      <c r="T5" s="225" t="n"/>
      <c r="U5" s="226" t="n"/>
    </row>
    <row r="6" ht="15" customHeight="1" s="1085">
      <c r="C6" s="78" t="n"/>
      <c r="D6" s="230" t="n"/>
      <c r="E6" s="230" t="n"/>
      <c r="G6" s="76" t="n"/>
      <c r="H6" s="222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C7" s="80" t="inlineStr">
        <is>
          <t>Sales Manager / Estimator initials</t>
        </is>
      </c>
      <c r="D7" s="1074">
        <f>IF(CANOPY!C7="","",CANOPY!C7)</f>
        <v/>
      </c>
      <c r="G7" s="76" t="inlineStr">
        <is>
          <t>Date</t>
        </is>
      </c>
      <c r="H7" s="1075">
        <f>IF(CANOPY!G7="","",CANOPY!G7)</f>
        <v/>
      </c>
      <c r="N7" s="347" t="inlineStr">
        <is>
          <t>Revision No</t>
        </is>
      </c>
      <c r="O7" s="900">
        <f>IF(CANOPY!O7="","",CANOPY!O7)</f>
        <v/>
      </c>
      <c r="P7" s="1157" t="inlineStr">
        <is>
          <t>GP SHOULD BE MINIMUM 44%</t>
        </is>
      </c>
      <c r="T7" s="225" t="n"/>
      <c r="U7" s="226" t="n"/>
      <c r="AA7" s="231" t="n"/>
    </row>
    <row r="8" ht="15" customHeight="1" s="1085">
      <c r="E8" s="219" t="n"/>
      <c r="F8" s="219" t="n"/>
      <c r="H8" s="219" t="n"/>
      <c r="J8" s="346" t="n"/>
      <c r="K8" s="14" t="n"/>
      <c r="T8" s="225" t="n"/>
      <c r="AA8" s="231" t="n"/>
    </row>
    <row r="9" ht="15" customFormat="1" customHeight="1" s="80">
      <c r="A9" s="215" t="n"/>
      <c r="B9" s="215" t="n"/>
      <c r="C9" s="38" t="inlineStr">
        <is>
          <t>CURRENCY</t>
        </is>
      </c>
      <c r="D9" s="951" t="n">
        <v>0</v>
      </c>
      <c r="E9" s="377">
        <f>IF(D9=0,0,(SUBTOTAL(9,M14:M48)/(1-D9))-M9)</f>
        <v/>
      </c>
      <c r="I9" s="234" t="n"/>
      <c r="K9" s="25">
        <f>SUBTOTAL(9,K12:K48)</f>
        <v/>
      </c>
      <c r="L9" s="970">
        <f>IF(O9=0,"-",O9/M9)</f>
        <v/>
      </c>
      <c r="M9" s="25">
        <f>SUBTOTAL(9,M12:M48)</f>
        <v/>
      </c>
      <c r="N9" s="464">
        <f>SUBTOTAL(9,N12:N48)</f>
        <v/>
      </c>
      <c r="O9" s="25">
        <f>SUBTOTAL(9,O12:O48)</f>
        <v/>
      </c>
      <c r="P9" s="1070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215" t="n"/>
      <c r="C12" s="1089" t="inlineStr">
        <is>
          <t xml:space="preserve">ITEM </t>
        </is>
      </c>
      <c r="D12" s="236" t="n"/>
      <c r="E12" s="237">
        <f>E14</f>
        <v/>
      </c>
      <c r="F12" s="838" t="n">
        <v>0</v>
      </c>
      <c r="G12" s="838">
        <f>IF(I12&lt;1,0,CEILING((G14-100)/I14,250))</f>
        <v/>
      </c>
      <c r="H12" s="237">
        <f>E12&amp;G12&amp;F12</f>
        <v/>
      </c>
      <c r="I12" s="236">
        <f>IF(F14=0,0,IF(G14=0,0,(F14/(IF(D14="WALL",F14,(F14/2)))*I14)))</f>
        <v/>
      </c>
      <c r="J12" s="238" t="n"/>
      <c r="K12" s="154">
        <f>SUBTOTAL(9,K14:K34)</f>
        <v/>
      </c>
      <c r="L12" s="15">
        <f>IF(K14=0,"-",O12/M12)</f>
        <v/>
      </c>
      <c r="M12" s="154">
        <f>SUBTOTAL(9,M14:M34)</f>
        <v/>
      </c>
      <c r="N12" s="464">
        <f>SUBTOTAL(9,N14:N34)</f>
        <v/>
      </c>
      <c r="O12" s="154">
        <f>SUBTOTAL(9,O14:O34)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LENGTH</t>
        </is>
      </c>
      <c r="G13" s="10" t="inlineStr">
        <is>
          <t>WIDTH</t>
        </is>
      </c>
      <c r="H13" s="10" t="inlineStr">
        <is>
          <t>HEIGHT</t>
        </is>
      </c>
      <c r="I13" s="10" t="inlineStr">
        <is>
          <t>SECTIONS</t>
        </is>
      </c>
      <c r="J13" s="349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A14" s="215" t="n">
        <v>210</v>
      </c>
      <c r="C14" s="791" t="inlineStr">
        <is>
          <t xml:space="preserve">PS-150 TOUCH SCREEN </t>
        </is>
      </c>
      <c r="D14" s="460" t="inlineStr">
        <is>
          <t>TOUCH SCREEN REMOTE BOX - METAL</t>
        </is>
      </c>
      <c r="E14" s="448" t="n"/>
      <c r="F14" s="837" t="n">
        <v>300</v>
      </c>
      <c r="G14" s="835" t="n">
        <v>95</v>
      </c>
      <c r="H14" s="896" t="n">
        <v>250</v>
      </c>
      <c r="I14" s="31" t="n"/>
      <c r="J14" s="380" t="n">
        <v>419.97</v>
      </c>
      <c r="K14" s="378">
        <f>SUM(J14*E14)</f>
        <v/>
      </c>
      <c r="L14" s="392" t="n">
        <v>0.35</v>
      </c>
      <c r="M14" s="311">
        <f>(K14/(1-L14))*(1+$D$9)</f>
        <v/>
      </c>
      <c r="N14" s="378">
        <f>(M14*VLOOKUP($C$9,'Base Costs'!$A$32:$B$37,2,FALSE))</f>
        <v/>
      </c>
      <c r="O14" s="379">
        <f>M14-K14</f>
        <v/>
      </c>
      <c r="U14" s="229" t="n"/>
      <c r="AA14" s="1070" t="n"/>
    </row>
    <row r="15" ht="15" customHeight="1" s="1085">
      <c r="A15" s="215" t="n">
        <v>104</v>
      </c>
      <c r="C15" s="855" t="inlineStr">
        <is>
          <t>PS-152 EDGE BOX</t>
        </is>
      </c>
      <c r="D15" s="460" t="inlineStr">
        <is>
          <t>PEU/AEU/HOODS (Staged Alarms)</t>
        </is>
      </c>
      <c r="E15" s="448" t="n"/>
      <c r="F15" s="895" t="n">
        <v>380</v>
      </c>
      <c r="G15" s="835" t="n">
        <v>300</v>
      </c>
      <c r="H15" s="896" t="n">
        <v>180</v>
      </c>
      <c r="I15" s="31" t="n"/>
      <c r="J15" s="380" t="n">
        <v>1030.52</v>
      </c>
      <c r="K15" s="378">
        <f>SUM(J15*E15)</f>
        <v/>
      </c>
      <c r="L15" s="392" t="n">
        <v>0.35</v>
      </c>
      <c r="M15" s="311">
        <f>(K15/(1-L15))*(1+$D$9)</f>
        <v/>
      </c>
      <c r="N15" s="378">
        <f>(M15*VLOOKUP($C$9,'Base Costs'!$A$32:$B$37,2,FALSE))</f>
        <v/>
      </c>
      <c r="O15" s="379">
        <f>M15-K15</f>
        <v/>
      </c>
      <c r="U15" s="229" t="n"/>
      <c r="AA15" s="1070" t="n"/>
    </row>
    <row r="16" ht="15" customHeight="1" s="1085">
      <c r="A16" s="215" t="n">
        <v>234</v>
      </c>
      <c r="C16" s="855" t="inlineStr">
        <is>
          <t>PS-153 EDGE BOX</t>
        </is>
      </c>
      <c r="D16" s="460" t="inlineStr">
        <is>
          <t>PEU/HOODS (Staged Alarms)</t>
        </is>
      </c>
      <c r="E16" s="461" t="n"/>
      <c r="F16" s="895" t="n">
        <v>380</v>
      </c>
      <c r="G16" s="835" t="n">
        <v>300</v>
      </c>
      <c r="H16" s="896" t="n">
        <v>180</v>
      </c>
      <c r="I16" s="31" t="n"/>
      <c r="J16" s="380" t="n">
        <v>690.16</v>
      </c>
      <c r="K16" s="378">
        <f>SUM(J16*E16)</f>
        <v/>
      </c>
      <c r="L16" s="392" t="n">
        <v>0.35</v>
      </c>
      <c r="M16" s="311">
        <f>(K16/(1-L16))*(1+$D$9)</f>
        <v/>
      </c>
      <c r="N16" s="378">
        <f>(M16*VLOOKUP($C$9,'Base Costs'!$A$32:$B$37,2,FALSE))</f>
        <v/>
      </c>
      <c r="O16" s="379">
        <f>M16-K16</f>
        <v/>
      </c>
      <c r="U16" s="229" t="n"/>
      <c r="AA16" s="1070" t="n"/>
    </row>
    <row r="17" ht="15" customHeight="1" s="1085">
      <c r="C17" s="855" t="inlineStr">
        <is>
          <t>PS-154 EDGE BOX</t>
        </is>
      </c>
      <c r="D17" s="460" t="inlineStr">
        <is>
          <t>PEU/MRV/HOODS (Staged Alarms)</t>
        </is>
      </c>
      <c r="E17" s="448" t="n"/>
      <c r="F17" s="895" t="n">
        <v>380</v>
      </c>
      <c r="G17" s="895" t="n">
        <v>300</v>
      </c>
      <c r="H17" s="896" t="n">
        <v>180</v>
      </c>
      <c r="I17" s="31" t="n"/>
      <c r="J17" s="380" t="n">
        <v>894.01</v>
      </c>
      <c r="K17" s="378">
        <f>SUM(J17*E17)</f>
        <v/>
      </c>
      <c r="L17" s="392" t="n">
        <v>0.35</v>
      </c>
      <c r="M17" s="311">
        <f>(K17/(1-L17))*(1+$D$9)</f>
        <v/>
      </c>
      <c r="N17" s="378">
        <f>(M17*VLOOKUP($C$9,'Base Costs'!$A$32:$B$37,2,FALSE))</f>
        <v/>
      </c>
      <c r="O17" s="379">
        <f>M17-K17</f>
        <v/>
      </c>
      <c r="U17" s="229" t="n"/>
      <c r="AA17" s="1070" t="n"/>
    </row>
    <row r="18" ht="15" customHeight="1" s="1085">
      <c r="C18" s="855" t="inlineStr">
        <is>
          <t>PS-155 EDGE BOX</t>
        </is>
      </c>
      <c r="D18" s="460" t="inlineStr">
        <is>
          <t>PEU/AEU/ MRV/HOOD (No Staged Alarms)</t>
        </is>
      </c>
      <c r="E18" s="448" t="n"/>
      <c r="F18" s="895" t="n">
        <v>380</v>
      </c>
      <c r="G18" s="895" t="n">
        <v>300</v>
      </c>
      <c r="H18" s="896" t="n">
        <v>180</v>
      </c>
      <c r="I18" s="31" t="n"/>
      <c r="J18" s="380" t="n">
        <v>1039.58</v>
      </c>
      <c r="K18" s="378">
        <f>SUM(J18*E18)</f>
        <v/>
      </c>
      <c r="L18" s="392" t="n">
        <v>0.35</v>
      </c>
      <c r="M18" s="311">
        <f>(K18/(1-L18))*(1+$D$9)</f>
        <v/>
      </c>
      <c r="N18" s="378">
        <f>(M18*VLOOKUP($C$9,'Base Costs'!$A$32:$B$37,2,FALSE))</f>
        <v/>
      </c>
      <c r="O18" s="379">
        <f>M18-K18</f>
        <v/>
      </c>
      <c r="U18" s="229" t="n"/>
      <c r="AA18" s="1070" t="n"/>
    </row>
    <row r="19" ht="15" customHeight="1" s="1085">
      <c r="C19" s="855" t="n"/>
      <c r="D19" s="460" t="n"/>
      <c r="E19" s="448" t="n"/>
      <c r="F19" s="895" t="n"/>
      <c r="G19" s="895" t="n"/>
      <c r="H19" s="896" t="n"/>
      <c r="I19" s="31" t="n"/>
      <c r="J19" s="380" t="n"/>
      <c r="K19" s="378" t="n"/>
      <c r="L19" s="392" t="n"/>
      <c r="M19" s="311" t="n"/>
      <c r="N19" s="378" t="n"/>
      <c r="O19" s="379" t="n"/>
      <c r="U19" s="229" t="n"/>
      <c r="AA19" s="1070" t="n"/>
    </row>
    <row r="20" ht="15" customHeight="1" s="1085">
      <c r="C20" s="791" t="inlineStr">
        <is>
          <t>RCL-329 LPC-3 GOT.112 (CANOPY CONTROL)</t>
        </is>
      </c>
      <c r="D20" s="1065" t="inlineStr">
        <is>
          <t>GOT Panel Comp for UV-c (24 Sections Max)</t>
        </is>
      </c>
      <c r="E20" s="448" t="n"/>
      <c r="F20" s="895" t="n">
        <v>160</v>
      </c>
      <c r="G20" s="895" t="n">
        <v>34</v>
      </c>
      <c r="H20" s="896" t="n">
        <v>106</v>
      </c>
      <c r="I20" s="31" t="n"/>
      <c r="J20" s="380" t="n">
        <v>336.21</v>
      </c>
      <c r="K20" s="378">
        <f>SUM(J20*E20)</f>
        <v/>
      </c>
      <c r="L20" s="392" t="n">
        <v>0.35</v>
      </c>
      <c r="M20" s="311">
        <f>(K20/(1-L20))*(1+$D$9)</f>
        <v/>
      </c>
      <c r="N20" s="378">
        <f>(M20*VLOOKUP($C$9,'Base Costs'!$A$32:$B$37,2,FALSE))</f>
        <v/>
      </c>
      <c r="O20" s="379">
        <f>M20-K20</f>
        <v/>
      </c>
      <c r="U20" s="229" t="n"/>
      <c r="AA20" s="1070" t="n"/>
    </row>
    <row r="21" ht="15" customHeight="1" s="1085">
      <c r="C21" s="791" t="inlineStr">
        <is>
          <t>RCL-342 GOT-112 WALL BOX</t>
        </is>
      </c>
      <c r="D21" s="460" t="inlineStr">
        <is>
          <t>Remote Mounting box if Required</t>
        </is>
      </c>
      <c r="E21" s="448" t="n"/>
      <c r="F21" s="895" t="n">
        <v>270</v>
      </c>
      <c r="G21" s="895" t="n">
        <v>200</v>
      </c>
      <c r="H21" s="896" t="n">
        <v>150</v>
      </c>
      <c r="I21" s="31" t="n"/>
      <c r="J21" s="380" t="n">
        <v>82</v>
      </c>
      <c r="K21" s="378">
        <f>SUM(J21*E21)</f>
        <v/>
      </c>
      <c r="L21" s="392" t="n">
        <v>0.35</v>
      </c>
      <c r="M21" s="311">
        <f>(K21/(1-L21))*(1+$D$9)</f>
        <v/>
      </c>
      <c r="N21" s="378">
        <f>(M21*VLOOKUP($C$9,'Base Costs'!$A$32:$B$37,2,FALSE))</f>
        <v/>
      </c>
      <c r="O21" s="379">
        <f>M21-K21</f>
        <v/>
      </c>
      <c r="U21" s="229" t="n"/>
      <c r="AA21" s="1070" t="n"/>
    </row>
    <row r="22" ht="15" customHeight="1" s="1085">
      <c r="C22" s="270" t="inlineStr">
        <is>
          <t>RCL-280 STAGED ALARM BOX</t>
        </is>
      </c>
      <c r="D22" s="460" t="inlineStr">
        <is>
          <t>MU5 CONTROLLER BOX</t>
        </is>
      </c>
      <c r="E22" s="448" t="n"/>
      <c r="F22" s="895" t="n">
        <v>179</v>
      </c>
      <c r="G22" s="895" t="n">
        <v>129</v>
      </c>
      <c r="H22" s="896" t="n">
        <v>100</v>
      </c>
      <c r="I22" s="31" t="n"/>
      <c r="J22" s="380" t="n">
        <v>212.86</v>
      </c>
      <c r="K22" s="378">
        <f>SUM(J22*E22)</f>
        <v/>
      </c>
      <c r="L22" s="392" t="n">
        <v>0.35</v>
      </c>
      <c r="M22" s="311">
        <f>(K22/(1-L22))*(1+$D$9)</f>
        <v/>
      </c>
      <c r="N22" s="378">
        <f>(M22*VLOOKUP($C$9,'Base Costs'!$A$32:$B$37,2,FALSE))</f>
        <v/>
      </c>
      <c r="O22" s="379">
        <f>M22-K22</f>
        <v/>
      </c>
      <c r="P22" s="1064" t="inlineStr">
        <is>
          <t xml:space="preserve">Add if Alarms requested for a GOT panel </t>
        </is>
      </c>
      <c r="U22" s="229" t="n"/>
      <c r="AA22" s="1070" t="n"/>
    </row>
    <row r="23" ht="15" customHeight="1" s="1085">
      <c r="A23" s="215" t="n">
        <v>289</v>
      </c>
      <c r="C23" s="270" t="n"/>
      <c r="D23" s="460" t="n"/>
      <c r="E23" s="448" t="n"/>
      <c r="F23" s="895" t="n"/>
      <c r="G23" s="895" t="n"/>
      <c r="H23" s="896" t="n"/>
      <c r="I23" s="31" t="n"/>
      <c r="J23" s="380" t="n"/>
      <c r="K23" s="378">
        <f>SUM(J23*E23)</f>
        <v/>
      </c>
      <c r="L23" s="392" t="n"/>
      <c r="M23" s="311">
        <f>(K23/(1-L23))*(1+$D$9)</f>
        <v/>
      </c>
      <c r="N23" s="378">
        <f>(M23*VLOOKUP($C$9,'Base Costs'!$A$32:$B$37,2,FALSE))</f>
        <v/>
      </c>
      <c r="O23" s="379">
        <f>M23-K23</f>
        <v/>
      </c>
      <c r="U23" s="229" t="n"/>
      <c r="AA23" s="1070" t="n"/>
    </row>
    <row r="24" ht="15" customHeight="1" s="1085">
      <c r="A24" s="215" t="n">
        <v>242</v>
      </c>
      <c r="C24" s="270" t="inlineStr">
        <is>
          <t xml:space="preserve">PS-160 EXTERNAL AERIAL </t>
        </is>
      </c>
      <c r="D24" s="460" t="inlineStr">
        <is>
          <t>EXTERNAL AERIAL BOX</t>
        </is>
      </c>
      <c r="E24" s="448" t="n"/>
      <c r="F24" s="895" t="n">
        <v>250</v>
      </c>
      <c r="G24" s="895" t="n">
        <v>175</v>
      </c>
      <c r="H24" s="896" t="n">
        <v>100</v>
      </c>
      <c r="I24" s="31" t="n"/>
      <c r="J24" s="380" t="n">
        <v>100.91</v>
      </c>
      <c r="K24" s="378">
        <f>SUM(J24*E24)</f>
        <v/>
      </c>
      <c r="L24" s="392" t="n">
        <v>0.35</v>
      </c>
      <c r="M24" s="311">
        <f>(K24/(1-L24))*(1+$D$9)</f>
        <v/>
      </c>
      <c r="N24" s="378">
        <f>(M24*VLOOKUP($C$9,'Base Costs'!$A$32:$B$37,2,FALSE))</f>
        <v/>
      </c>
      <c r="O24" s="379">
        <f>M24-K24</f>
        <v/>
      </c>
      <c r="U24" s="229" t="n"/>
      <c r="AA24" s="1070" t="n"/>
    </row>
    <row r="25" ht="15" customHeight="1" s="1085">
      <c r="A25" s="215" t="n">
        <v>220</v>
      </c>
      <c r="C25" s="855" t="inlineStr">
        <is>
          <t xml:space="preserve">PS-156 EDGE BOX REMOTE ROUTER (UV-GOT)  </t>
        </is>
      </c>
      <c r="D25" s="1066" t="inlineStr">
        <is>
          <t>EXTERNAL ROUTER</t>
        </is>
      </c>
      <c r="E25" s="448" t="n"/>
      <c r="F25" s="837" t="n">
        <v>250</v>
      </c>
      <c r="G25" s="895" t="n">
        <v>175</v>
      </c>
      <c r="H25" s="896" t="n">
        <v>100</v>
      </c>
      <c r="I25" s="31" t="n"/>
      <c r="J25" s="380" t="n">
        <v>484.58</v>
      </c>
      <c r="K25" s="378">
        <f>SUM(J25*E25)</f>
        <v/>
      </c>
      <c r="L25" s="392" t="n">
        <v>0.35</v>
      </c>
      <c r="M25" s="311">
        <f>(K25/(1-L25))*(1+$D$9)</f>
        <v/>
      </c>
      <c r="N25" s="378">
        <f>(M25*VLOOKUP($C$9,'Base Costs'!$A$32:$B$37,2,FALSE))</f>
        <v/>
      </c>
      <c r="O25" s="379">
        <f>M25-K25</f>
        <v/>
      </c>
      <c r="U25" s="229" t="n"/>
      <c r="AA25" s="1070" t="n"/>
    </row>
    <row r="26" ht="15" customHeight="1" s="1085">
      <c r="A26" s="215" t="n">
        <v>103</v>
      </c>
      <c r="C26" s="855" t="n"/>
      <c r="D26" s="460" t="n"/>
      <c r="E26" s="448" t="n"/>
      <c r="F26" s="837" t="n"/>
      <c r="G26" s="895" t="n"/>
      <c r="H26" s="896" t="n"/>
      <c r="I26" s="31" t="n"/>
      <c r="J26" s="380" t="n"/>
      <c r="K26" s="378">
        <f>SUM(J26*E26)</f>
        <v/>
      </c>
      <c r="L26" s="392" t="n"/>
      <c r="M26" s="311">
        <f>(K26/(1-L26))*(1+$D$9)</f>
        <v/>
      </c>
      <c r="N26" s="378">
        <f>(M26*VLOOKUP($C$9,'Base Costs'!$A$32:$B$37,2,FALSE))</f>
        <v/>
      </c>
      <c r="O26" s="379">
        <f>M26-K26</f>
        <v/>
      </c>
      <c r="U26" s="229" t="n"/>
      <c r="AA26" s="1070" t="n"/>
    </row>
    <row r="27" ht="15" customHeight="1" s="1085">
      <c r="A27" s="215" t="n">
        <v>103</v>
      </c>
      <c r="C27" s="855" t="inlineStr">
        <is>
          <t>CONNECTIVITY PS-153/152/154/155</t>
        </is>
      </c>
      <c r="D27" s="921" t="inlineStr">
        <is>
          <t xml:space="preserve"> NOT INCLUDED IN THE ABOVE</t>
        </is>
      </c>
      <c r="E27" s="448" t="n"/>
      <c r="F27" s="837" t="n"/>
      <c r="G27" s="895" t="n"/>
      <c r="H27" s="896" t="n"/>
      <c r="I27" s="31" t="n"/>
      <c r="J27" s="380" t="n">
        <v>522.38</v>
      </c>
      <c r="K27" s="378">
        <f>SUM(J27*E27)</f>
        <v/>
      </c>
      <c r="L27" s="392" t="n">
        <v>0.35</v>
      </c>
      <c r="M27" s="311">
        <f>(K27/(1-L27))*(1+$D$9)</f>
        <v/>
      </c>
      <c r="N27" s="378">
        <f>(M27*VLOOKUP($C$9,'Base Costs'!$A$32:$B$37,2,FALSE))</f>
        <v/>
      </c>
      <c r="O27" s="379">
        <f>M27-K27</f>
        <v/>
      </c>
      <c r="P27" s="990" t="inlineStr">
        <is>
          <t>EDGE UP2 Plus First Year Connectivity Fee from Group</t>
        </is>
      </c>
      <c r="U27" s="229" t="n"/>
      <c r="AA27" s="1070" t="n"/>
    </row>
    <row r="28" ht="15" customHeight="1" s="1085">
      <c r="C28" s="855" t="inlineStr">
        <is>
          <t>CONNECTIVITY  (UV-GOT)</t>
        </is>
      </c>
      <c r="D28" s="1067" t="inlineStr">
        <is>
          <t xml:space="preserve"> NOT INCLUDED IN THE ABOVE</t>
        </is>
      </c>
      <c r="E28" s="448" t="n"/>
      <c r="F28" s="895" t="n"/>
      <c r="G28" s="895" t="n"/>
      <c r="H28" s="896" t="n"/>
      <c r="I28" s="31" t="n"/>
      <c r="J28" s="380" t="n">
        <v>130</v>
      </c>
      <c r="K28" s="378">
        <f>SUM(J28*E28)</f>
        <v/>
      </c>
      <c r="L28" s="392" t="n">
        <v>0.35</v>
      </c>
      <c r="M28" s="311">
        <f>(K28/(1-L28))*(1+$D$9)</f>
        <v/>
      </c>
      <c r="N28" s="378">
        <f>(M28*VLOOKUP($C$9,'Base Costs'!$A$32:$B$37,2,FALSE))</f>
        <v/>
      </c>
      <c r="O28" s="379">
        <f>M28-K28</f>
        <v/>
      </c>
      <c r="P28" s="990" t="inlineStr">
        <is>
          <t>First Year Connectivity Fee from Group</t>
        </is>
      </c>
      <c r="U28" s="229" t="n"/>
      <c r="AA28" s="1070" t="n"/>
    </row>
    <row r="29" ht="15" customHeight="1" s="1085">
      <c r="A29" s="215" t="n">
        <v>285</v>
      </c>
      <c r="C29" s="855" t="n"/>
      <c r="D29" s="460" t="n"/>
      <c r="E29" s="448" t="n"/>
      <c r="F29" s="898" t="n"/>
      <c r="G29" s="898" t="n"/>
      <c r="H29" s="899" t="n"/>
      <c r="I29" s="31" t="n"/>
      <c r="J29" s="380" t="n"/>
      <c r="K29" s="378">
        <f>SUM(J29*E29)</f>
        <v/>
      </c>
      <c r="L29" s="392" t="n"/>
      <c r="M29" s="311">
        <f>(K29/(1-L29))*(1+$D$9)</f>
        <v/>
      </c>
      <c r="N29" s="378">
        <f>(M29*VLOOKUP($C$9,'Base Costs'!$A$32:$B$37,2,FALSE))</f>
        <v/>
      </c>
      <c r="O29" s="379">
        <f>M29-K29</f>
        <v/>
      </c>
      <c r="U29" s="229" t="n"/>
      <c r="AA29" s="1070" t="n"/>
    </row>
    <row r="30" ht="15" customHeight="1" s="1085">
      <c r="C30" s="855" t="n"/>
      <c r="D30" s="460" t="n"/>
      <c r="E30" s="448" t="n"/>
      <c r="F30" s="898" t="n"/>
      <c r="G30" s="898" t="n"/>
      <c r="H30" s="899" t="n"/>
      <c r="I30" s="31" t="n"/>
      <c r="J30" s="380" t="n"/>
      <c r="K30" s="378">
        <f>SUM(J30*E30)</f>
        <v/>
      </c>
      <c r="L30" s="392" t="n"/>
      <c r="M30" s="311">
        <f>(K30/(1-L30))*(1+$D$9)</f>
        <v/>
      </c>
      <c r="N30" s="378">
        <f>(M30*VLOOKUP($C$9,'Base Costs'!$A$32:$B$37,2,FALSE))</f>
        <v/>
      </c>
      <c r="O30" s="379">
        <f>M30-K30</f>
        <v/>
      </c>
      <c r="U30" s="229" t="n"/>
      <c r="AA30" s="1070" t="n"/>
    </row>
    <row r="31" ht="15" customHeight="1" s="1085">
      <c r="C31" s="269" t="n"/>
      <c r="D31" s="460" t="n"/>
      <c r="E31" s="448" t="n"/>
      <c r="F31" s="895" t="n"/>
      <c r="G31" s="895" t="n"/>
      <c r="H31" s="896" t="n"/>
      <c r="I31" s="31" t="n"/>
      <c r="J31" s="380" t="n">
        <v>0</v>
      </c>
      <c r="K31" s="378">
        <f>SUM(J31*E31)</f>
        <v/>
      </c>
      <c r="L31" s="392" t="n"/>
      <c r="M31" s="311">
        <f>(K31/(1-L31))*(1+$D$9)</f>
        <v/>
      </c>
      <c r="N31" s="378">
        <f>(M31*VLOOKUP($C$9,'Base Costs'!$A$32:$B$37,2,FALSE))</f>
        <v/>
      </c>
      <c r="O31" s="379">
        <f>M31-K31</f>
        <v/>
      </c>
      <c r="U31" s="229" t="n"/>
      <c r="AA31" s="1070" t="n"/>
    </row>
    <row r="32" ht="15" customHeight="1" s="1085">
      <c r="A32" s="215" t="n">
        <v>286</v>
      </c>
      <c r="C32" s="270" t="n"/>
      <c r="D32" s="460" t="n"/>
      <c r="E32" s="448" t="n"/>
      <c r="F32" s="895" t="n"/>
      <c r="G32" s="895" t="n"/>
      <c r="H32" s="896" t="n"/>
      <c r="I32" s="31" t="n"/>
      <c r="J32" s="380" t="n">
        <v>0</v>
      </c>
      <c r="K32" s="378">
        <f>SUM(J32*E32)</f>
        <v/>
      </c>
      <c r="L32" s="392" t="n"/>
      <c r="M32" s="311">
        <f>(K32/(1-L32))*(1+$D$9)</f>
        <v/>
      </c>
      <c r="N32" s="378">
        <f>(M32*VLOOKUP($C$9,'Base Costs'!$A$32:$B$37,2,FALSE))</f>
        <v/>
      </c>
      <c r="O32" s="379">
        <f>M32-K32</f>
        <v/>
      </c>
      <c r="U32" s="229" t="n"/>
      <c r="AA32" s="1070" t="n"/>
    </row>
    <row r="33" ht="15" customHeight="1" s="1085">
      <c r="C33" s="269" t="n"/>
      <c r="D33" s="460" t="n"/>
      <c r="E33" s="448" t="n"/>
      <c r="F33" s="462" t="n"/>
      <c r="G33" s="32" t="n"/>
      <c r="H33" s="30" t="n"/>
      <c r="I33" s="31" t="n"/>
      <c r="J33" s="933" t="n"/>
      <c r="K33" s="378">
        <f>SUM(J33*E33)</f>
        <v/>
      </c>
      <c r="L33" s="392" t="n"/>
      <c r="M33" s="311">
        <f>(K33/(1-L33))*(1+$D$9)</f>
        <v/>
      </c>
      <c r="N33" s="378">
        <f>(M33*VLOOKUP($C$9,'Base Costs'!$A$32:$B$37,2,FALSE))</f>
        <v/>
      </c>
      <c r="O33" s="379">
        <f>M33-K33</f>
        <v/>
      </c>
      <c r="U33" s="229" t="n"/>
      <c r="AA33" s="1070" t="n"/>
    </row>
    <row r="34" ht="15" customHeight="1" s="1085">
      <c r="C34" s="855" t="n"/>
      <c r="D34" s="460" t="n"/>
      <c r="E34" s="448" t="n"/>
      <c r="F34" s="462" t="n"/>
      <c r="G34" s="32" t="n"/>
      <c r="H34" s="30" t="n"/>
      <c r="I34" s="31" t="n"/>
      <c r="J34" s="933" t="n"/>
      <c r="K34" s="378">
        <f>SUM(J34*E34)</f>
        <v/>
      </c>
      <c r="L34" s="392" t="n"/>
      <c r="M34" s="311">
        <f>(K34/(1-L34))*(1+$D$9)</f>
        <v/>
      </c>
      <c r="N34" s="378">
        <f>(M34*VLOOKUP($C$9,'Base Costs'!$A$32:$B$37,2,FALSE))</f>
        <v/>
      </c>
      <c r="O34" s="379">
        <f>M34-K34</f>
        <v/>
      </c>
      <c r="U34" s="229" t="n"/>
      <c r="AA34" s="1070" t="n"/>
    </row>
    <row r="35" ht="15" customHeight="1" s="1085">
      <c r="H35" s="34" t="inlineStr">
        <is>
          <t>SECTION UNDER 1000mm</t>
        </is>
      </c>
    </row>
    <row r="36" ht="15" customHeight="1" s="1085">
      <c r="C36" s="239" t="n"/>
      <c r="D36" s="239" t="n"/>
      <c r="E36" s="239" t="n"/>
      <c r="F36" s="239" t="n"/>
      <c r="G36" s="239" t="n"/>
      <c r="H36" s="239" t="n"/>
      <c r="I36" s="9" t="n"/>
      <c r="J36" s="11" t="n"/>
      <c r="K36" s="353" t="n"/>
      <c r="L36" s="240" t="n"/>
      <c r="M36" s="353" t="n"/>
      <c r="N36" s="353" t="n"/>
      <c r="U36" s="229" t="n"/>
      <c r="AA36" s="1070" t="n"/>
    </row>
    <row r="37" ht="15" customHeight="1" s="1085">
      <c r="C37" s="1089" t="inlineStr">
        <is>
          <t xml:space="preserve">DELIVERY &amp; INSTALLATION </t>
        </is>
      </c>
      <c r="I37" s="236" t="n"/>
      <c r="J37" s="330" t="n"/>
      <c r="K37" s="154">
        <f>SUBTOTAL(9,K38:K48)</f>
        <v/>
      </c>
      <c r="L37" s="15">
        <f>IF(K38=0,"-",O37/M37)</f>
        <v/>
      </c>
      <c r="M37" s="154">
        <f>SUBTOTAL(9,M38:M48)</f>
        <v/>
      </c>
      <c r="N37" s="464">
        <f>SUBTOTAL(9,N38:N48)</f>
        <v/>
      </c>
      <c r="O37" s="154">
        <f>SUBTOTAL(9,O39:O48)</f>
        <v/>
      </c>
      <c r="U37" s="229" t="n"/>
    </row>
    <row r="38" ht="15" customHeight="1" s="1085">
      <c r="A38" s="215" t="n">
        <v>222</v>
      </c>
      <c r="C38" s="269" t="inlineStr">
        <is>
          <t xml:space="preserve">DELIVERIES </t>
        </is>
      </c>
      <c r="D38" s="242" t="n"/>
      <c r="E38" s="309" t="inlineStr">
        <is>
          <t>SELECT LOCATION…</t>
        </is>
      </c>
      <c r="F38" s="28" t="n"/>
      <c r="G38" s="30" t="n"/>
      <c r="H38" s="28" t="n"/>
      <c r="I38" s="28" t="n"/>
      <c r="J38" s="385">
        <f>VLOOKUP(E38,'Base Costs'!E4:G213,2,FALSE)</f>
        <v/>
      </c>
      <c r="K38" s="378">
        <f>D38*J38</f>
        <v/>
      </c>
      <c r="L38" s="392" t="n">
        <v>0.33</v>
      </c>
      <c r="M38" s="311">
        <f>(K38/(1-L38))*(1+$D$9)</f>
        <v/>
      </c>
      <c r="N38" s="378">
        <f>(M38*VLOOKUP($C$9,'Base Costs'!$A$32:$B$37,2,FALSE))</f>
        <v/>
      </c>
      <c r="O38" s="379">
        <f>M38-K38</f>
        <v/>
      </c>
      <c r="U38" s="229" t="n"/>
    </row>
    <row r="39" ht="15" customHeight="1" s="1085">
      <c r="A39" s="215" t="n">
        <v>257</v>
      </c>
      <c r="C39" s="269" t="inlineStr">
        <is>
          <t>PLANT HIRE</t>
        </is>
      </c>
      <c r="D39" s="242" t="n"/>
      <c r="E39" s="309" t="inlineStr">
        <is>
          <t>PLANT SELECTION (weekly)</t>
        </is>
      </c>
      <c r="F39" s="28" t="n"/>
      <c r="G39" s="28" t="n"/>
      <c r="H39" s="28" t="n"/>
      <c r="I39" s="28" t="n"/>
      <c r="J39" s="385">
        <f>VLOOKUP(E39,'Base Costs'!$A$4:$B$16,2,FALSE)</f>
        <v/>
      </c>
      <c r="K39" s="378">
        <f>D39*J39</f>
        <v/>
      </c>
      <c r="L39" s="392" t="n">
        <v>0.33</v>
      </c>
      <c r="M39" s="311">
        <f>(K39/(1-L39))*(1+$D$9)</f>
        <v/>
      </c>
      <c r="N39" s="378">
        <f>(M39*VLOOKUP($C$9,'Base Costs'!$A$32:$B$37,2,FALSE))</f>
        <v/>
      </c>
      <c r="O39" s="379">
        <f>M39-K39</f>
        <v/>
      </c>
      <c r="U39" s="229" t="n"/>
    </row>
    <row r="40" ht="15" customHeight="1" s="1085">
      <c r="A40" s="215" t="n">
        <v>257</v>
      </c>
      <c r="C40" s="269" t="inlineStr">
        <is>
          <t>PLANT HIRE</t>
        </is>
      </c>
      <c r="D40" s="242" t="n"/>
      <c r="E40" s="309" t="inlineStr">
        <is>
          <t>PLANT SELECTION (weekly)</t>
        </is>
      </c>
      <c r="F40" s="28" t="n"/>
      <c r="G40" s="28" t="n"/>
      <c r="H40" s="28" t="n"/>
      <c r="I40" s="28" t="n"/>
      <c r="J40" s="385">
        <f>VLOOKUP(E40,'Base Costs'!$A$4:$B$16,2,FALSE)</f>
        <v/>
      </c>
      <c r="K40" s="378">
        <f>D40*J40</f>
        <v/>
      </c>
      <c r="L40" s="392" t="n">
        <v>0.33</v>
      </c>
      <c r="M40" s="311">
        <f>(K40/(1-L40))*(1+$D$9)</f>
        <v/>
      </c>
      <c r="N40" s="378">
        <f>(M40*VLOOKUP($C$9,'Base Costs'!$A$32:$B$37,2,FALSE))</f>
        <v/>
      </c>
      <c r="O40" s="379">
        <f>M40-K40</f>
        <v/>
      </c>
      <c r="U40" s="229" t="n"/>
    </row>
    <row r="41" ht="15" customHeight="1" s="1085">
      <c r="A41" s="215" t="n">
        <v>400</v>
      </c>
      <c r="C41" s="269" t="inlineStr">
        <is>
          <t>STRIP OUT</t>
        </is>
      </c>
      <c r="D41" s="242" t="n"/>
      <c r="E41" s="28" t="inlineStr">
        <is>
          <t>PER DAY</t>
        </is>
      </c>
      <c r="F41" s="28" t="n"/>
      <c r="G41" s="28" t="n"/>
      <c r="H41" s="28" t="n"/>
      <c r="I41" s="28" t="n"/>
      <c r="J41" s="385" t="n">
        <v>450</v>
      </c>
      <c r="K41" s="378">
        <f>D41*J41</f>
        <v/>
      </c>
      <c r="L41" s="392" t="n">
        <v>0.33</v>
      </c>
      <c r="M41" s="311">
        <f>(K41/(1-L41))*(1+$D$9)</f>
        <v/>
      </c>
      <c r="N41" s="378">
        <f>(M41*VLOOKUP($C$9,'Base Costs'!$A$32:$B$37,2,FALSE))</f>
        <v/>
      </c>
      <c r="O41" s="379">
        <f>M41-K41</f>
        <v/>
      </c>
      <c r="U41" s="229" t="n"/>
    </row>
    <row r="42" ht="15" customHeight="1" s="1085">
      <c r="A42" s="215" t="n">
        <v>102</v>
      </c>
      <c r="C42" s="269" t="inlineStr">
        <is>
          <t xml:space="preserve">CONSUMABLES </t>
        </is>
      </c>
      <c r="D42" s="242" t="n">
        <v>1</v>
      </c>
      <c r="E42" s="28" t="inlineStr">
        <is>
          <t>ON SITE FIXINGS</t>
        </is>
      </c>
      <c r="F42" s="28" t="n"/>
      <c r="G42" s="28" t="n"/>
      <c r="H42" s="28" t="n"/>
      <c r="I42" s="28" t="n"/>
      <c r="J42" s="385" t="n">
        <v>15</v>
      </c>
      <c r="K42" s="378">
        <f>D42*J42</f>
        <v/>
      </c>
      <c r="L42" s="392" t="n">
        <v>0.33</v>
      </c>
      <c r="M42" s="311">
        <f>(K42/(1-L42))*(1+$D$9)</f>
        <v/>
      </c>
      <c r="N42" s="378">
        <f>(M42*VLOOKUP($C$9,'Base Costs'!$A$32:$B$37,2,FALSE))</f>
        <v/>
      </c>
      <c r="O42" s="379">
        <f>M42-K42</f>
        <v/>
      </c>
      <c r="U42" s="229" t="n"/>
    </row>
    <row r="43" ht="15" customHeight="1" s="1085">
      <c r="A43" s="215" t="n">
        <v>400</v>
      </c>
      <c r="C43" s="269" t="inlineStr">
        <is>
          <t>INSTALLATION NORMAL HOURS</t>
        </is>
      </c>
      <c r="D43" s="242" t="n">
        <v>1</v>
      </c>
      <c r="E43" s="28" t="inlineStr">
        <is>
          <t>PER BOX</t>
        </is>
      </c>
      <c r="F43" s="28" t="n"/>
      <c r="G43" s="28" t="n"/>
      <c r="H43" s="28" t="n"/>
      <c r="I43" s="28" t="n"/>
      <c r="J43" s="385" t="n">
        <v>152.5</v>
      </c>
      <c r="K43" s="378">
        <f>D43*J43</f>
        <v/>
      </c>
      <c r="L43" s="392" t="n">
        <v>0.4</v>
      </c>
      <c r="M43" s="311">
        <f>(K43/(1-L43))*(1+$D$9)</f>
        <v/>
      </c>
      <c r="N43" s="378">
        <f>(M43*VLOOKUP($C$9,'Base Costs'!$A$32:$B$37,2,FALSE))</f>
        <v/>
      </c>
      <c r="O43" s="379">
        <f>M43-K43</f>
        <v/>
      </c>
      <c r="U43" s="229" t="n"/>
    </row>
    <row r="44" ht="15" customHeight="1" s="1085">
      <c r="A44" s="215" t="n">
        <v>400</v>
      </c>
      <c r="C44" s="269" t="inlineStr">
        <is>
          <t>INSTALLATION AFTER HOURS</t>
        </is>
      </c>
      <c r="D44" s="242" t="n"/>
      <c r="E44" s="28" t="inlineStr">
        <is>
          <t>PER BOX</t>
        </is>
      </c>
      <c r="F44" s="28" t="n"/>
      <c r="G44" s="28" t="n"/>
      <c r="H44" s="28" t="n"/>
      <c r="I44" s="28" t="n"/>
      <c r="J44" s="385" t="n">
        <v>861</v>
      </c>
      <c r="K44" s="378">
        <f>D44*J44</f>
        <v/>
      </c>
      <c r="L44" s="392" t="n">
        <v>0.4</v>
      </c>
      <c r="M44" s="311">
        <f>(K44/(1-L44))*(1+$D$9)</f>
        <v/>
      </c>
      <c r="N44" s="378">
        <f>(M44*VLOOKUP($C$9,'Base Costs'!$A$32:$B$37,2,FALSE))</f>
        <v/>
      </c>
      <c r="O44" s="379">
        <f>M44-K44</f>
        <v/>
      </c>
      <c r="U44" s="229" t="n"/>
    </row>
    <row r="45" ht="15" customHeight="1" s="1085">
      <c r="A45" s="215" t="n">
        <v>253</v>
      </c>
      <c r="C45" s="269" t="inlineStr">
        <is>
          <t>TRAVEL EXPENSES</t>
        </is>
      </c>
      <c r="D45" s="242" t="n"/>
      <c r="E45" s="28" t="inlineStr">
        <is>
          <t>PER NIGHT PER TEAM</t>
        </is>
      </c>
      <c r="F45" s="28" t="n"/>
      <c r="G45" s="28" t="n"/>
      <c r="H45" s="28" t="n"/>
      <c r="I45" s="28" t="n"/>
      <c r="J45" s="385" t="n"/>
      <c r="K45" s="378">
        <f>D45*J45</f>
        <v/>
      </c>
      <c r="L45" s="392" t="n">
        <v>0.33</v>
      </c>
      <c r="M45" s="311">
        <f>(K45/(1-L45))*(1+$D$9)</f>
        <v/>
      </c>
      <c r="N45" s="378">
        <f>(M45*VLOOKUP($C$9,'Base Costs'!$A$32:$B$37,2,FALSE))</f>
        <v/>
      </c>
      <c r="O45" s="379">
        <f>M45-K45</f>
        <v/>
      </c>
      <c r="U45" s="229" t="n"/>
    </row>
    <row r="46" ht="15" customHeight="1" s="1085">
      <c r="A46" s="215" t="n">
        <v>253</v>
      </c>
      <c r="C46" s="269" t="inlineStr">
        <is>
          <t>OVERNIGHT</t>
        </is>
      </c>
      <c r="D46" s="242" t="n"/>
      <c r="E46" s="28" t="inlineStr">
        <is>
          <t>PER NIGHT PER TEAM</t>
        </is>
      </c>
      <c r="F46" s="28" t="n"/>
      <c r="G46" s="28" t="n"/>
      <c r="H46" s="28" t="n"/>
      <c r="I46" s="28" t="n"/>
      <c r="J46" s="385" t="n">
        <v>170</v>
      </c>
      <c r="K46" s="378">
        <f>D46*J46</f>
        <v/>
      </c>
      <c r="L46" s="392" t="n">
        <v>0.33</v>
      </c>
      <c r="M46" s="311">
        <f>(K46/(1-L46))*(1+$D$9)</f>
        <v/>
      </c>
      <c r="N46" s="378">
        <f>(M46*VLOOKUP($C$9,'Base Costs'!$A$32:$B$37,2,FALSE))</f>
        <v/>
      </c>
      <c r="O46" s="379">
        <f>M46-K46</f>
        <v/>
      </c>
      <c r="U46" s="229" t="n"/>
    </row>
    <row r="47" ht="15" customHeight="1" s="1085">
      <c r="A47" s="215" t="n">
        <v>280</v>
      </c>
      <c r="C47" s="269" t="inlineStr">
        <is>
          <t>TEST &amp; COMMISSION</t>
        </is>
      </c>
      <c r="D47" s="242" t="n"/>
      <c r="E47" s="28" t="inlineStr">
        <is>
          <t>ONE ENGINEER</t>
        </is>
      </c>
      <c r="F47" s="28" t="n"/>
      <c r="G47" s="28" t="n"/>
      <c r="H47" s="28" t="n"/>
      <c r="I47" s="28" t="n"/>
      <c r="J47" s="385" t="n">
        <v>604</v>
      </c>
      <c r="K47" s="378">
        <f>D47*J47</f>
        <v/>
      </c>
      <c r="L47" s="392" t="n">
        <v>0.33</v>
      </c>
      <c r="M47" s="311">
        <f>(K47/(1-L47))*(1+$D$9)</f>
        <v/>
      </c>
      <c r="N47" s="378">
        <f>(M47*VLOOKUP($C$9,'Base Costs'!$A$32:$B$37,2,FALSE))</f>
        <v/>
      </c>
      <c r="O47" s="379">
        <f>M47-K47</f>
        <v/>
      </c>
      <c r="U47" s="229" t="n"/>
    </row>
    <row r="48" ht="15" customHeight="1" s="1085">
      <c r="A48" s="215" t="n">
        <v>284</v>
      </c>
      <c r="C48" s="269" t="n"/>
      <c r="D48" s="242" t="n"/>
      <c r="E48" s="28" t="inlineStr">
        <is>
          <t>OPTIONAL ITEM</t>
        </is>
      </c>
      <c r="F48" s="28" t="n"/>
      <c r="G48" s="28" t="n"/>
      <c r="H48" s="28" t="n"/>
      <c r="I48" s="28" t="n"/>
      <c r="J48" s="385" t="n">
        <v>200</v>
      </c>
      <c r="K48" s="378">
        <f>D48*J48</f>
        <v/>
      </c>
      <c r="L48" s="392" t="n">
        <v>0.33</v>
      </c>
      <c r="M48" s="311">
        <f>(K48/(1-L48))*(1+$D$9)</f>
        <v/>
      </c>
      <c r="N48" s="378">
        <f>(M48*VLOOKUP($C$9,'Base Costs'!$A$32:$B$37,2,FALSE))</f>
        <v/>
      </c>
      <c r="O48" s="379">
        <f>M48-K48</f>
        <v/>
      </c>
      <c r="U48" s="229" t="n"/>
    </row>
    <row r="49" ht="15" customHeight="1" s="1085">
      <c r="C49" s="239" t="n"/>
      <c r="D49" s="239" t="n"/>
      <c r="E49" s="239" t="n"/>
      <c r="F49" s="239" t="n"/>
      <c r="G49" s="239" t="n"/>
      <c r="H49" s="243" t="n"/>
      <c r="I49" s="244" t="n"/>
      <c r="J49" s="354" t="n"/>
      <c r="K49" s="353" t="n"/>
      <c r="L49" s="355" t="n"/>
      <c r="M49" s="353" t="n"/>
      <c r="N49" s="353" t="n"/>
      <c r="U49" s="229" t="n"/>
    </row>
    <row r="50" ht="15" customHeight="1" s="1085">
      <c r="C50" s="197" t="inlineStr">
        <is>
          <t>Office Use Only</t>
        </is>
      </c>
      <c r="D50" s="198" t="n"/>
      <c r="E50" s="199" t="n"/>
      <c r="F50" s="199" t="n"/>
      <c r="G50" s="198" t="n"/>
      <c r="H50" s="200" t="n"/>
      <c r="I50" s="198" t="n"/>
      <c r="J50" s="198" t="n"/>
      <c r="K50" s="198" t="n"/>
      <c r="L50" s="198" t="n"/>
      <c r="M50" s="198" t="n"/>
      <c r="N50" s="198" t="n"/>
      <c r="O50" s="198" t="n"/>
      <c r="U50" s="229" t="n"/>
    </row>
    <row r="51" ht="15" customHeight="1" s="1085">
      <c r="C51" s="202" t="n"/>
      <c r="D51" s="203" t="n"/>
      <c r="E51" s="202" t="n"/>
      <c r="F51" s="204" t="n"/>
      <c r="G51" s="202" t="n"/>
      <c r="H51" s="209" t="n"/>
      <c r="I51" s="203" t="n"/>
      <c r="J51" s="203" t="n"/>
      <c r="K51" s="205" t="n"/>
      <c r="L51" s="205" t="n"/>
      <c r="M51" s="205" t="n"/>
      <c r="N51" s="205" t="n"/>
      <c r="O51" s="205" t="n"/>
      <c r="U51" s="229" t="n"/>
    </row>
    <row r="52" ht="15" customHeight="1" s="1085">
      <c r="C52" s="202" t="n"/>
      <c r="D52" s="203" t="n"/>
      <c r="E52" s="202" t="n"/>
      <c r="F52" s="204" t="n"/>
      <c r="G52" s="202" t="n"/>
      <c r="H52" s="209" t="n"/>
      <c r="I52" s="203" t="n"/>
      <c r="J52" s="203" t="n"/>
      <c r="K52" s="205" t="n"/>
      <c r="L52" s="205" t="n"/>
      <c r="M52" s="205" t="n"/>
      <c r="N52" s="205" t="n"/>
      <c r="O52" s="205" t="n"/>
      <c r="U52" s="229" t="n"/>
    </row>
    <row r="53" ht="15" customHeight="1" s="1085">
      <c r="C53" s="202" t="n"/>
      <c r="D53" s="203" t="n"/>
      <c r="E53" s="202" t="n"/>
      <c r="F53" s="204" t="n"/>
      <c r="G53" s="202" t="n"/>
      <c r="H53" s="209" t="n"/>
      <c r="I53" s="203" t="n"/>
      <c r="J53" s="203" t="n"/>
      <c r="K53" s="209" t="n"/>
      <c r="L53" s="209" t="n"/>
      <c r="M53" s="209" t="n"/>
      <c r="N53" s="209" t="n"/>
      <c r="O53" s="209" t="n"/>
      <c r="U53" s="229" t="n"/>
    </row>
    <row r="54" ht="15" customHeight="1" s="1085">
      <c r="C54" s="202" t="n"/>
      <c r="D54" s="203" t="n"/>
      <c r="E54" s="202" t="n"/>
      <c r="F54" s="204" t="n"/>
      <c r="G54" s="202" t="n"/>
      <c r="H54" s="209" t="n"/>
      <c r="I54" s="206" t="n"/>
      <c r="J54" s="203" t="n"/>
      <c r="K54" s="209" t="n"/>
      <c r="L54" s="209" t="n"/>
      <c r="M54" s="209" t="n"/>
      <c r="N54" s="209" t="n"/>
      <c r="O54" s="209" t="n"/>
      <c r="U54" s="229" t="n"/>
    </row>
    <row r="55" ht="15" customHeight="1" s="1085">
      <c r="C55" s="202" t="n"/>
      <c r="D55" s="203" t="n"/>
      <c r="E55" s="202" t="n"/>
      <c r="F55" s="202" t="n"/>
      <c r="G55" s="202" t="n"/>
      <c r="H55" s="207" t="n"/>
      <c r="I55" s="209" t="n"/>
      <c r="J55" s="203" t="n"/>
      <c r="K55" s="205" t="n"/>
      <c r="L55" s="205" t="n"/>
      <c r="M55" s="205" t="n"/>
      <c r="N55" s="205" t="n"/>
      <c r="O55" s="205" t="n"/>
      <c r="U55" s="229" t="n"/>
    </row>
    <row r="56" ht="15" customHeight="1" s="1085">
      <c r="C56" s="202" t="n"/>
      <c r="D56" s="202" t="n"/>
      <c r="E56" s="202" t="n"/>
      <c r="F56" s="202" t="n"/>
      <c r="G56" s="202" t="n"/>
      <c r="H56" s="207" t="n"/>
      <c r="I56" s="209" t="n"/>
      <c r="J56" s="203" t="n"/>
      <c r="K56" s="205" t="n"/>
      <c r="L56" s="205" t="n"/>
      <c r="M56" s="205" t="n"/>
      <c r="N56" s="205" t="n"/>
      <c r="O56" s="205" t="n"/>
      <c r="U56" s="229" t="n"/>
    </row>
    <row r="57" ht="15" customHeight="1" s="1085">
      <c r="J57" s="228" t="n"/>
      <c r="M57" s="228" t="n"/>
      <c r="O57" s="228" t="n"/>
      <c r="U57" s="229" t="n"/>
    </row>
    <row r="58" ht="15" customHeight="1" s="1085">
      <c r="J58" s="228" t="n"/>
      <c r="M58" s="228" t="n"/>
      <c r="O58" s="228" t="n"/>
      <c r="U58" s="229" t="n"/>
    </row>
    <row r="59" ht="15" customHeight="1" s="1085">
      <c r="H59" s="219" t="n"/>
      <c r="U59" s="229" t="n"/>
    </row>
    <row r="60" ht="15" customHeight="1" s="1085">
      <c r="H60" s="219" t="n"/>
      <c r="U60" s="229" t="n"/>
    </row>
    <row r="61" ht="15" customHeight="1" s="1085">
      <c r="H61" s="219" t="n"/>
      <c r="U61" s="229" t="n"/>
    </row>
    <row r="62" ht="15" customHeight="1" s="1085">
      <c r="H62" s="219" t="n"/>
      <c r="U62" s="229" t="n"/>
    </row>
    <row r="63" ht="15" customHeight="1" s="1085">
      <c r="H63" s="219" t="n"/>
      <c r="U63" s="229" t="n"/>
    </row>
    <row r="64" ht="15" customHeight="1" s="1085">
      <c r="H64" s="219" t="n"/>
      <c r="U64" s="229" t="n"/>
    </row>
    <row r="65" ht="15" customHeight="1" s="1085">
      <c r="H65" s="219" t="n"/>
      <c r="U65" s="229" t="n"/>
    </row>
    <row r="66" ht="15" customHeight="1" s="1085">
      <c r="H66" s="219" t="n"/>
      <c r="U66" s="229" t="n"/>
    </row>
    <row r="67" ht="15" customHeight="1" s="1085">
      <c r="H67" s="219" t="n"/>
      <c r="U67" s="229" t="n"/>
    </row>
    <row r="68" ht="15" customHeight="1" s="1085">
      <c r="C68" s="245" t="n"/>
      <c r="D68" s="245" t="n"/>
      <c r="E68" s="245" t="n"/>
      <c r="F68" s="245" t="n"/>
      <c r="G68" s="245" t="n"/>
      <c r="H68" s="245" t="n"/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3" ht="15" customHeight="1" s="1085">
      <c r="U103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2" ht="15" customHeight="1" s="1085">
      <c r="U112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1" ht="15" customHeight="1" s="1085">
      <c r="U121" s="229" t="n"/>
    </row>
    <row r="122" ht="15" customHeight="1" s="1085">
      <c r="U122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  <row r="142" ht="15" customHeight="1" s="1085">
      <c r="U142" s="229" t="n"/>
    </row>
    <row r="143" ht="15" customHeight="1" s="1085">
      <c r="U143" s="229" t="n"/>
    </row>
    <row r="144" ht="15" customHeight="1" s="1085">
      <c r="U144" s="229" t="n"/>
    </row>
    <row r="145" ht="15" customHeight="1" s="1085">
      <c r="U145" s="229" t="n"/>
    </row>
    <row r="146" ht="15" customHeight="1" s="1085">
      <c r="U146" s="229" t="n"/>
    </row>
    <row r="147" ht="15" customHeight="1" s="1085">
      <c r="U147" s="229" t="n"/>
    </row>
    <row r="148" ht="15" customHeight="1" s="1085">
      <c r="U148" s="229" t="n"/>
    </row>
    <row r="149" ht="15" customHeight="1" s="1085">
      <c r="U149" s="229" t="n"/>
    </row>
    <row r="150" ht="15" customHeight="1" s="1085">
      <c r="U150" s="229" t="n"/>
    </row>
    <row r="151" ht="15" customHeight="1" s="1085">
      <c r="U151" s="229" t="n"/>
    </row>
    <row r="152" ht="15" customHeight="1" s="1085">
      <c r="U152" s="229" t="n"/>
    </row>
    <row r="153" ht="15" customHeight="1" s="1085">
      <c r="U153" s="229" t="n"/>
    </row>
    <row r="154" ht="15" customHeight="1" s="1085">
      <c r="U154" s="229" t="n"/>
    </row>
    <row r="155" ht="15" customHeight="1" s="1085">
      <c r="U155" s="229" t="n"/>
    </row>
    <row r="156" ht="15" customHeight="1" s="1085">
      <c r="U156" s="229" t="n"/>
    </row>
    <row r="157" ht="15" customHeight="1" s="1085">
      <c r="U157" s="229" t="n"/>
    </row>
    <row r="158" ht="15" customHeight="1" s="1085">
      <c r="U158" s="229" t="n"/>
    </row>
    <row r="159" ht="15" customHeight="1" s="1085">
      <c r="U159" s="229" t="n"/>
    </row>
    <row r="160" ht="15" customHeight="1" s="1085">
      <c r="U160" s="229" t="n"/>
    </row>
    <row r="161" ht="15" customHeight="1" s="1085">
      <c r="U161" s="229" t="n"/>
    </row>
  </sheetData>
  <mergeCells count="9">
    <mergeCell ref="P7:R7"/>
    <mergeCell ref="D7:E7"/>
    <mergeCell ref="C1:D1"/>
    <mergeCell ref="H5:J5"/>
    <mergeCell ref="C37:H37"/>
    <mergeCell ref="D5:E5"/>
    <mergeCell ref="H3:J3"/>
    <mergeCell ref="D3:E3"/>
    <mergeCell ref="H7:J7"/>
  </mergeCells>
  <conditionalFormatting sqref="C9">
    <cfRule type="containsText" priority="35" operator="containsText" dxfId="680" text="SELECT">
      <formula>NOT(ISERROR(SEARCH("SELECT",C9)))</formula>
    </cfRule>
    <cfRule type="expression" priority="36" dxfId="680">
      <formula>C9="CURRENCY"</formula>
    </cfRule>
  </conditionalFormatting>
  <conditionalFormatting sqref="C14:C34">
    <cfRule type="expression" priority="1" dxfId="633">
      <formula>$J14&gt;0</formula>
    </cfRule>
  </conditionalFormatting>
  <conditionalFormatting sqref="C38:C48">
    <cfRule type="expression" priority="12" dxfId="633">
      <formula>$D38&gt;0</formula>
    </cfRule>
  </conditionalFormatting>
  <conditionalFormatting sqref="D38:D39 D41:D48">
    <cfRule type="cellIs" priority="37" operator="lessThan" dxfId="554">
      <formula>1</formula>
    </cfRule>
  </conditionalFormatting>
  <conditionalFormatting sqref="D40">
    <cfRule type="cellIs" priority="32" operator="lessThan" dxfId="164">
      <formula>1</formula>
    </cfRule>
  </conditionalFormatting>
  <conditionalFormatting sqref="D9:E9">
    <cfRule type="cellIs" priority="33" operator="lessThan" dxfId="207">
      <formula>0</formula>
    </cfRule>
    <cfRule type="cellIs" priority="34" operator="greaterThan" dxfId="552">
      <formula>0</formula>
    </cfRule>
  </conditionalFormatting>
  <conditionalFormatting sqref="F12">
    <cfRule type="expression" priority="42" dxfId="386">
      <formula>AND((ISNUMBER(SEARCH("I-MUAP",$E$14))),F12&lt;2500)</formula>
    </cfRule>
    <cfRule type="expression" priority="43" dxfId="387">
      <formula>ISNUMBER(SEARCH("I-MUAP",$E$14))</formula>
    </cfRule>
    <cfRule type="cellIs" priority="44" operator="greaterThan" dxfId="204">
      <formula>2000</formula>
    </cfRule>
  </conditionalFormatting>
  <conditionalFormatting sqref="F12:G12">
    <cfRule type="cellIs" priority="38" operator="lessThan" dxfId="204">
      <formula>1000</formula>
    </cfRule>
  </conditionalFormatting>
  <conditionalFormatting sqref="F14:G28">
    <cfRule type="cellIs" priority="5" operator="lessThan" dxfId="164">
      <formula>1000</formula>
    </cfRule>
  </conditionalFormatting>
  <conditionalFormatting sqref="F31:G32">
    <cfRule type="cellIs" priority="2" operator="lessThan" dxfId="164">
      <formula>1000</formula>
    </cfRule>
  </conditionalFormatting>
  <conditionalFormatting sqref="G12">
    <cfRule type="cellIs" priority="39" operator="greaterThan" dxfId="204">
      <formula>3001</formula>
    </cfRule>
  </conditionalFormatting>
  <conditionalFormatting sqref="H11">
    <cfRule type="expression" priority="41" dxfId="176">
      <formula>((G14-50)/I14)&lt;950</formula>
    </cfRule>
  </conditionalFormatting>
  <conditionalFormatting sqref="H12">
    <cfRule type="expression" priority="40" dxfId="175">
      <formula>((G14-50)/I14)&lt;950</formula>
    </cfRule>
  </conditionalFormatting>
  <conditionalFormatting sqref="H14:H28">
    <cfRule type="cellIs" priority="6" operator="lessThan" dxfId="164">
      <formula>400</formula>
    </cfRule>
  </conditionalFormatting>
  <conditionalFormatting sqref="H31:H32">
    <cfRule type="cellIs" priority="3" operator="lessThan" dxfId="164">
      <formula>400</formula>
    </cfRule>
  </conditionalFormatting>
  <conditionalFormatting sqref="H35">
    <cfRule type="expression" priority="49" dxfId="176">
      <formula>((#REF!-50)/#REF!)&lt;950</formula>
    </cfRule>
  </conditionalFormatting>
  <conditionalFormatting sqref="J14:J32">
    <cfRule type="cellIs" priority="17" operator="greaterThan" dxfId="153">
      <formula>0</formula>
    </cfRule>
  </conditionalFormatting>
  <conditionalFormatting sqref="J38:J48">
    <cfRule type="expression" priority="25" dxfId="153">
      <formula>D38&gt;0</formula>
    </cfRule>
  </conditionalFormatting>
  <conditionalFormatting sqref="J50:J56">
    <cfRule type="expression" priority="30" dxfId="2">
      <formula>#REF!="EURO"</formula>
    </cfRule>
  </conditionalFormatting>
  <conditionalFormatting sqref="K14:K34">
    <cfRule type="cellIs" priority="4" operator="greaterThan" dxfId="141">
      <formula>0</formula>
    </cfRule>
  </conditionalFormatting>
  <conditionalFormatting sqref="K38:K48">
    <cfRule type="cellIs" priority="31" operator="greaterThan" dxfId="141">
      <formula>0</formula>
    </cfRule>
  </conditionalFormatting>
  <conditionalFormatting sqref="K50:K56">
    <cfRule type="expression" priority="26" dxfId="4">
      <formula>$C$9="PLN"</formula>
    </cfRule>
    <cfRule type="expression" priority="27" dxfId="0">
      <formula>$C$9="CZK"</formula>
    </cfRule>
    <cfRule type="expression" priority="28" dxfId="3">
      <formula>$C$9="USD"</formula>
    </cfRule>
    <cfRule type="expression" priority="29" dxfId="2">
      <formula>$C$9="EURO"</formula>
    </cfRule>
  </conditionalFormatting>
  <conditionalFormatting sqref="L14:L34">
    <cfRule type="expression" priority="15" dxfId="116">
      <formula>$D$9&lt;0</formula>
    </cfRule>
    <cfRule type="expression" priority="16" dxfId="115">
      <formula>$D$9&gt;0</formula>
    </cfRule>
  </conditionalFormatting>
  <conditionalFormatting sqref="L38:L48">
    <cfRule type="expression" priority="13" dxfId="116">
      <formula>$D$9&lt;0</formula>
    </cfRule>
    <cfRule type="expression" priority="14" dxfId="115">
      <formula>$D$9&gt;0</formula>
    </cfRule>
  </conditionalFormatting>
  <conditionalFormatting sqref="N9 N12">
    <cfRule type="expression" priority="45" dxfId="4">
      <formula>$C$9="PLN"</formula>
    </cfRule>
    <cfRule type="expression" priority="46" dxfId="0">
      <formula>$C$9="CZK"</formula>
    </cfRule>
    <cfRule type="expression" priority="47" dxfId="3">
      <formula>$C$9="USD"</formula>
    </cfRule>
    <cfRule type="expression" priority="48" dxfId="2">
      <formula>$C$9="EURO"</formula>
    </cfRule>
  </conditionalFormatting>
  <conditionalFormatting sqref="N14:N34">
    <cfRule type="expression" priority="19" dxfId="4">
      <formula>$C$9="PLN"</formula>
    </cfRule>
    <cfRule type="expression" priority="20" dxfId="0">
      <formula>$C$9="CZK"</formula>
    </cfRule>
    <cfRule type="expression" priority="21" dxfId="3">
      <formula>$C$9="USD"</formula>
    </cfRule>
    <cfRule type="expression" priority="22" dxfId="2">
      <formula>$C$9="EURO"</formula>
    </cfRule>
  </conditionalFormatting>
  <conditionalFormatting sqref="N18:N22">
    <cfRule type="cellIs" priority="23" operator="greaterThan" dxfId="5">
      <formula>0</formula>
    </cfRule>
  </conditionalFormatting>
  <conditionalFormatting sqref="N37:N48">
    <cfRule type="expression" priority="8" dxfId="4">
      <formula>$C$9="PLN"</formula>
    </cfRule>
    <cfRule type="expression" priority="9" dxfId="0">
      <formula>$C$9="CZK"</formula>
    </cfRule>
    <cfRule type="expression" priority="10" dxfId="3">
      <formula>$C$9="USD"</formula>
    </cfRule>
    <cfRule type="expression" priority="11" dxfId="2">
      <formula>$C$9="EURO"</formula>
    </cfRule>
  </conditionalFormatting>
  <conditionalFormatting sqref="N14:O34">
    <cfRule type="cellIs" priority="18" operator="greaterThan" dxfId="5">
      <formula>0</formula>
    </cfRule>
  </conditionalFormatting>
  <conditionalFormatting sqref="N38:O48">
    <cfRule type="cellIs" priority="7" operator="greaterThan" dxfId="141">
      <formula>0</formula>
    </cfRule>
  </conditionalFormatting>
  <conditionalFormatting sqref="O14:O22">
    <cfRule type="cellIs" priority="24" operator="greaterThan" dxfId="5">
      <formula>0</formula>
    </cfRule>
  </conditionalFormatting>
  <dataValidations count="3">
    <dataValidation sqref="H36" showDropDown="0" showInputMessage="1" showErrorMessage="1" allowBlank="1" type="list">
      <formula1>#REF!</formula1>
    </dataValidation>
    <dataValidation sqref="F14:F28 F31:F32" showDropDown="0" showInputMessage="1" showErrorMessage="1" allowBlank="1" operator="greaterThan"/>
    <dataValidation sqref="E14:E34" showDropDown="0" showInputMessage="1" showErrorMessage="1" allowBlank="1" type="list">
      <formula1>"0,1,2,3,4,5,6,7,8,9,10,11,12,13,14,15,16,17,18,19,20"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61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>
    <tabColor theme="8" tint="0.7999816888943144"/>
    <outlinePr summaryBelow="1" summaryRight="1"/>
    <pageSetUpPr fitToPage="1"/>
  </sheetPr>
  <dimension ref="A1:AB161"/>
  <sheetViews>
    <sheetView showGridLines="0" zoomScale="70" zoomScaleNormal="70" zoomScaleSheetLayoutView="50" workbookViewId="0">
      <selection activeCell="Q35" sqref="Q35"/>
    </sheetView>
  </sheetViews>
  <sheetFormatPr baseColWidth="10" defaultColWidth="8.83203125" defaultRowHeight="15" customHeight="1"/>
  <cols>
    <col width="2" customWidth="1" style="215" min="1" max="2"/>
    <col width="39.5" customWidth="1" style="1070" min="3" max="3"/>
    <col width="39.83203125" customWidth="1" style="1070" min="4" max="4"/>
    <col width="27.1640625" customWidth="1" style="1070" min="5" max="5"/>
    <col width="16.83203125" customWidth="1" style="1070" min="6" max="6"/>
    <col width="15.5" customWidth="1" style="1070" min="7" max="7"/>
    <col width="19.6640625" customWidth="1" style="1070" min="8" max="8"/>
    <col width="10" bestFit="1" customWidth="1" style="1072" min="9" max="9"/>
    <col width="14.83203125" bestFit="1" customWidth="1" style="1073" min="10" max="10"/>
    <col width="17.5" customWidth="1" style="228" min="11" max="11"/>
    <col width="10.5" customWidth="1" style="228" min="12" max="12"/>
    <col hidden="1" width="10.6640625" customWidth="1" style="346" min="13" max="13"/>
    <col width="14.5" bestFit="1" customWidth="1" style="1073" min="14" max="14"/>
    <col width="13.6640625" bestFit="1" customWidth="1" style="14" min="15" max="15"/>
    <col width="8.83203125" customWidth="1" style="1070" min="16" max="17"/>
    <col width="18.6640625" customWidth="1" style="1070" min="18" max="18"/>
    <col width="8.83203125" customWidth="1" style="1070" min="19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0"/>
    <col width="8.83203125" customWidth="1" style="1070" min="101" max="16384"/>
  </cols>
  <sheetData>
    <row r="1" ht="15" customHeight="1" s="1085">
      <c r="C1" s="1148" t="inlineStr">
        <is>
          <t xml:space="preserve">F24-19    EDGE BOX COST SHEET </t>
        </is>
      </c>
      <c r="E1" s="216" t="n"/>
      <c r="F1" s="216" t="n"/>
      <c r="G1" s="216" t="n"/>
      <c r="H1" s="216" t="n"/>
      <c r="I1" s="29" t="n"/>
      <c r="J1" s="336" t="n"/>
      <c r="K1" s="337" t="n"/>
      <c r="L1" s="338" t="n"/>
      <c r="M1" s="339" t="n"/>
      <c r="N1" s="336" t="n"/>
      <c r="O1" s="975" t="inlineStr">
        <is>
          <t>JAN25-19</t>
        </is>
      </c>
      <c r="S1" s="80" t="n"/>
      <c r="T1" s="218" t="n"/>
    </row>
    <row r="2" ht="15" customHeight="1" s="1085">
      <c r="C2" s="79" t="n"/>
      <c r="D2" s="221" t="n"/>
      <c r="E2" s="221" t="n"/>
      <c r="G2" s="79" t="n"/>
      <c r="H2" s="77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C3" s="78" t="inlineStr">
        <is>
          <t>Job No.</t>
        </is>
      </c>
      <c r="D3" s="1130">
        <f>IF(CANOPY!C3="","",CANOPY!C3)</f>
        <v/>
      </c>
      <c r="G3" s="76" t="inlineStr">
        <is>
          <t>Project Name</t>
        </is>
      </c>
      <c r="H3" s="1071">
        <f>IF(CANOPY!G3="","",CANOPY!G3)</f>
        <v/>
      </c>
      <c r="L3" s="342" t="n"/>
      <c r="M3" s="343" t="n"/>
      <c r="N3" s="344" t="n"/>
      <c r="T3" s="225" t="n"/>
    </row>
    <row r="4" ht="15" customHeight="1" s="1085">
      <c r="C4" s="79" t="n"/>
      <c r="D4" s="223" t="n"/>
      <c r="E4" s="223" t="n"/>
      <c r="G4" s="77" t="n"/>
      <c r="H4" s="222" t="n"/>
      <c r="I4" s="227" t="n"/>
      <c r="J4" s="341" t="n"/>
      <c r="L4" s="342" t="n"/>
      <c r="M4" s="343" t="n"/>
      <c r="N4" s="344" t="n"/>
      <c r="T4" s="225" t="n"/>
    </row>
    <row r="5" ht="15" customHeight="1" s="1085">
      <c r="C5" s="78" t="inlineStr">
        <is>
          <t>Customer</t>
        </is>
      </c>
      <c r="D5" s="1074">
        <f>IF(CANOPY!C5="","",CANOPY!C5)</f>
        <v/>
      </c>
      <c r="G5" s="76" t="inlineStr">
        <is>
          <t>Location</t>
        </is>
      </c>
      <c r="H5" s="1071">
        <f>IF(CANOPY!G5="","",CANOPY!G5)</f>
        <v/>
      </c>
      <c r="M5" s="343" t="n"/>
      <c r="N5" s="344" t="n"/>
      <c r="Q5" s="229" t="n"/>
      <c r="R5" s="229" t="n"/>
      <c r="T5" s="225" t="n"/>
      <c r="U5" s="226" t="n"/>
    </row>
    <row r="6" ht="15" customHeight="1" s="1085">
      <c r="C6" s="78" t="n"/>
      <c r="D6" s="230" t="n"/>
      <c r="E6" s="230" t="n"/>
      <c r="G6" s="76" t="n"/>
      <c r="H6" s="222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C7" s="80" t="inlineStr">
        <is>
          <t>Sales Manager / Estimator initials</t>
        </is>
      </c>
      <c r="D7" s="1074">
        <f>IF(CANOPY!C7="","",CANOPY!C7)</f>
        <v/>
      </c>
      <c r="G7" s="76" t="inlineStr">
        <is>
          <t>Date</t>
        </is>
      </c>
      <c r="H7" s="1075">
        <f>IF(CANOPY!G7="","",CANOPY!G7)</f>
        <v/>
      </c>
      <c r="N7" s="347" t="inlineStr">
        <is>
          <t>Revision No</t>
        </is>
      </c>
      <c r="O7" s="900">
        <f>IF(CANOPY!O7="","",CANOPY!O7)</f>
        <v/>
      </c>
      <c r="P7" s="1157" t="inlineStr">
        <is>
          <t>GP SHOULD BE MINIMUM 44%</t>
        </is>
      </c>
      <c r="T7" s="225" t="n"/>
      <c r="U7" s="226" t="n"/>
      <c r="AA7" s="231" t="n"/>
    </row>
    <row r="8" ht="15" customHeight="1" s="1085">
      <c r="E8" s="219" t="n"/>
      <c r="F8" s="219" t="n"/>
      <c r="H8" s="219" t="n"/>
      <c r="J8" s="346" t="n"/>
      <c r="K8" s="14" t="n"/>
      <c r="T8" s="225" t="n"/>
      <c r="AA8" s="231" t="n"/>
    </row>
    <row r="9" ht="15" customFormat="1" customHeight="1" s="80">
      <c r="A9" s="215" t="n"/>
      <c r="B9" s="215" t="n"/>
      <c r="C9" s="38" t="inlineStr">
        <is>
          <t>CURRENCY</t>
        </is>
      </c>
      <c r="D9" s="951" t="n">
        <v>0</v>
      </c>
      <c r="E9" s="377">
        <f>IF(D9=0,0,(SUBTOTAL(9,M14:M48)/(1-D9))-M9)</f>
        <v/>
      </c>
      <c r="I9" s="234" t="n"/>
      <c r="K9" s="25">
        <f>SUBTOTAL(9,K12:K48)</f>
        <v/>
      </c>
      <c r="L9" s="970">
        <f>IF(O9=0,"-",O9/M9)</f>
        <v/>
      </c>
      <c r="M9" s="25">
        <f>SUBTOTAL(9,M12:M48)</f>
        <v/>
      </c>
      <c r="N9" s="464">
        <f>SUBTOTAL(9,N12:N48)</f>
        <v/>
      </c>
      <c r="O9" s="25">
        <f>SUBTOTAL(9,O12:O48)</f>
        <v/>
      </c>
      <c r="P9" s="1070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215" t="n"/>
      <c r="C12" s="1089" t="inlineStr">
        <is>
          <t xml:space="preserve">ITEM </t>
        </is>
      </c>
      <c r="D12" s="236" t="n"/>
      <c r="E12" s="237">
        <f>E14</f>
        <v/>
      </c>
      <c r="F12" s="838" t="n">
        <v>0</v>
      </c>
      <c r="G12" s="838">
        <f>IF(I12&lt;1,0,CEILING((G14-100)/I14,250))</f>
        <v/>
      </c>
      <c r="H12" s="237">
        <f>E12&amp;G12&amp;F12</f>
        <v/>
      </c>
      <c r="I12" s="236">
        <f>IF(F14=0,0,IF(G14=0,0,(F14/(IF(D14="WALL",F14,(F14/2)))*I14)))</f>
        <v/>
      </c>
      <c r="J12" s="238" t="n"/>
      <c r="K12" s="154">
        <f>SUBTOTAL(9,K14:K34)</f>
        <v/>
      </c>
      <c r="L12" s="15">
        <f>IF(K14=0,"-",O12/M12)</f>
        <v/>
      </c>
      <c r="M12" s="154">
        <f>SUBTOTAL(9,M14:M34)</f>
        <v/>
      </c>
      <c r="N12" s="464">
        <f>SUBTOTAL(9,N14:N34)</f>
        <v/>
      </c>
      <c r="O12" s="154">
        <f>SUBTOTAL(9,O14:O34)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LENGTH</t>
        </is>
      </c>
      <c r="G13" s="10" t="inlineStr">
        <is>
          <t>WIDTH</t>
        </is>
      </c>
      <c r="H13" s="10" t="inlineStr">
        <is>
          <t>HEIGHT</t>
        </is>
      </c>
      <c r="I13" s="10" t="inlineStr">
        <is>
          <t>SECTIONS</t>
        </is>
      </c>
      <c r="J13" s="349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A14" s="215" t="n">
        <v>210</v>
      </c>
      <c r="C14" s="791" t="inlineStr">
        <is>
          <t xml:space="preserve">PS-150 TOUCH SCREEN </t>
        </is>
      </c>
      <c r="D14" s="460" t="inlineStr">
        <is>
          <t>TOUCH SCREEN REMOTE BOX - METAL</t>
        </is>
      </c>
      <c r="E14" s="448" t="n"/>
      <c r="F14" s="837" t="n">
        <v>300</v>
      </c>
      <c r="G14" s="835" t="n">
        <v>95</v>
      </c>
      <c r="H14" s="896" t="n">
        <v>250</v>
      </c>
      <c r="I14" s="31" t="n"/>
      <c r="J14" s="380" t="n">
        <v>419.97</v>
      </c>
      <c r="K14" s="378">
        <f>SUM(J14*E14)</f>
        <v/>
      </c>
      <c r="L14" s="392" t="n">
        <v>0.35</v>
      </c>
      <c r="M14" s="311">
        <f>(K14/(1-L14))*(1+$D$9)</f>
        <v/>
      </c>
      <c r="N14" s="378">
        <f>(M14*VLOOKUP($C$9,'Base Costs'!$A$32:$B$37,2,FALSE))</f>
        <v/>
      </c>
      <c r="O14" s="379">
        <f>M14-K14</f>
        <v/>
      </c>
      <c r="U14" s="229" t="n"/>
      <c r="AA14" s="1070" t="n"/>
    </row>
    <row r="15" ht="15" customHeight="1" s="1085">
      <c r="A15" s="215" t="n">
        <v>104</v>
      </c>
      <c r="C15" s="855" t="inlineStr">
        <is>
          <t>PS-152 EDGE BOX</t>
        </is>
      </c>
      <c r="D15" s="460" t="inlineStr">
        <is>
          <t>PEU/AEU/HOODS (Staged Alarms)</t>
        </is>
      </c>
      <c r="E15" s="448" t="n"/>
      <c r="F15" s="895" t="n">
        <v>380</v>
      </c>
      <c r="G15" s="835" t="n">
        <v>300</v>
      </c>
      <c r="H15" s="896" t="n">
        <v>180</v>
      </c>
      <c r="I15" s="31" t="n"/>
      <c r="J15" s="380" t="n">
        <v>1030.52</v>
      </c>
      <c r="K15" s="378">
        <f>SUM(J15*E15)</f>
        <v/>
      </c>
      <c r="L15" s="392" t="n">
        <v>0.35</v>
      </c>
      <c r="M15" s="311">
        <f>(K15/(1-L15))*(1+$D$9)</f>
        <v/>
      </c>
      <c r="N15" s="378">
        <f>(M15*VLOOKUP($C$9,'Base Costs'!$A$32:$B$37,2,FALSE))</f>
        <v/>
      </c>
      <c r="O15" s="379">
        <f>M15-K15</f>
        <v/>
      </c>
      <c r="U15" s="229" t="n"/>
      <c r="AA15" s="1070" t="n"/>
    </row>
    <row r="16" ht="15" customHeight="1" s="1085">
      <c r="A16" s="215" t="n">
        <v>234</v>
      </c>
      <c r="C16" s="855" t="inlineStr">
        <is>
          <t>PS-153 EDGE BOX</t>
        </is>
      </c>
      <c r="D16" s="460" t="inlineStr">
        <is>
          <t>PEU/HOODS (Staged Alarms)</t>
        </is>
      </c>
      <c r="E16" s="461" t="n"/>
      <c r="F16" s="895" t="n">
        <v>380</v>
      </c>
      <c r="G16" s="835" t="n">
        <v>300</v>
      </c>
      <c r="H16" s="896" t="n">
        <v>180</v>
      </c>
      <c r="I16" s="31" t="n"/>
      <c r="J16" s="380" t="n">
        <v>690.16</v>
      </c>
      <c r="K16" s="378">
        <f>SUM(J16*E16)</f>
        <v/>
      </c>
      <c r="L16" s="392" t="n">
        <v>0.35</v>
      </c>
      <c r="M16" s="311">
        <f>(K16/(1-L16))*(1+$D$9)</f>
        <v/>
      </c>
      <c r="N16" s="378">
        <f>(M16*VLOOKUP($C$9,'Base Costs'!$A$32:$B$37,2,FALSE))</f>
        <v/>
      </c>
      <c r="O16" s="379">
        <f>M16-K16</f>
        <v/>
      </c>
      <c r="U16" s="229" t="n"/>
      <c r="AA16" s="1070" t="n"/>
    </row>
    <row r="17" ht="15" customHeight="1" s="1085">
      <c r="C17" s="855" t="inlineStr">
        <is>
          <t>PS-154 EDGE BOX</t>
        </is>
      </c>
      <c r="D17" s="460" t="inlineStr">
        <is>
          <t>PEU/MRV/HOODS (Staged Alarms)</t>
        </is>
      </c>
      <c r="E17" s="448" t="n"/>
      <c r="F17" s="895" t="n">
        <v>380</v>
      </c>
      <c r="G17" s="895" t="n">
        <v>300</v>
      </c>
      <c r="H17" s="896" t="n">
        <v>180</v>
      </c>
      <c r="I17" s="31" t="n"/>
      <c r="J17" s="380" t="n">
        <v>894.01</v>
      </c>
      <c r="K17" s="378">
        <f>SUM(J17*E17)</f>
        <v/>
      </c>
      <c r="L17" s="392" t="n">
        <v>0.35</v>
      </c>
      <c r="M17" s="311">
        <f>(K17/(1-L17))*(1+$D$9)</f>
        <v/>
      </c>
      <c r="N17" s="378">
        <f>(M17*VLOOKUP($C$9,'Base Costs'!$A$32:$B$37,2,FALSE))</f>
        <v/>
      </c>
      <c r="O17" s="379">
        <f>M17-K17</f>
        <v/>
      </c>
      <c r="U17" s="229" t="n"/>
      <c r="AA17" s="1070" t="n"/>
    </row>
    <row r="18" ht="15" customHeight="1" s="1085">
      <c r="C18" s="855" t="inlineStr">
        <is>
          <t>PS-155 EDGE BOX</t>
        </is>
      </c>
      <c r="D18" s="460" t="inlineStr">
        <is>
          <t>PEU/AEU/ MRV/HOOD (No Staged Alarms)</t>
        </is>
      </c>
      <c r="E18" s="448" t="n"/>
      <c r="F18" s="895" t="n">
        <v>380</v>
      </c>
      <c r="G18" s="895" t="n">
        <v>300</v>
      </c>
      <c r="H18" s="896" t="n">
        <v>180</v>
      </c>
      <c r="I18" s="31" t="n"/>
      <c r="J18" s="380" t="n">
        <v>1039.58</v>
      </c>
      <c r="K18" s="378">
        <f>SUM(J18*E18)</f>
        <v/>
      </c>
      <c r="L18" s="392" t="n">
        <v>0.35</v>
      </c>
      <c r="M18" s="311">
        <f>(K18/(1-L18))*(1+$D$9)</f>
        <v/>
      </c>
      <c r="N18" s="378">
        <f>(M18*VLOOKUP($C$9,'Base Costs'!$A$32:$B$37,2,FALSE))</f>
        <v/>
      </c>
      <c r="O18" s="379">
        <f>M18-K18</f>
        <v/>
      </c>
      <c r="U18" s="229" t="n"/>
      <c r="AA18" s="1070" t="n"/>
    </row>
    <row r="19" ht="15" customHeight="1" s="1085">
      <c r="C19" s="855" t="n"/>
      <c r="D19" s="460" t="n"/>
      <c r="E19" s="448" t="n"/>
      <c r="F19" s="895" t="n"/>
      <c r="G19" s="895" t="n"/>
      <c r="H19" s="896" t="n"/>
      <c r="I19" s="31" t="n"/>
      <c r="J19" s="380" t="n"/>
      <c r="K19" s="378" t="n"/>
      <c r="L19" s="392" t="n"/>
      <c r="M19" s="311" t="n"/>
      <c r="N19" s="378" t="n"/>
      <c r="O19" s="379" t="n"/>
      <c r="U19" s="229" t="n"/>
      <c r="AA19" s="1070" t="n"/>
    </row>
    <row r="20" ht="15" customHeight="1" s="1085">
      <c r="C20" s="791" t="inlineStr">
        <is>
          <t>RCL-329 LPC-3 GOT.112 (CANOPY CONTROL)</t>
        </is>
      </c>
      <c r="D20" s="1065" t="inlineStr">
        <is>
          <t>GOT Panel Comp for UV-c (24 Sections Max)</t>
        </is>
      </c>
      <c r="E20" s="448" t="n"/>
      <c r="F20" s="895" t="n">
        <v>160</v>
      </c>
      <c r="G20" s="895" t="n">
        <v>34</v>
      </c>
      <c r="H20" s="896" t="n">
        <v>106</v>
      </c>
      <c r="I20" s="31" t="n"/>
      <c r="J20" s="380" t="n">
        <v>336.21</v>
      </c>
      <c r="K20" s="378">
        <f>SUM(J20*E20)</f>
        <v/>
      </c>
      <c r="L20" s="392" t="n">
        <v>0.35</v>
      </c>
      <c r="M20" s="311">
        <f>(K20/(1-L20))*(1+$D$9)</f>
        <v/>
      </c>
      <c r="N20" s="378">
        <f>(M20*VLOOKUP($C$9,'Base Costs'!$A$32:$B$37,2,FALSE))</f>
        <v/>
      </c>
      <c r="O20" s="379">
        <f>M20-K20</f>
        <v/>
      </c>
      <c r="U20" s="229" t="n"/>
      <c r="AA20" s="1070" t="n"/>
    </row>
    <row r="21" ht="15" customHeight="1" s="1085">
      <c r="C21" s="791" t="inlineStr">
        <is>
          <t>RCL-342 GOT-112 WALL BOX</t>
        </is>
      </c>
      <c r="D21" s="460" t="inlineStr">
        <is>
          <t>Remote Mounting box if Required</t>
        </is>
      </c>
      <c r="E21" s="448" t="n"/>
      <c r="F21" s="895" t="n">
        <v>270</v>
      </c>
      <c r="G21" s="895" t="n">
        <v>200</v>
      </c>
      <c r="H21" s="896" t="n">
        <v>150</v>
      </c>
      <c r="I21" s="31" t="n"/>
      <c r="J21" s="380" t="n">
        <v>82</v>
      </c>
      <c r="K21" s="378">
        <f>SUM(J21*E21)</f>
        <v/>
      </c>
      <c r="L21" s="392" t="n">
        <v>0.35</v>
      </c>
      <c r="M21" s="311">
        <f>(K21/(1-L21))*(1+$D$9)</f>
        <v/>
      </c>
      <c r="N21" s="378">
        <f>(M21*VLOOKUP($C$9,'Base Costs'!$A$32:$B$37,2,FALSE))</f>
        <v/>
      </c>
      <c r="O21" s="379">
        <f>M21-K21</f>
        <v/>
      </c>
      <c r="U21" s="229" t="n"/>
      <c r="AA21" s="1070" t="n"/>
    </row>
    <row r="22" ht="15" customHeight="1" s="1085">
      <c r="C22" s="270" t="inlineStr">
        <is>
          <t>RCL-280 STAGED ALARM BOX</t>
        </is>
      </c>
      <c r="D22" s="460" t="inlineStr">
        <is>
          <t>MU5 CONTROLLER BOX</t>
        </is>
      </c>
      <c r="E22" s="448" t="n"/>
      <c r="F22" s="895" t="n">
        <v>179</v>
      </c>
      <c r="G22" s="895" t="n">
        <v>129</v>
      </c>
      <c r="H22" s="896" t="n">
        <v>100</v>
      </c>
      <c r="I22" s="31" t="n"/>
      <c r="J22" s="380" t="n">
        <v>212.86</v>
      </c>
      <c r="K22" s="378">
        <f>SUM(J22*E22)</f>
        <v/>
      </c>
      <c r="L22" s="392" t="n">
        <v>0.35</v>
      </c>
      <c r="M22" s="311">
        <f>(K22/(1-L22))*(1+$D$9)</f>
        <v/>
      </c>
      <c r="N22" s="378">
        <f>(M22*VLOOKUP($C$9,'Base Costs'!$A$32:$B$37,2,FALSE))</f>
        <v/>
      </c>
      <c r="O22" s="379">
        <f>M22-K22</f>
        <v/>
      </c>
      <c r="P22" s="1064" t="inlineStr">
        <is>
          <t xml:space="preserve">Add if Alarms requested for a GOT panel </t>
        </is>
      </c>
      <c r="U22" s="229" t="n"/>
      <c r="AA22" s="1070" t="n"/>
    </row>
    <row r="23" ht="15" customHeight="1" s="1085">
      <c r="A23" s="215" t="n">
        <v>289</v>
      </c>
      <c r="C23" s="270" t="n"/>
      <c r="D23" s="460" t="n"/>
      <c r="E23" s="448" t="n"/>
      <c r="F23" s="895" t="n"/>
      <c r="G23" s="895" t="n"/>
      <c r="H23" s="896" t="n"/>
      <c r="I23" s="31" t="n"/>
      <c r="J23" s="380" t="n"/>
      <c r="K23" s="378">
        <f>SUM(J23*E23)</f>
        <v/>
      </c>
      <c r="L23" s="392" t="n"/>
      <c r="M23" s="311">
        <f>(K23/(1-L23))*(1+$D$9)</f>
        <v/>
      </c>
      <c r="N23" s="378">
        <f>(M23*VLOOKUP($C$9,'Base Costs'!$A$32:$B$37,2,FALSE))</f>
        <v/>
      </c>
      <c r="O23" s="379">
        <f>M23-K23</f>
        <v/>
      </c>
      <c r="U23" s="229" t="n"/>
      <c r="AA23" s="1070" t="n"/>
    </row>
    <row r="24" ht="15" customHeight="1" s="1085">
      <c r="A24" s="215" t="n">
        <v>242</v>
      </c>
      <c r="C24" s="270" t="inlineStr">
        <is>
          <t xml:space="preserve">PS-160 EXTERNAL AERIAL </t>
        </is>
      </c>
      <c r="D24" s="460" t="inlineStr">
        <is>
          <t>EXTERNAL AERIAL BOX</t>
        </is>
      </c>
      <c r="E24" s="448" t="n"/>
      <c r="F24" s="895" t="n">
        <v>250</v>
      </c>
      <c r="G24" s="895" t="n">
        <v>175</v>
      </c>
      <c r="H24" s="896" t="n">
        <v>100</v>
      </c>
      <c r="I24" s="31" t="n"/>
      <c r="J24" s="380" t="n">
        <v>100.91</v>
      </c>
      <c r="K24" s="378">
        <f>SUM(J24*E24)</f>
        <v/>
      </c>
      <c r="L24" s="392" t="n">
        <v>0.35</v>
      </c>
      <c r="M24" s="311">
        <f>(K24/(1-L24))*(1+$D$9)</f>
        <v/>
      </c>
      <c r="N24" s="378">
        <f>(M24*VLOOKUP($C$9,'Base Costs'!$A$32:$B$37,2,FALSE))</f>
        <v/>
      </c>
      <c r="O24" s="379">
        <f>M24-K24</f>
        <v/>
      </c>
      <c r="U24" s="229" t="n"/>
      <c r="AA24" s="1070" t="n"/>
    </row>
    <row r="25" ht="15" customHeight="1" s="1085">
      <c r="A25" s="215" t="n">
        <v>220</v>
      </c>
      <c r="C25" s="855" t="inlineStr">
        <is>
          <t xml:space="preserve">PS-156 EDGE BOX REMOTE ROUTER (UV-GOT)  </t>
        </is>
      </c>
      <c r="D25" s="1066" t="inlineStr">
        <is>
          <t>EXTERNAL ROUTER</t>
        </is>
      </c>
      <c r="E25" s="448" t="n"/>
      <c r="F25" s="837" t="n">
        <v>250</v>
      </c>
      <c r="G25" s="895" t="n">
        <v>175</v>
      </c>
      <c r="H25" s="896" t="n">
        <v>100</v>
      </c>
      <c r="I25" s="31" t="n"/>
      <c r="J25" s="380" t="n">
        <v>484.58</v>
      </c>
      <c r="K25" s="378">
        <f>SUM(J25*E25)</f>
        <v/>
      </c>
      <c r="L25" s="392" t="n">
        <v>0.35</v>
      </c>
      <c r="M25" s="311">
        <f>(K25/(1-L25))*(1+$D$9)</f>
        <v/>
      </c>
      <c r="N25" s="378">
        <f>(M25*VLOOKUP($C$9,'Base Costs'!$A$32:$B$37,2,FALSE))</f>
        <v/>
      </c>
      <c r="O25" s="379">
        <f>M25-K25</f>
        <v/>
      </c>
      <c r="U25" s="229" t="n"/>
      <c r="AA25" s="1070" t="n"/>
    </row>
    <row r="26" ht="15" customHeight="1" s="1085">
      <c r="A26" s="215" t="n">
        <v>103</v>
      </c>
      <c r="C26" s="855" t="n"/>
      <c r="D26" s="460" t="n"/>
      <c r="E26" s="448" t="n"/>
      <c r="F26" s="837" t="n"/>
      <c r="G26" s="895" t="n"/>
      <c r="H26" s="896" t="n"/>
      <c r="I26" s="31" t="n"/>
      <c r="J26" s="380" t="n"/>
      <c r="K26" s="378">
        <f>SUM(J26*E26)</f>
        <v/>
      </c>
      <c r="L26" s="392" t="n"/>
      <c r="M26" s="311">
        <f>(K26/(1-L26))*(1+$D$9)</f>
        <v/>
      </c>
      <c r="N26" s="378">
        <f>(M26*VLOOKUP($C$9,'Base Costs'!$A$32:$B$37,2,FALSE))</f>
        <v/>
      </c>
      <c r="O26" s="379">
        <f>M26-K26</f>
        <v/>
      </c>
      <c r="U26" s="229" t="n"/>
      <c r="AA26" s="1070" t="n"/>
    </row>
    <row r="27" ht="15" customHeight="1" s="1085">
      <c r="A27" s="215" t="n">
        <v>103</v>
      </c>
      <c r="C27" s="855" t="inlineStr">
        <is>
          <t>CONNECTIVITY PS-153/152/154/155</t>
        </is>
      </c>
      <c r="D27" s="921" t="inlineStr">
        <is>
          <t xml:space="preserve"> NOT INCLUDED IN THE ABOVE</t>
        </is>
      </c>
      <c r="E27" s="448" t="n"/>
      <c r="F27" s="837" t="n"/>
      <c r="G27" s="895" t="n"/>
      <c r="H27" s="896" t="n"/>
      <c r="I27" s="31" t="n"/>
      <c r="J27" s="380" t="n">
        <v>522.38</v>
      </c>
      <c r="K27" s="378">
        <f>SUM(J27*E27)</f>
        <v/>
      </c>
      <c r="L27" s="392" t="n">
        <v>0.35</v>
      </c>
      <c r="M27" s="311">
        <f>(K27/(1-L27))*(1+$D$9)</f>
        <v/>
      </c>
      <c r="N27" s="378">
        <f>(M27*VLOOKUP($C$9,'Base Costs'!$A$32:$B$37,2,FALSE))</f>
        <v/>
      </c>
      <c r="O27" s="379">
        <f>M27-K27</f>
        <v/>
      </c>
      <c r="P27" s="990" t="inlineStr">
        <is>
          <t>EDGE UP2 Plus First Year Connectivity Fee from Group</t>
        </is>
      </c>
      <c r="U27" s="229" t="n"/>
      <c r="AA27" s="1070" t="n"/>
    </row>
    <row r="28" ht="15" customHeight="1" s="1085">
      <c r="C28" s="855" t="inlineStr">
        <is>
          <t>CONNECTIVITY  (UV-GOT)</t>
        </is>
      </c>
      <c r="D28" s="1067" t="inlineStr">
        <is>
          <t xml:space="preserve"> NOT INCLUDED IN THE ABOVE</t>
        </is>
      </c>
      <c r="E28" s="448" t="n"/>
      <c r="F28" s="895" t="n"/>
      <c r="G28" s="895" t="n"/>
      <c r="H28" s="896" t="n"/>
      <c r="I28" s="31" t="n"/>
      <c r="J28" s="380" t="n">
        <v>130</v>
      </c>
      <c r="K28" s="378">
        <f>SUM(J28*E28)</f>
        <v/>
      </c>
      <c r="L28" s="392" t="n">
        <v>0.35</v>
      </c>
      <c r="M28" s="311">
        <f>(K28/(1-L28))*(1+$D$9)</f>
        <v/>
      </c>
      <c r="N28" s="378">
        <f>(M28*VLOOKUP($C$9,'Base Costs'!$A$32:$B$37,2,FALSE))</f>
        <v/>
      </c>
      <c r="O28" s="379">
        <f>M28-K28</f>
        <v/>
      </c>
      <c r="P28" s="990" t="inlineStr">
        <is>
          <t>First Year Connectivity Fee from Group</t>
        </is>
      </c>
      <c r="U28" s="229" t="n"/>
      <c r="AA28" s="1070" t="n"/>
    </row>
    <row r="29" ht="15" customHeight="1" s="1085">
      <c r="A29" s="215" t="n">
        <v>285</v>
      </c>
      <c r="C29" s="855" t="n"/>
      <c r="D29" s="460" t="n"/>
      <c r="E29" s="448" t="n"/>
      <c r="F29" s="898" t="n"/>
      <c r="G29" s="898" t="n"/>
      <c r="H29" s="899" t="n"/>
      <c r="I29" s="31" t="n"/>
      <c r="J29" s="380" t="n"/>
      <c r="K29" s="378">
        <f>SUM(J29*E29)</f>
        <v/>
      </c>
      <c r="L29" s="392" t="n"/>
      <c r="M29" s="311">
        <f>(K29/(1-L29))*(1+$D$9)</f>
        <v/>
      </c>
      <c r="N29" s="378">
        <f>(M29*VLOOKUP($C$9,'Base Costs'!$A$32:$B$37,2,FALSE))</f>
        <v/>
      </c>
      <c r="O29" s="379">
        <f>M29-K29</f>
        <v/>
      </c>
      <c r="U29" s="229" t="n"/>
      <c r="AA29" s="1070" t="n"/>
    </row>
    <row r="30" ht="15" customHeight="1" s="1085">
      <c r="C30" s="855" t="n"/>
      <c r="D30" s="460" t="n"/>
      <c r="E30" s="448" t="n"/>
      <c r="F30" s="898" t="n"/>
      <c r="G30" s="898" t="n"/>
      <c r="H30" s="899" t="n"/>
      <c r="I30" s="31" t="n"/>
      <c r="J30" s="380" t="n"/>
      <c r="K30" s="378">
        <f>SUM(J30*E30)</f>
        <v/>
      </c>
      <c r="L30" s="392" t="n"/>
      <c r="M30" s="311">
        <f>(K30/(1-L30))*(1+$D$9)</f>
        <v/>
      </c>
      <c r="N30" s="378">
        <f>(M30*VLOOKUP($C$9,'Base Costs'!$A$32:$B$37,2,FALSE))</f>
        <v/>
      </c>
      <c r="O30" s="379">
        <f>M30-K30</f>
        <v/>
      </c>
      <c r="U30" s="229" t="n"/>
      <c r="AA30" s="1070" t="n"/>
    </row>
    <row r="31" ht="15" customHeight="1" s="1085">
      <c r="C31" s="269" t="n"/>
      <c r="D31" s="460" t="n"/>
      <c r="E31" s="448" t="n"/>
      <c r="F31" s="895" t="n"/>
      <c r="G31" s="895" t="n"/>
      <c r="H31" s="896" t="n"/>
      <c r="I31" s="31" t="n"/>
      <c r="J31" s="380" t="n">
        <v>0</v>
      </c>
      <c r="K31" s="378">
        <f>SUM(J31*E31)</f>
        <v/>
      </c>
      <c r="L31" s="392" t="n"/>
      <c r="M31" s="311">
        <f>(K31/(1-L31))*(1+$D$9)</f>
        <v/>
      </c>
      <c r="N31" s="378">
        <f>(M31*VLOOKUP($C$9,'Base Costs'!$A$32:$B$37,2,FALSE))</f>
        <v/>
      </c>
      <c r="O31" s="379">
        <f>M31-K31</f>
        <v/>
      </c>
      <c r="U31" s="229" t="n"/>
      <c r="AA31" s="1070" t="n"/>
    </row>
    <row r="32" ht="15" customHeight="1" s="1085">
      <c r="A32" s="215" t="n">
        <v>286</v>
      </c>
      <c r="C32" s="270" t="n"/>
      <c r="D32" s="460" t="n"/>
      <c r="E32" s="448" t="n"/>
      <c r="F32" s="895" t="n"/>
      <c r="G32" s="895" t="n"/>
      <c r="H32" s="896" t="n"/>
      <c r="I32" s="31" t="n"/>
      <c r="J32" s="380" t="n">
        <v>0</v>
      </c>
      <c r="K32" s="378">
        <f>SUM(J32*E32)</f>
        <v/>
      </c>
      <c r="L32" s="392" t="n"/>
      <c r="M32" s="311">
        <f>(K32/(1-L32))*(1+$D$9)</f>
        <v/>
      </c>
      <c r="N32" s="378">
        <f>(M32*VLOOKUP($C$9,'Base Costs'!$A$32:$B$37,2,FALSE))</f>
        <v/>
      </c>
      <c r="O32" s="379">
        <f>M32-K32</f>
        <v/>
      </c>
      <c r="U32" s="229" t="n"/>
      <c r="AA32" s="1070" t="n"/>
    </row>
    <row r="33" ht="15" customHeight="1" s="1085">
      <c r="C33" s="269" t="n"/>
      <c r="D33" s="460" t="n"/>
      <c r="E33" s="448" t="n"/>
      <c r="F33" s="462" t="n"/>
      <c r="G33" s="32" t="n"/>
      <c r="H33" s="30" t="n"/>
      <c r="I33" s="31" t="n"/>
      <c r="J33" s="933" t="n"/>
      <c r="K33" s="378">
        <f>SUM(J33*E33)</f>
        <v/>
      </c>
      <c r="L33" s="392" t="n"/>
      <c r="M33" s="311">
        <f>(K33/(1-L33))*(1+$D$9)</f>
        <v/>
      </c>
      <c r="N33" s="378">
        <f>(M33*VLOOKUP($C$9,'Base Costs'!$A$32:$B$37,2,FALSE))</f>
        <v/>
      </c>
      <c r="O33" s="379">
        <f>M33-K33</f>
        <v/>
      </c>
      <c r="U33" s="229" t="n"/>
      <c r="AA33" s="1070" t="n"/>
    </row>
    <row r="34" ht="15" customHeight="1" s="1085">
      <c r="C34" s="855" t="n"/>
      <c r="D34" s="460" t="n"/>
      <c r="E34" s="448" t="n"/>
      <c r="F34" s="462" t="n"/>
      <c r="G34" s="32" t="n"/>
      <c r="H34" s="30" t="n"/>
      <c r="I34" s="31" t="n"/>
      <c r="J34" s="933" t="n"/>
      <c r="K34" s="378">
        <f>SUM(J34*E34)</f>
        <v/>
      </c>
      <c r="L34" s="392" t="n"/>
      <c r="M34" s="311">
        <f>(K34/(1-L34))*(1+$D$9)</f>
        <v/>
      </c>
      <c r="N34" s="378">
        <f>(M34*VLOOKUP($C$9,'Base Costs'!$A$32:$B$37,2,FALSE))</f>
        <v/>
      </c>
      <c r="O34" s="379">
        <f>M34-K34</f>
        <v/>
      </c>
      <c r="U34" s="229" t="n"/>
      <c r="AA34" s="1070" t="n"/>
    </row>
    <row r="35" ht="15" customHeight="1" s="1085">
      <c r="H35" s="34" t="inlineStr">
        <is>
          <t>SECTION UNDER 1000mm</t>
        </is>
      </c>
    </row>
    <row r="36" ht="15" customHeight="1" s="1085">
      <c r="C36" s="239" t="n"/>
      <c r="D36" s="239" t="n"/>
      <c r="E36" s="239" t="n"/>
      <c r="F36" s="239" t="n"/>
      <c r="G36" s="239" t="n"/>
      <c r="H36" s="239" t="n"/>
      <c r="I36" s="9" t="n"/>
      <c r="J36" s="11" t="n"/>
      <c r="K36" s="353" t="n"/>
      <c r="L36" s="240" t="n"/>
      <c r="M36" s="353" t="n"/>
      <c r="N36" s="353" t="n"/>
      <c r="U36" s="229" t="n"/>
      <c r="AA36" s="1070" t="n"/>
    </row>
    <row r="37" ht="15" customHeight="1" s="1085">
      <c r="C37" s="1089" t="inlineStr">
        <is>
          <t xml:space="preserve">DELIVERY &amp; INSTALLATION </t>
        </is>
      </c>
      <c r="I37" s="236" t="n"/>
      <c r="J37" s="330" t="n"/>
      <c r="K37" s="154">
        <f>SUBTOTAL(9,K38:K48)</f>
        <v/>
      </c>
      <c r="L37" s="15">
        <f>IF(K38=0,"-",O37/M37)</f>
        <v/>
      </c>
      <c r="M37" s="154">
        <f>SUBTOTAL(9,M38:M48)</f>
        <v/>
      </c>
      <c r="N37" s="464">
        <f>SUBTOTAL(9,N38:N48)</f>
        <v/>
      </c>
      <c r="O37" s="154">
        <f>SUBTOTAL(9,O39:O48)</f>
        <v/>
      </c>
      <c r="U37" s="229" t="n"/>
    </row>
    <row r="38" ht="15" customHeight="1" s="1085">
      <c r="A38" s="215" t="n">
        <v>222</v>
      </c>
      <c r="C38" s="269" t="inlineStr">
        <is>
          <t xml:space="preserve">DELIVERIES </t>
        </is>
      </c>
      <c r="D38" s="242" t="n"/>
      <c r="E38" s="309" t="inlineStr">
        <is>
          <t>SELECT LOCATION…</t>
        </is>
      </c>
      <c r="F38" s="28" t="n"/>
      <c r="G38" s="30" t="n"/>
      <c r="H38" s="28" t="n"/>
      <c r="I38" s="28" t="n"/>
      <c r="J38" s="385">
        <f>VLOOKUP(E38,'Base Costs'!E4:G213,2,FALSE)</f>
        <v/>
      </c>
      <c r="K38" s="378">
        <f>D38*J38</f>
        <v/>
      </c>
      <c r="L38" s="392" t="n">
        <v>0.33</v>
      </c>
      <c r="M38" s="311">
        <f>(K38/(1-L38))*(1+$D$9)</f>
        <v/>
      </c>
      <c r="N38" s="378">
        <f>(M38*VLOOKUP($C$9,'Base Costs'!$A$32:$B$37,2,FALSE))</f>
        <v/>
      </c>
      <c r="O38" s="379">
        <f>M38-K38</f>
        <v/>
      </c>
      <c r="U38" s="229" t="n"/>
    </row>
    <row r="39" ht="15" customHeight="1" s="1085">
      <c r="A39" s="215" t="n">
        <v>257</v>
      </c>
      <c r="C39" s="269" t="inlineStr">
        <is>
          <t>PLANT HIRE</t>
        </is>
      </c>
      <c r="D39" s="242" t="n"/>
      <c r="E39" s="309" t="inlineStr">
        <is>
          <t>PLANT SELECTION (weekly)</t>
        </is>
      </c>
      <c r="F39" s="28" t="n"/>
      <c r="G39" s="28" t="n"/>
      <c r="H39" s="28" t="n"/>
      <c r="I39" s="28" t="n"/>
      <c r="J39" s="385">
        <f>VLOOKUP(E39,'Base Costs'!$A$4:$B$16,2,FALSE)</f>
        <v/>
      </c>
      <c r="K39" s="378">
        <f>D39*J39</f>
        <v/>
      </c>
      <c r="L39" s="392" t="n">
        <v>0.33</v>
      </c>
      <c r="M39" s="311">
        <f>(K39/(1-L39))*(1+$D$9)</f>
        <v/>
      </c>
      <c r="N39" s="378">
        <f>(M39*VLOOKUP($C$9,'Base Costs'!$A$32:$B$37,2,FALSE))</f>
        <v/>
      </c>
      <c r="O39" s="379">
        <f>M39-K39</f>
        <v/>
      </c>
      <c r="U39" s="229" t="n"/>
    </row>
    <row r="40" ht="15" customHeight="1" s="1085">
      <c r="A40" s="215" t="n">
        <v>257</v>
      </c>
      <c r="C40" s="269" t="inlineStr">
        <is>
          <t>PLANT HIRE</t>
        </is>
      </c>
      <c r="D40" s="242" t="n"/>
      <c r="E40" s="309" t="inlineStr">
        <is>
          <t>PLANT SELECTION (weekly)</t>
        </is>
      </c>
      <c r="F40" s="28" t="n"/>
      <c r="G40" s="28" t="n"/>
      <c r="H40" s="28" t="n"/>
      <c r="I40" s="28" t="n"/>
      <c r="J40" s="385">
        <f>VLOOKUP(E40,'Base Costs'!$A$4:$B$16,2,FALSE)</f>
        <v/>
      </c>
      <c r="K40" s="378">
        <f>D40*J40</f>
        <v/>
      </c>
      <c r="L40" s="392" t="n">
        <v>0.33</v>
      </c>
      <c r="M40" s="311">
        <f>(K40/(1-L40))*(1+$D$9)</f>
        <v/>
      </c>
      <c r="N40" s="378">
        <f>(M40*VLOOKUP($C$9,'Base Costs'!$A$32:$B$37,2,FALSE))</f>
        <v/>
      </c>
      <c r="O40" s="379">
        <f>M40-K40</f>
        <v/>
      </c>
      <c r="U40" s="229" t="n"/>
    </row>
    <row r="41" ht="15" customHeight="1" s="1085">
      <c r="A41" s="215" t="n">
        <v>400</v>
      </c>
      <c r="C41" s="269" t="inlineStr">
        <is>
          <t>STRIP OUT</t>
        </is>
      </c>
      <c r="D41" s="242" t="n"/>
      <c r="E41" s="28" t="inlineStr">
        <is>
          <t>PER DAY</t>
        </is>
      </c>
      <c r="F41" s="28" t="n"/>
      <c r="G41" s="28" t="n"/>
      <c r="H41" s="28" t="n"/>
      <c r="I41" s="28" t="n"/>
      <c r="J41" s="385" t="n">
        <v>450</v>
      </c>
      <c r="K41" s="378">
        <f>D41*J41</f>
        <v/>
      </c>
      <c r="L41" s="392" t="n">
        <v>0.33</v>
      </c>
      <c r="M41" s="311">
        <f>(K41/(1-L41))*(1+$D$9)</f>
        <v/>
      </c>
      <c r="N41" s="378">
        <f>(M41*VLOOKUP($C$9,'Base Costs'!$A$32:$B$37,2,FALSE))</f>
        <v/>
      </c>
      <c r="O41" s="379">
        <f>M41-K41</f>
        <v/>
      </c>
      <c r="U41" s="229" t="n"/>
    </row>
    <row r="42" ht="15" customHeight="1" s="1085">
      <c r="A42" s="215" t="n">
        <v>102</v>
      </c>
      <c r="C42" s="269" t="inlineStr">
        <is>
          <t xml:space="preserve">CONSUMABLES </t>
        </is>
      </c>
      <c r="D42" s="242" t="n">
        <v>1</v>
      </c>
      <c r="E42" s="28" t="inlineStr">
        <is>
          <t>ON SITE FIXINGS</t>
        </is>
      </c>
      <c r="F42" s="28" t="n"/>
      <c r="G42" s="28" t="n"/>
      <c r="H42" s="28" t="n"/>
      <c r="I42" s="28" t="n"/>
      <c r="J42" s="385" t="n">
        <v>15</v>
      </c>
      <c r="K42" s="378">
        <f>D42*J42</f>
        <v/>
      </c>
      <c r="L42" s="392" t="n">
        <v>0.33</v>
      </c>
      <c r="M42" s="311">
        <f>(K42/(1-L42))*(1+$D$9)</f>
        <v/>
      </c>
      <c r="N42" s="378">
        <f>(M42*VLOOKUP($C$9,'Base Costs'!$A$32:$B$37,2,FALSE))</f>
        <v/>
      </c>
      <c r="O42" s="379">
        <f>M42-K42</f>
        <v/>
      </c>
      <c r="U42" s="229" t="n"/>
    </row>
    <row r="43" ht="15" customHeight="1" s="1085">
      <c r="A43" s="215" t="n">
        <v>400</v>
      </c>
      <c r="C43" s="269" t="inlineStr">
        <is>
          <t>INSTALLATION NORMAL HOURS</t>
        </is>
      </c>
      <c r="D43" s="242" t="n">
        <v>1</v>
      </c>
      <c r="E43" s="28" t="inlineStr">
        <is>
          <t>PER BOX</t>
        </is>
      </c>
      <c r="F43" s="28" t="n"/>
      <c r="G43" s="28" t="n"/>
      <c r="H43" s="28" t="n"/>
      <c r="I43" s="28" t="n"/>
      <c r="J43" s="385" t="n">
        <v>152.5</v>
      </c>
      <c r="K43" s="378">
        <f>D43*J43</f>
        <v/>
      </c>
      <c r="L43" s="392" t="n">
        <v>0.4</v>
      </c>
      <c r="M43" s="311">
        <f>(K43/(1-L43))*(1+$D$9)</f>
        <v/>
      </c>
      <c r="N43" s="378">
        <f>(M43*VLOOKUP($C$9,'Base Costs'!$A$32:$B$37,2,FALSE))</f>
        <v/>
      </c>
      <c r="O43" s="379">
        <f>M43-K43</f>
        <v/>
      </c>
      <c r="U43" s="229" t="n"/>
    </row>
    <row r="44" ht="15" customHeight="1" s="1085">
      <c r="A44" s="215" t="n">
        <v>400</v>
      </c>
      <c r="C44" s="269" t="inlineStr">
        <is>
          <t>INSTALLATION AFTER HOURS</t>
        </is>
      </c>
      <c r="D44" s="242" t="n"/>
      <c r="E44" s="28" t="inlineStr">
        <is>
          <t>PER BOX</t>
        </is>
      </c>
      <c r="F44" s="28" t="n"/>
      <c r="G44" s="28" t="n"/>
      <c r="H44" s="28" t="n"/>
      <c r="I44" s="28" t="n"/>
      <c r="J44" s="385" t="n">
        <v>861</v>
      </c>
      <c r="K44" s="378">
        <f>D44*J44</f>
        <v/>
      </c>
      <c r="L44" s="392" t="n">
        <v>0.4</v>
      </c>
      <c r="M44" s="311">
        <f>(K44/(1-L44))*(1+$D$9)</f>
        <v/>
      </c>
      <c r="N44" s="378">
        <f>(M44*VLOOKUP($C$9,'Base Costs'!$A$32:$B$37,2,FALSE))</f>
        <v/>
      </c>
      <c r="O44" s="379">
        <f>M44-K44</f>
        <v/>
      </c>
      <c r="U44" s="229" t="n"/>
    </row>
    <row r="45" ht="15" customHeight="1" s="1085">
      <c r="A45" s="215" t="n">
        <v>253</v>
      </c>
      <c r="C45" s="269" t="inlineStr">
        <is>
          <t>TRAVEL EXPENSES</t>
        </is>
      </c>
      <c r="D45" s="242" t="n"/>
      <c r="E45" s="28" t="inlineStr">
        <is>
          <t>PER NIGHT PER TEAM</t>
        </is>
      </c>
      <c r="F45" s="28" t="n"/>
      <c r="G45" s="28" t="n"/>
      <c r="H45" s="28" t="n"/>
      <c r="I45" s="28" t="n"/>
      <c r="J45" s="385" t="n"/>
      <c r="K45" s="378">
        <f>D45*J45</f>
        <v/>
      </c>
      <c r="L45" s="392" t="n">
        <v>0.33</v>
      </c>
      <c r="M45" s="311">
        <f>(K45/(1-L45))*(1+$D$9)</f>
        <v/>
      </c>
      <c r="N45" s="378">
        <f>(M45*VLOOKUP($C$9,'Base Costs'!$A$32:$B$37,2,FALSE))</f>
        <v/>
      </c>
      <c r="O45" s="379">
        <f>M45-K45</f>
        <v/>
      </c>
      <c r="U45" s="229" t="n"/>
    </row>
    <row r="46" ht="15" customHeight="1" s="1085">
      <c r="A46" s="215" t="n">
        <v>253</v>
      </c>
      <c r="C46" s="269" t="inlineStr">
        <is>
          <t>OVERNIGHT</t>
        </is>
      </c>
      <c r="D46" s="242" t="n"/>
      <c r="E46" s="28" t="inlineStr">
        <is>
          <t>PER NIGHT PER TEAM</t>
        </is>
      </c>
      <c r="F46" s="28" t="n"/>
      <c r="G46" s="28" t="n"/>
      <c r="H46" s="28" t="n"/>
      <c r="I46" s="28" t="n"/>
      <c r="J46" s="385" t="n">
        <v>170</v>
      </c>
      <c r="K46" s="378">
        <f>D46*J46</f>
        <v/>
      </c>
      <c r="L46" s="392" t="n">
        <v>0.33</v>
      </c>
      <c r="M46" s="311">
        <f>(K46/(1-L46))*(1+$D$9)</f>
        <v/>
      </c>
      <c r="N46" s="378">
        <f>(M46*VLOOKUP($C$9,'Base Costs'!$A$32:$B$37,2,FALSE))</f>
        <v/>
      </c>
      <c r="O46" s="379">
        <f>M46-K46</f>
        <v/>
      </c>
      <c r="U46" s="229" t="n"/>
    </row>
    <row r="47" ht="15" customHeight="1" s="1085">
      <c r="A47" s="215" t="n">
        <v>280</v>
      </c>
      <c r="C47" s="269" t="inlineStr">
        <is>
          <t>TEST &amp; COMMISSION</t>
        </is>
      </c>
      <c r="D47" s="242" t="n"/>
      <c r="E47" s="28" t="inlineStr">
        <is>
          <t>ONE ENGINEER</t>
        </is>
      </c>
      <c r="F47" s="28" t="n"/>
      <c r="G47" s="28" t="n"/>
      <c r="H47" s="28" t="n"/>
      <c r="I47" s="28" t="n"/>
      <c r="J47" s="385" t="n">
        <v>604</v>
      </c>
      <c r="K47" s="378">
        <f>D47*J47</f>
        <v/>
      </c>
      <c r="L47" s="392" t="n">
        <v>0.33</v>
      </c>
      <c r="M47" s="311">
        <f>(K47/(1-L47))*(1+$D$9)</f>
        <v/>
      </c>
      <c r="N47" s="378">
        <f>(M47*VLOOKUP($C$9,'Base Costs'!$A$32:$B$37,2,FALSE))</f>
        <v/>
      </c>
      <c r="O47" s="379">
        <f>M47-K47</f>
        <v/>
      </c>
      <c r="U47" s="229" t="n"/>
    </row>
    <row r="48" ht="15" customHeight="1" s="1085">
      <c r="A48" s="215" t="n">
        <v>284</v>
      </c>
      <c r="C48" s="269" t="n"/>
      <c r="D48" s="242" t="n"/>
      <c r="E48" s="28" t="inlineStr">
        <is>
          <t>OPTIONAL ITEM</t>
        </is>
      </c>
      <c r="F48" s="28" t="n"/>
      <c r="G48" s="28" t="n"/>
      <c r="H48" s="28" t="n"/>
      <c r="I48" s="28" t="n"/>
      <c r="J48" s="385" t="n">
        <v>200</v>
      </c>
      <c r="K48" s="378">
        <f>D48*J48</f>
        <v/>
      </c>
      <c r="L48" s="392" t="n">
        <v>0.33</v>
      </c>
      <c r="M48" s="311">
        <f>(K48/(1-L48))*(1+$D$9)</f>
        <v/>
      </c>
      <c r="N48" s="378">
        <f>(M48*VLOOKUP($C$9,'Base Costs'!$A$32:$B$37,2,FALSE))</f>
        <v/>
      </c>
      <c r="O48" s="379">
        <f>M48-K48</f>
        <v/>
      </c>
      <c r="U48" s="229" t="n"/>
    </row>
    <row r="49" ht="15" customHeight="1" s="1085">
      <c r="C49" s="239" t="n"/>
      <c r="D49" s="239" t="n"/>
      <c r="E49" s="239" t="n"/>
      <c r="F49" s="239" t="n"/>
      <c r="G49" s="239" t="n"/>
      <c r="H49" s="243" t="n"/>
      <c r="I49" s="244" t="n"/>
      <c r="J49" s="354" t="n"/>
      <c r="K49" s="353" t="n"/>
      <c r="L49" s="355" t="n"/>
      <c r="M49" s="353" t="n"/>
      <c r="N49" s="353" t="n"/>
      <c r="U49" s="229" t="n"/>
    </row>
    <row r="50" ht="15" customHeight="1" s="1085">
      <c r="C50" s="197" t="inlineStr">
        <is>
          <t>Office Use Only</t>
        </is>
      </c>
      <c r="D50" s="198" t="n"/>
      <c r="E50" s="199" t="n"/>
      <c r="F50" s="199" t="n"/>
      <c r="G50" s="198" t="n"/>
      <c r="H50" s="200" t="n"/>
      <c r="I50" s="198" t="n"/>
      <c r="J50" s="198" t="n"/>
      <c r="K50" s="198" t="n"/>
      <c r="L50" s="198" t="n"/>
      <c r="M50" s="198" t="n"/>
      <c r="N50" s="198" t="n"/>
      <c r="O50" s="198" t="n"/>
      <c r="U50" s="229" t="n"/>
    </row>
    <row r="51" ht="15" customHeight="1" s="1085">
      <c r="C51" s="202" t="n"/>
      <c r="D51" s="203" t="n"/>
      <c r="E51" s="202" t="n"/>
      <c r="F51" s="204" t="n"/>
      <c r="G51" s="202" t="n"/>
      <c r="H51" s="209" t="n"/>
      <c r="I51" s="203" t="n"/>
      <c r="J51" s="203" t="n"/>
      <c r="K51" s="205" t="n"/>
      <c r="L51" s="205" t="n"/>
      <c r="M51" s="205" t="n"/>
      <c r="N51" s="205" t="n"/>
      <c r="O51" s="205" t="n"/>
      <c r="U51" s="229" t="n"/>
    </row>
    <row r="52" ht="15" customHeight="1" s="1085">
      <c r="C52" s="202" t="n"/>
      <c r="D52" s="203" t="n"/>
      <c r="E52" s="202" t="n"/>
      <c r="F52" s="204" t="n"/>
      <c r="G52" s="202" t="n"/>
      <c r="H52" s="209" t="n"/>
      <c r="I52" s="203" t="n"/>
      <c r="J52" s="203" t="n"/>
      <c r="K52" s="205" t="n"/>
      <c r="L52" s="205" t="n"/>
      <c r="M52" s="205" t="n"/>
      <c r="N52" s="205" t="n"/>
      <c r="O52" s="205" t="n"/>
      <c r="U52" s="229" t="n"/>
    </row>
    <row r="53" ht="15" customHeight="1" s="1085">
      <c r="C53" s="202" t="n"/>
      <c r="D53" s="203" t="n"/>
      <c r="E53" s="202" t="n"/>
      <c r="F53" s="204" t="n"/>
      <c r="G53" s="202" t="n"/>
      <c r="H53" s="209" t="n"/>
      <c r="I53" s="203" t="n"/>
      <c r="J53" s="203" t="n"/>
      <c r="K53" s="209" t="n"/>
      <c r="L53" s="209" t="n"/>
      <c r="M53" s="209" t="n"/>
      <c r="N53" s="209" t="n"/>
      <c r="O53" s="209" t="n"/>
      <c r="U53" s="229" t="n"/>
    </row>
    <row r="54" ht="15" customHeight="1" s="1085">
      <c r="C54" s="202" t="n"/>
      <c r="D54" s="203" t="n"/>
      <c r="E54" s="202" t="n"/>
      <c r="F54" s="204" t="n"/>
      <c r="G54" s="202" t="n"/>
      <c r="H54" s="209" t="n"/>
      <c r="I54" s="206" t="n"/>
      <c r="J54" s="203" t="n"/>
      <c r="K54" s="209" t="n"/>
      <c r="L54" s="209" t="n"/>
      <c r="M54" s="209" t="n"/>
      <c r="N54" s="209" t="n"/>
      <c r="O54" s="209" t="n"/>
      <c r="U54" s="229" t="n"/>
    </row>
    <row r="55" ht="15" customHeight="1" s="1085">
      <c r="C55" s="202" t="n"/>
      <c r="D55" s="203" t="n"/>
      <c r="E55" s="202" t="n"/>
      <c r="F55" s="202" t="n"/>
      <c r="G55" s="202" t="n"/>
      <c r="H55" s="207" t="n"/>
      <c r="I55" s="209" t="n"/>
      <c r="J55" s="203" t="n"/>
      <c r="K55" s="205" t="n"/>
      <c r="L55" s="205" t="n"/>
      <c r="M55" s="205" t="n"/>
      <c r="N55" s="205" t="n"/>
      <c r="O55" s="205" t="n"/>
      <c r="U55" s="229" t="n"/>
    </row>
    <row r="56" ht="15" customHeight="1" s="1085">
      <c r="C56" s="202" t="n"/>
      <c r="D56" s="202" t="n"/>
      <c r="E56" s="202" t="n"/>
      <c r="F56" s="202" t="n"/>
      <c r="G56" s="202" t="n"/>
      <c r="H56" s="207" t="n"/>
      <c r="I56" s="209" t="n"/>
      <c r="J56" s="203" t="n"/>
      <c r="K56" s="205" t="n"/>
      <c r="L56" s="205" t="n"/>
      <c r="M56" s="205" t="n"/>
      <c r="N56" s="205" t="n"/>
      <c r="O56" s="205" t="n"/>
      <c r="U56" s="229" t="n"/>
    </row>
    <row r="57" ht="15" customHeight="1" s="1085">
      <c r="J57" s="228" t="n"/>
      <c r="M57" s="228" t="n"/>
      <c r="O57" s="228" t="n"/>
      <c r="U57" s="229" t="n"/>
    </row>
    <row r="58" ht="15" customHeight="1" s="1085">
      <c r="J58" s="228" t="n"/>
      <c r="M58" s="228" t="n"/>
      <c r="O58" s="228" t="n"/>
      <c r="U58" s="229" t="n"/>
    </row>
    <row r="59" ht="15" customHeight="1" s="1085">
      <c r="H59" s="219" t="n"/>
      <c r="U59" s="229" t="n"/>
    </row>
    <row r="60" ht="15" customHeight="1" s="1085">
      <c r="H60" s="219" t="n"/>
      <c r="U60" s="229" t="n"/>
    </row>
    <row r="61" ht="15" customHeight="1" s="1085">
      <c r="H61" s="219" t="n"/>
      <c r="U61" s="229" t="n"/>
    </row>
    <row r="62" ht="15" customHeight="1" s="1085">
      <c r="H62" s="219" t="n"/>
      <c r="U62" s="229" t="n"/>
    </row>
    <row r="63" ht="15" customHeight="1" s="1085">
      <c r="H63" s="219" t="n"/>
      <c r="U63" s="229" t="n"/>
    </row>
    <row r="64" ht="15" customHeight="1" s="1085">
      <c r="H64" s="219" t="n"/>
      <c r="U64" s="229" t="n"/>
    </row>
    <row r="65" ht="15" customHeight="1" s="1085">
      <c r="H65" s="219" t="n"/>
      <c r="U65" s="229" t="n"/>
    </row>
    <row r="66" ht="15" customHeight="1" s="1085">
      <c r="H66" s="219" t="n"/>
      <c r="U66" s="229" t="n"/>
    </row>
    <row r="67" ht="15" customHeight="1" s="1085">
      <c r="H67" s="219" t="n"/>
      <c r="U67" s="229" t="n"/>
    </row>
    <row r="68" ht="15" customHeight="1" s="1085">
      <c r="C68" s="245" t="n"/>
      <c r="D68" s="245" t="n"/>
      <c r="E68" s="245" t="n"/>
      <c r="F68" s="245" t="n"/>
      <c r="G68" s="245" t="n"/>
      <c r="H68" s="245" t="n"/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3" ht="15" customHeight="1" s="1085">
      <c r="U103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2" ht="15" customHeight="1" s="1085">
      <c r="U112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1" ht="15" customHeight="1" s="1085">
      <c r="U121" s="229" t="n"/>
    </row>
    <row r="122" ht="15" customHeight="1" s="1085">
      <c r="U122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  <row r="142" ht="15" customHeight="1" s="1085">
      <c r="U142" s="229" t="n"/>
    </row>
    <row r="143" ht="15" customHeight="1" s="1085">
      <c r="U143" s="229" t="n"/>
    </row>
    <row r="144" ht="15" customHeight="1" s="1085">
      <c r="U144" s="229" t="n"/>
    </row>
    <row r="145" ht="15" customHeight="1" s="1085">
      <c r="U145" s="229" t="n"/>
    </row>
    <row r="146" ht="15" customHeight="1" s="1085">
      <c r="U146" s="229" t="n"/>
    </row>
    <row r="147" ht="15" customHeight="1" s="1085">
      <c r="U147" s="229" t="n"/>
    </row>
    <row r="148" ht="15" customHeight="1" s="1085">
      <c r="U148" s="229" t="n"/>
    </row>
    <row r="149" ht="15" customHeight="1" s="1085">
      <c r="U149" s="229" t="n"/>
    </row>
    <row r="150" ht="15" customHeight="1" s="1085">
      <c r="U150" s="229" t="n"/>
    </row>
    <row r="151" ht="15" customHeight="1" s="1085">
      <c r="U151" s="229" t="n"/>
    </row>
    <row r="152" ht="15" customHeight="1" s="1085">
      <c r="U152" s="229" t="n"/>
    </row>
    <row r="153" ht="15" customHeight="1" s="1085">
      <c r="U153" s="229" t="n"/>
    </row>
    <row r="154" ht="15" customHeight="1" s="1085">
      <c r="U154" s="229" t="n"/>
    </row>
    <row r="155" ht="15" customHeight="1" s="1085">
      <c r="U155" s="229" t="n"/>
    </row>
    <row r="156" ht="15" customHeight="1" s="1085">
      <c r="U156" s="229" t="n"/>
    </row>
    <row r="157" ht="15" customHeight="1" s="1085">
      <c r="U157" s="229" t="n"/>
    </row>
    <row r="158" ht="15" customHeight="1" s="1085">
      <c r="U158" s="229" t="n"/>
    </row>
    <row r="159" ht="15" customHeight="1" s="1085">
      <c r="U159" s="229" t="n"/>
    </row>
    <row r="160" ht="15" customHeight="1" s="1085">
      <c r="U160" s="229" t="n"/>
    </row>
    <row r="161" ht="15" customHeight="1" s="1085">
      <c r="U161" s="229" t="n"/>
    </row>
  </sheetData>
  <mergeCells count="9">
    <mergeCell ref="P7:R7"/>
    <mergeCell ref="D7:E7"/>
    <mergeCell ref="C1:D1"/>
    <mergeCell ref="H5:J5"/>
    <mergeCell ref="C37:H37"/>
    <mergeCell ref="D5:E5"/>
    <mergeCell ref="H3:J3"/>
    <mergeCell ref="D3:E3"/>
    <mergeCell ref="H7:J7"/>
  </mergeCells>
  <conditionalFormatting sqref="C9">
    <cfRule type="containsText" priority="35" operator="containsText" dxfId="680" text="SELECT">
      <formula>NOT(ISERROR(SEARCH("SELECT",C9)))</formula>
    </cfRule>
    <cfRule type="expression" priority="36" dxfId="680">
      <formula>C9="CURRENCY"</formula>
    </cfRule>
  </conditionalFormatting>
  <conditionalFormatting sqref="C14:C34">
    <cfRule type="expression" priority="1" dxfId="633">
      <formula>$J14&gt;0</formula>
    </cfRule>
  </conditionalFormatting>
  <conditionalFormatting sqref="C38:C48">
    <cfRule type="expression" priority="12" dxfId="633">
      <formula>$D38&gt;0</formula>
    </cfRule>
  </conditionalFormatting>
  <conditionalFormatting sqref="D38:D39 D41:D48">
    <cfRule type="cellIs" priority="37" operator="lessThan" dxfId="554">
      <formula>1</formula>
    </cfRule>
  </conditionalFormatting>
  <conditionalFormatting sqref="D40">
    <cfRule type="cellIs" priority="32" operator="lessThan" dxfId="164">
      <formula>1</formula>
    </cfRule>
  </conditionalFormatting>
  <conditionalFormatting sqref="D9:E9">
    <cfRule type="cellIs" priority="33" operator="lessThan" dxfId="207">
      <formula>0</formula>
    </cfRule>
    <cfRule type="cellIs" priority="34" operator="greaterThan" dxfId="552">
      <formula>0</formula>
    </cfRule>
  </conditionalFormatting>
  <conditionalFormatting sqref="F12">
    <cfRule type="expression" priority="42" dxfId="386">
      <formula>AND((ISNUMBER(SEARCH("I-MUAP",$E$14))),F12&lt;2500)</formula>
    </cfRule>
    <cfRule type="expression" priority="43" dxfId="387">
      <formula>ISNUMBER(SEARCH("I-MUAP",$E$14))</formula>
    </cfRule>
    <cfRule type="cellIs" priority="44" operator="greaterThan" dxfId="204">
      <formula>2000</formula>
    </cfRule>
  </conditionalFormatting>
  <conditionalFormatting sqref="F12:G12">
    <cfRule type="cellIs" priority="38" operator="lessThan" dxfId="204">
      <formula>1000</formula>
    </cfRule>
  </conditionalFormatting>
  <conditionalFormatting sqref="F14:G28">
    <cfRule type="cellIs" priority="5" operator="lessThan" dxfId="164">
      <formula>1000</formula>
    </cfRule>
  </conditionalFormatting>
  <conditionalFormatting sqref="F31:G32">
    <cfRule type="cellIs" priority="2" operator="lessThan" dxfId="164">
      <formula>1000</formula>
    </cfRule>
  </conditionalFormatting>
  <conditionalFormatting sqref="G12">
    <cfRule type="cellIs" priority="39" operator="greaterThan" dxfId="204">
      <formula>3001</formula>
    </cfRule>
  </conditionalFormatting>
  <conditionalFormatting sqref="H11">
    <cfRule type="expression" priority="41" dxfId="176">
      <formula>((G14-50)/I14)&lt;950</formula>
    </cfRule>
  </conditionalFormatting>
  <conditionalFormatting sqref="H12">
    <cfRule type="expression" priority="40" dxfId="175">
      <formula>((G14-50)/I14)&lt;950</formula>
    </cfRule>
  </conditionalFormatting>
  <conditionalFormatting sqref="H14:H28">
    <cfRule type="cellIs" priority="6" operator="lessThan" dxfId="164">
      <formula>400</formula>
    </cfRule>
  </conditionalFormatting>
  <conditionalFormatting sqref="H31:H32">
    <cfRule type="cellIs" priority="3" operator="lessThan" dxfId="164">
      <formula>400</formula>
    </cfRule>
  </conditionalFormatting>
  <conditionalFormatting sqref="H35">
    <cfRule type="expression" priority="49" dxfId="176">
      <formula>((#REF!-50)/#REF!)&lt;950</formula>
    </cfRule>
  </conditionalFormatting>
  <conditionalFormatting sqref="J14:J32">
    <cfRule type="cellIs" priority="17" operator="greaterThan" dxfId="153">
      <formula>0</formula>
    </cfRule>
  </conditionalFormatting>
  <conditionalFormatting sqref="J38:J48">
    <cfRule type="expression" priority="25" dxfId="153">
      <formula>D38&gt;0</formula>
    </cfRule>
  </conditionalFormatting>
  <conditionalFormatting sqref="J50:J56">
    <cfRule type="expression" priority="30" dxfId="2">
      <formula>#REF!="EURO"</formula>
    </cfRule>
  </conditionalFormatting>
  <conditionalFormatting sqref="K14:K34">
    <cfRule type="cellIs" priority="4" operator="greaterThan" dxfId="141">
      <formula>0</formula>
    </cfRule>
  </conditionalFormatting>
  <conditionalFormatting sqref="K38:K48">
    <cfRule type="cellIs" priority="31" operator="greaterThan" dxfId="141">
      <formula>0</formula>
    </cfRule>
  </conditionalFormatting>
  <conditionalFormatting sqref="K50:K56">
    <cfRule type="expression" priority="26" dxfId="4">
      <formula>$C$9="PLN"</formula>
    </cfRule>
    <cfRule type="expression" priority="27" dxfId="0">
      <formula>$C$9="CZK"</formula>
    </cfRule>
    <cfRule type="expression" priority="28" dxfId="3">
      <formula>$C$9="USD"</formula>
    </cfRule>
    <cfRule type="expression" priority="29" dxfId="2">
      <formula>$C$9="EURO"</formula>
    </cfRule>
  </conditionalFormatting>
  <conditionalFormatting sqref="L14:L34">
    <cfRule type="expression" priority="15" dxfId="116">
      <formula>$D$9&lt;0</formula>
    </cfRule>
    <cfRule type="expression" priority="16" dxfId="115">
      <formula>$D$9&gt;0</formula>
    </cfRule>
  </conditionalFormatting>
  <conditionalFormatting sqref="L38:L48">
    <cfRule type="expression" priority="13" dxfId="116">
      <formula>$D$9&lt;0</formula>
    </cfRule>
    <cfRule type="expression" priority="14" dxfId="115">
      <formula>$D$9&gt;0</formula>
    </cfRule>
  </conditionalFormatting>
  <conditionalFormatting sqref="N9 N12">
    <cfRule type="expression" priority="45" dxfId="4">
      <formula>$C$9="PLN"</formula>
    </cfRule>
    <cfRule type="expression" priority="46" dxfId="0">
      <formula>$C$9="CZK"</formula>
    </cfRule>
    <cfRule type="expression" priority="47" dxfId="3">
      <formula>$C$9="USD"</formula>
    </cfRule>
    <cfRule type="expression" priority="48" dxfId="2">
      <formula>$C$9="EURO"</formula>
    </cfRule>
  </conditionalFormatting>
  <conditionalFormatting sqref="N14:N34">
    <cfRule type="expression" priority="19" dxfId="4">
      <formula>$C$9="PLN"</formula>
    </cfRule>
    <cfRule type="expression" priority="20" dxfId="0">
      <formula>$C$9="CZK"</formula>
    </cfRule>
    <cfRule type="expression" priority="21" dxfId="3">
      <formula>$C$9="USD"</formula>
    </cfRule>
    <cfRule type="expression" priority="22" dxfId="2">
      <formula>$C$9="EURO"</formula>
    </cfRule>
  </conditionalFormatting>
  <conditionalFormatting sqref="N18:N22">
    <cfRule type="cellIs" priority="23" operator="greaterThan" dxfId="5">
      <formula>0</formula>
    </cfRule>
  </conditionalFormatting>
  <conditionalFormatting sqref="N37:N48">
    <cfRule type="expression" priority="8" dxfId="4">
      <formula>$C$9="PLN"</formula>
    </cfRule>
    <cfRule type="expression" priority="9" dxfId="0">
      <formula>$C$9="CZK"</formula>
    </cfRule>
    <cfRule type="expression" priority="10" dxfId="3">
      <formula>$C$9="USD"</formula>
    </cfRule>
    <cfRule type="expression" priority="11" dxfId="2">
      <formula>$C$9="EURO"</formula>
    </cfRule>
  </conditionalFormatting>
  <conditionalFormatting sqref="N14:O34">
    <cfRule type="cellIs" priority="18" operator="greaterThan" dxfId="5">
      <formula>0</formula>
    </cfRule>
  </conditionalFormatting>
  <conditionalFormatting sqref="N38:O48">
    <cfRule type="cellIs" priority="7" operator="greaterThan" dxfId="141">
      <formula>0</formula>
    </cfRule>
  </conditionalFormatting>
  <conditionalFormatting sqref="O14:O22">
    <cfRule type="cellIs" priority="24" operator="greaterThan" dxfId="5">
      <formula>0</formula>
    </cfRule>
  </conditionalFormatting>
  <dataValidations count="3">
    <dataValidation sqref="E14:E34" showDropDown="0" showInputMessage="1" showErrorMessage="1" allowBlank="1" type="list">
      <formula1>"0,1,2,3,4,5,6,7,8,9,10,11,12,13,14,15,16,17,18,19,20"</formula1>
    </dataValidation>
    <dataValidation sqref="F14:F28 F31:F32" showDropDown="0" showInputMessage="1" showErrorMessage="1" allowBlank="1" operator="greaterThan"/>
    <dataValidation sqref="H36" showDropDown="0" showInputMessage="1" showErrorMessage="1" allowBlank="1" type="list">
      <formula1>#REF!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61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>
    <tabColor theme="8" tint="0.7999816888943144"/>
    <outlinePr summaryBelow="1" summaryRight="1"/>
    <pageSetUpPr fitToPage="1"/>
  </sheetPr>
  <dimension ref="A1:AB161"/>
  <sheetViews>
    <sheetView showGridLines="0" zoomScale="70" zoomScaleNormal="70" zoomScaleSheetLayoutView="50" workbookViewId="0">
      <selection activeCell="Q35" sqref="Q35"/>
    </sheetView>
  </sheetViews>
  <sheetFormatPr baseColWidth="10" defaultColWidth="8.83203125" defaultRowHeight="15" customHeight="1"/>
  <cols>
    <col width="2" customWidth="1" style="215" min="1" max="2"/>
    <col width="39.5" customWidth="1" style="1070" min="3" max="3"/>
    <col width="39.83203125" customWidth="1" style="1070" min="4" max="4"/>
    <col width="27.1640625" customWidth="1" style="1070" min="5" max="5"/>
    <col width="16.83203125" customWidth="1" style="1070" min="6" max="6"/>
    <col width="15.5" customWidth="1" style="1070" min="7" max="7"/>
    <col width="19.6640625" customWidth="1" style="1070" min="8" max="8"/>
    <col width="10" bestFit="1" customWidth="1" style="1072" min="9" max="9"/>
    <col width="14.83203125" bestFit="1" customWidth="1" style="1073" min="10" max="10"/>
    <col width="17.5" customWidth="1" style="228" min="11" max="11"/>
    <col width="10.5" customWidth="1" style="228" min="12" max="12"/>
    <col hidden="1" width="10.6640625" customWidth="1" style="346" min="13" max="13"/>
    <col width="14.5" bestFit="1" customWidth="1" style="1073" min="14" max="14"/>
    <col width="13.6640625" bestFit="1" customWidth="1" style="14" min="15" max="15"/>
    <col width="8.83203125" customWidth="1" style="1070" min="16" max="17"/>
    <col width="18.6640625" customWidth="1" style="1070" min="18" max="18"/>
    <col width="8.83203125" customWidth="1" style="1070" min="19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0"/>
    <col width="8.83203125" customWidth="1" style="1070" min="101" max="16384"/>
  </cols>
  <sheetData>
    <row r="1" ht="15" customHeight="1" s="1085">
      <c r="C1" s="1148" t="inlineStr">
        <is>
          <t xml:space="preserve">F24-19    EDGE BOX COST SHEET </t>
        </is>
      </c>
      <c r="E1" s="216" t="n"/>
      <c r="F1" s="216" t="n"/>
      <c r="G1" s="216" t="n"/>
      <c r="H1" s="216" t="n"/>
      <c r="I1" s="29" t="n"/>
      <c r="J1" s="336" t="n"/>
      <c r="K1" s="337" t="n"/>
      <c r="L1" s="338" t="n"/>
      <c r="M1" s="339" t="n"/>
      <c r="N1" s="336" t="n"/>
      <c r="O1" s="975" t="inlineStr">
        <is>
          <t>JAN25-19</t>
        </is>
      </c>
      <c r="S1" s="80" t="n"/>
      <c r="T1" s="218" t="n"/>
    </row>
    <row r="2" ht="15" customHeight="1" s="1085">
      <c r="C2" s="79" t="n"/>
      <c r="D2" s="221" t="n"/>
      <c r="E2" s="221" t="n"/>
      <c r="G2" s="79" t="n"/>
      <c r="H2" s="77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C3" s="78" t="inlineStr">
        <is>
          <t>Job No.</t>
        </is>
      </c>
      <c r="D3" s="1130">
        <f>IF(CANOPY!C3="","",CANOPY!C3)</f>
        <v/>
      </c>
      <c r="G3" s="76" t="inlineStr">
        <is>
          <t>Project Name</t>
        </is>
      </c>
      <c r="H3" s="1071">
        <f>IF(CANOPY!G3="","",CANOPY!G3)</f>
        <v/>
      </c>
      <c r="L3" s="342" t="n"/>
      <c r="M3" s="343" t="n"/>
      <c r="N3" s="344" t="n"/>
      <c r="T3" s="225" t="n"/>
    </row>
    <row r="4" ht="15" customHeight="1" s="1085">
      <c r="C4" s="79" t="n"/>
      <c r="D4" s="223" t="n"/>
      <c r="E4" s="223" t="n"/>
      <c r="G4" s="77" t="n"/>
      <c r="H4" s="222" t="n"/>
      <c r="I4" s="227" t="n"/>
      <c r="J4" s="341" t="n"/>
      <c r="L4" s="342" t="n"/>
      <c r="M4" s="343" t="n"/>
      <c r="N4" s="344" t="n"/>
      <c r="T4" s="225" t="n"/>
    </row>
    <row r="5" ht="15" customHeight="1" s="1085">
      <c r="C5" s="78" t="inlineStr">
        <is>
          <t>Customer</t>
        </is>
      </c>
      <c r="D5" s="1074">
        <f>IF(CANOPY!C5="","",CANOPY!C5)</f>
        <v/>
      </c>
      <c r="G5" s="76" t="inlineStr">
        <is>
          <t>Location</t>
        </is>
      </c>
      <c r="H5" s="1071">
        <f>IF(CANOPY!G5="","",CANOPY!G5)</f>
        <v/>
      </c>
      <c r="M5" s="343" t="n"/>
      <c r="N5" s="344" t="n"/>
      <c r="Q5" s="229" t="n"/>
      <c r="R5" s="229" t="n"/>
      <c r="T5" s="225" t="n"/>
      <c r="U5" s="226" t="n"/>
    </row>
    <row r="6" ht="15" customHeight="1" s="1085">
      <c r="C6" s="78" t="n"/>
      <c r="D6" s="230" t="n"/>
      <c r="E6" s="230" t="n"/>
      <c r="G6" s="76" t="n"/>
      <c r="H6" s="222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C7" s="80" t="inlineStr">
        <is>
          <t>Sales Manager / Estimator initials</t>
        </is>
      </c>
      <c r="D7" s="1074">
        <f>IF(CANOPY!C7="","",CANOPY!C7)</f>
        <v/>
      </c>
      <c r="G7" s="76" t="inlineStr">
        <is>
          <t>Date</t>
        </is>
      </c>
      <c r="H7" s="1075">
        <f>IF(CANOPY!G7="","",CANOPY!G7)</f>
        <v/>
      </c>
      <c r="N7" s="347" t="inlineStr">
        <is>
          <t>Revision No</t>
        </is>
      </c>
      <c r="O7" s="900">
        <f>IF(CANOPY!O7="","",CANOPY!O7)</f>
        <v/>
      </c>
      <c r="P7" s="1157" t="inlineStr">
        <is>
          <t>GP SHOULD BE MINIMUM 44%</t>
        </is>
      </c>
      <c r="T7" s="225" t="n"/>
      <c r="U7" s="226" t="n"/>
      <c r="AA7" s="231" t="n"/>
    </row>
    <row r="8" ht="15" customHeight="1" s="1085">
      <c r="E8" s="219" t="n"/>
      <c r="F8" s="219" t="n"/>
      <c r="H8" s="219" t="n"/>
      <c r="J8" s="346" t="n"/>
      <c r="K8" s="14" t="n"/>
      <c r="T8" s="225" t="n"/>
      <c r="AA8" s="231" t="n"/>
    </row>
    <row r="9" ht="15" customFormat="1" customHeight="1" s="80">
      <c r="A9" s="215" t="n"/>
      <c r="B9" s="215" t="n"/>
      <c r="C9" s="38" t="inlineStr">
        <is>
          <t>CURRENCY</t>
        </is>
      </c>
      <c r="D9" s="951" t="n">
        <v>0</v>
      </c>
      <c r="E9" s="377">
        <f>IF(D9=0,0,(SUBTOTAL(9,M14:M48)/(1-D9))-M9)</f>
        <v/>
      </c>
      <c r="I9" s="234" t="n"/>
      <c r="K9" s="25">
        <f>SUBTOTAL(9,K12:K48)</f>
        <v/>
      </c>
      <c r="L9" s="970">
        <f>IF(O9=0,"-",O9/M9)</f>
        <v/>
      </c>
      <c r="M9" s="25">
        <f>SUBTOTAL(9,M12:M48)</f>
        <v/>
      </c>
      <c r="N9" s="464">
        <f>SUBTOTAL(9,N12:N48)</f>
        <v/>
      </c>
      <c r="O9" s="25">
        <f>SUBTOTAL(9,O12:O48)</f>
        <v/>
      </c>
      <c r="P9" s="1070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215" t="n"/>
      <c r="C12" s="1089" t="inlineStr">
        <is>
          <t xml:space="preserve">ITEM </t>
        </is>
      </c>
      <c r="D12" s="236" t="n"/>
      <c r="E12" s="237">
        <f>E14</f>
        <v/>
      </c>
      <c r="F12" s="838" t="n">
        <v>0</v>
      </c>
      <c r="G12" s="838">
        <f>IF(I12&lt;1,0,CEILING((G14-100)/I14,250))</f>
        <v/>
      </c>
      <c r="H12" s="237">
        <f>E12&amp;G12&amp;F12</f>
        <v/>
      </c>
      <c r="I12" s="236">
        <f>IF(F14=0,0,IF(G14=0,0,(F14/(IF(D14="WALL",F14,(F14/2)))*I14)))</f>
        <v/>
      </c>
      <c r="J12" s="238" t="n"/>
      <c r="K12" s="154">
        <f>SUBTOTAL(9,K14:K34)</f>
        <v/>
      </c>
      <c r="L12" s="15">
        <f>IF(K14=0,"-",O12/M12)</f>
        <v/>
      </c>
      <c r="M12" s="154">
        <f>SUBTOTAL(9,M14:M34)</f>
        <v/>
      </c>
      <c r="N12" s="464">
        <f>SUBTOTAL(9,N14:N34)</f>
        <v/>
      </c>
      <c r="O12" s="154">
        <f>SUBTOTAL(9,O14:O34)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LENGTH</t>
        </is>
      </c>
      <c r="G13" s="10" t="inlineStr">
        <is>
          <t>WIDTH</t>
        </is>
      </c>
      <c r="H13" s="10" t="inlineStr">
        <is>
          <t>HEIGHT</t>
        </is>
      </c>
      <c r="I13" s="10" t="inlineStr">
        <is>
          <t>SECTIONS</t>
        </is>
      </c>
      <c r="J13" s="349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A14" s="215" t="n">
        <v>210</v>
      </c>
      <c r="C14" s="791" t="inlineStr">
        <is>
          <t xml:space="preserve">PS-150 TOUCH SCREEN </t>
        </is>
      </c>
      <c r="D14" s="460" t="inlineStr">
        <is>
          <t>TOUCH SCREEN REMOTE BOX - METAL</t>
        </is>
      </c>
      <c r="E14" s="448" t="n"/>
      <c r="F14" s="837" t="n">
        <v>300</v>
      </c>
      <c r="G14" s="835" t="n">
        <v>95</v>
      </c>
      <c r="H14" s="896" t="n">
        <v>250</v>
      </c>
      <c r="I14" s="31" t="n"/>
      <c r="J14" s="380" t="n">
        <v>419.97</v>
      </c>
      <c r="K14" s="378">
        <f>SUM(J14*E14)</f>
        <v/>
      </c>
      <c r="L14" s="392" t="n">
        <v>0.35</v>
      </c>
      <c r="M14" s="311">
        <f>(K14/(1-L14))*(1+$D$9)</f>
        <v/>
      </c>
      <c r="N14" s="378">
        <f>(M14*VLOOKUP($C$9,'Base Costs'!$A$32:$B$37,2,FALSE))</f>
        <v/>
      </c>
      <c r="O14" s="379">
        <f>M14-K14</f>
        <v/>
      </c>
      <c r="U14" s="229" t="n"/>
      <c r="AA14" s="1070" t="n"/>
    </row>
    <row r="15" ht="15" customHeight="1" s="1085">
      <c r="A15" s="215" t="n">
        <v>104</v>
      </c>
      <c r="C15" s="855" t="inlineStr">
        <is>
          <t>PS-152 EDGE BOX</t>
        </is>
      </c>
      <c r="D15" s="460" t="inlineStr">
        <is>
          <t>PEU/AEU/HOODS (Staged Alarms)</t>
        </is>
      </c>
      <c r="E15" s="448" t="n"/>
      <c r="F15" s="895" t="n">
        <v>380</v>
      </c>
      <c r="G15" s="835" t="n">
        <v>300</v>
      </c>
      <c r="H15" s="896" t="n">
        <v>180</v>
      </c>
      <c r="I15" s="31" t="n"/>
      <c r="J15" s="380" t="n">
        <v>1030.52</v>
      </c>
      <c r="K15" s="378">
        <f>SUM(J15*E15)</f>
        <v/>
      </c>
      <c r="L15" s="392" t="n">
        <v>0.35</v>
      </c>
      <c r="M15" s="311">
        <f>(K15/(1-L15))*(1+$D$9)</f>
        <v/>
      </c>
      <c r="N15" s="378">
        <f>(M15*VLOOKUP($C$9,'Base Costs'!$A$32:$B$37,2,FALSE))</f>
        <v/>
      </c>
      <c r="O15" s="379">
        <f>M15-K15</f>
        <v/>
      </c>
      <c r="U15" s="229" t="n"/>
      <c r="AA15" s="1070" t="n"/>
    </row>
    <row r="16" ht="15" customHeight="1" s="1085">
      <c r="A16" s="215" t="n">
        <v>234</v>
      </c>
      <c r="C16" s="855" t="inlineStr">
        <is>
          <t>PS-153 EDGE BOX</t>
        </is>
      </c>
      <c r="D16" s="460" t="inlineStr">
        <is>
          <t>PEU/HOODS (Staged Alarms)</t>
        </is>
      </c>
      <c r="E16" s="461" t="n"/>
      <c r="F16" s="895" t="n">
        <v>380</v>
      </c>
      <c r="G16" s="835" t="n">
        <v>300</v>
      </c>
      <c r="H16" s="896" t="n">
        <v>180</v>
      </c>
      <c r="I16" s="31" t="n"/>
      <c r="J16" s="380" t="n">
        <v>690.16</v>
      </c>
      <c r="K16" s="378">
        <f>SUM(J16*E16)</f>
        <v/>
      </c>
      <c r="L16" s="392" t="n">
        <v>0.35</v>
      </c>
      <c r="M16" s="311">
        <f>(K16/(1-L16))*(1+$D$9)</f>
        <v/>
      </c>
      <c r="N16" s="378">
        <f>(M16*VLOOKUP($C$9,'Base Costs'!$A$32:$B$37,2,FALSE))</f>
        <v/>
      </c>
      <c r="O16" s="379">
        <f>M16-K16</f>
        <v/>
      </c>
      <c r="U16" s="229" t="n"/>
      <c r="AA16" s="1070" t="n"/>
    </row>
    <row r="17" ht="15" customHeight="1" s="1085">
      <c r="C17" s="855" t="inlineStr">
        <is>
          <t>PS-154 EDGE BOX</t>
        </is>
      </c>
      <c r="D17" s="460" t="inlineStr">
        <is>
          <t>PEU/MRV/HOODS (Staged Alarms)</t>
        </is>
      </c>
      <c r="E17" s="448" t="n"/>
      <c r="F17" s="895" t="n">
        <v>380</v>
      </c>
      <c r="G17" s="895" t="n">
        <v>300</v>
      </c>
      <c r="H17" s="896" t="n">
        <v>180</v>
      </c>
      <c r="I17" s="31" t="n"/>
      <c r="J17" s="380" t="n">
        <v>894.01</v>
      </c>
      <c r="K17" s="378">
        <f>SUM(J17*E17)</f>
        <v/>
      </c>
      <c r="L17" s="392" t="n">
        <v>0.35</v>
      </c>
      <c r="M17" s="311">
        <f>(K17/(1-L17))*(1+$D$9)</f>
        <v/>
      </c>
      <c r="N17" s="378">
        <f>(M17*VLOOKUP($C$9,'Base Costs'!$A$32:$B$37,2,FALSE))</f>
        <v/>
      </c>
      <c r="O17" s="379">
        <f>M17-K17</f>
        <v/>
      </c>
      <c r="U17" s="229" t="n"/>
      <c r="AA17" s="1070" t="n"/>
    </row>
    <row r="18" ht="15" customHeight="1" s="1085">
      <c r="C18" s="855" t="inlineStr">
        <is>
          <t>PS-155 EDGE BOX</t>
        </is>
      </c>
      <c r="D18" s="460" t="inlineStr">
        <is>
          <t>PEU/AEU/ MRV/HOOD (No Staged Alarms)</t>
        </is>
      </c>
      <c r="E18" s="448" t="n"/>
      <c r="F18" s="895" t="n">
        <v>380</v>
      </c>
      <c r="G18" s="895" t="n">
        <v>300</v>
      </c>
      <c r="H18" s="896" t="n">
        <v>180</v>
      </c>
      <c r="I18" s="31" t="n"/>
      <c r="J18" s="380" t="n">
        <v>1039.58</v>
      </c>
      <c r="K18" s="378">
        <f>SUM(J18*E18)</f>
        <v/>
      </c>
      <c r="L18" s="392" t="n">
        <v>0.35</v>
      </c>
      <c r="M18" s="311">
        <f>(K18/(1-L18))*(1+$D$9)</f>
        <v/>
      </c>
      <c r="N18" s="378">
        <f>(M18*VLOOKUP($C$9,'Base Costs'!$A$32:$B$37,2,FALSE))</f>
        <v/>
      </c>
      <c r="O18" s="379">
        <f>M18-K18</f>
        <v/>
      </c>
      <c r="U18" s="229" t="n"/>
      <c r="AA18" s="1070" t="n"/>
    </row>
    <row r="19" ht="15" customHeight="1" s="1085">
      <c r="C19" s="855" t="n"/>
      <c r="D19" s="460" t="n"/>
      <c r="E19" s="448" t="n"/>
      <c r="F19" s="895" t="n"/>
      <c r="G19" s="895" t="n"/>
      <c r="H19" s="896" t="n"/>
      <c r="I19" s="31" t="n"/>
      <c r="J19" s="380" t="n"/>
      <c r="K19" s="378" t="n"/>
      <c r="L19" s="392" t="n"/>
      <c r="M19" s="311" t="n"/>
      <c r="N19" s="378" t="n"/>
      <c r="O19" s="379" t="n"/>
      <c r="U19" s="229" t="n"/>
      <c r="AA19" s="1070" t="n"/>
    </row>
    <row r="20" ht="15" customHeight="1" s="1085">
      <c r="C20" s="791" t="inlineStr">
        <is>
          <t>RCL-329 LPC-3 GOT.112 (CANOPY CONTROL)</t>
        </is>
      </c>
      <c r="D20" s="1065" t="inlineStr">
        <is>
          <t>GOT Panel Comp for UV-c (24 Sections Max)</t>
        </is>
      </c>
      <c r="E20" s="448" t="n"/>
      <c r="F20" s="895" t="n">
        <v>160</v>
      </c>
      <c r="G20" s="895" t="n">
        <v>34</v>
      </c>
      <c r="H20" s="896" t="n">
        <v>106</v>
      </c>
      <c r="I20" s="31" t="n"/>
      <c r="J20" s="380" t="n">
        <v>336.21</v>
      </c>
      <c r="K20" s="378">
        <f>SUM(J20*E20)</f>
        <v/>
      </c>
      <c r="L20" s="392" t="n">
        <v>0.35</v>
      </c>
      <c r="M20" s="311">
        <f>(K20/(1-L20))*(1+$D$9)</f>
        <v/>
      </c>
      <c r="N20" s="378">
        <f>(M20*VLOOKUP($C$9,'Base Costs'!$A$32:$B$37,2,FALSE))</f>
        <v/>
      </c>
      <c r="O20" s="379">
        <f>M20-K20</f>
        <v/>
      </c>
      <c r="U20" s="229" t="n"/>
      <c r="AA20" s="1070" t="n"/>
    </row>
    <row r="21" ht="15" customHeight="1" s="1085">
      <c r="C21" s="791" t="inlineStr">
        <is>
          <t>RCL-342 GOT-112 WALL BOX</t>
        </is>
      </c>
      <c r="D21" s="460" t="inlineStr">
        <is>
          <t>Remote Mounting box if Required</t>
        </is>
      </c>
      <c r="E21" s="448" t="n"/>
      <c r="F21" s="895" t="n">
        <v>270</v>
      </c>
      <c r="G21" s="895" t="n">
        <v>200</v>
      </c>
      <c r="H21" s="896" t="n">
        <v>150</v>
      </c>
      <c r="I21" s="31" t="n"/>
      <c r="J21" s="380" t="n">
        <v>82</v>
      </c>
      <c r="K21" s="378">
        <f>SUM(J21*E21)</f>
        <v/>
      </c>
      <c r="L21" s="392" t="n">
        <v>0.35</v>
      </c>
      <c r="M21" s="311">
        <f>(K21/(1-L21))*(1+$D$9)</f>
        <v/>
      </c>
      <c r="N21" s="378">
        <f>(M21*VLOOKUP($C$9,'Base Costs'!$A$32:$B$37,2,FALSE))</f>
        <v/>
      </c>
      <c r="O21" s="379">
        <f>M21-K21</f>
        <v/>
      </c>
      <c r="U21" s="229" t="n"/>
      <c r="AA21" s="1070" t="n"/>
    </row>
    <row r="22" ht="15" customHeight="1" s="1085">
      <c r="C22" s="270" t="inlineStr">
        <is>
          <t>RCL-280 STAGED ALARM BOX</t>
        </is>
      </c>
      <c r="D22" s="460" t="inlineStr">
        <is>
          <t>MU5 CONTROLLER BOX</t>
        </is>
      </c>
      <c r="E22" s="448" t="n"/>
      <c r="F22" s="895" t="n">
        <v>179</v>
      </c>
      <c r="G22" s="895" t="n">
        <v>129</v>
      </c>
      <c r="H22" s="896" t="n">
        <v>100</v>
      </c>
      <c r="I22" s="31" t="n"/>
      <c r="J22" s="380" t="n">
        <v>212.86</v>
      </c>
      <c r="K22" s="378">
        <f>SUM(J22*E22)</f>
        <v/>
      </c>
      <c r="L22" s="392" t="n">
        <v>0.35</v>
      </c>
      <c r="M22" s="311">
        <f>(K22/(1-L22))*(1+$D$9)</f>
        <v/>
      </c>
      <c r="N22" s="378">
        <f>(M22*VLOOKUP($C$9,'Base Costs'!$A$32:$B$37,2,FALSE))</f>
        <v/>
      </c>
      <c r="O22" s="379">
        <f>M22-K22</f>
        <v/>
      </c>
      <c r="P22" s="1064" t="inlineStr">
        <is>
          <t xml:space="preserve">Add if Alarms requested for a GOT panel </t>
        </is>
      </c>
      <c r="U22" s="229" t="n"/>
      <c r="AA22" s="1070" t="n"/>
    </row>
    <row r="23" ht="15" customHeight="1" s="1085">
      <c r="A23" s="215" t="n">
        <v>289</v>
      </c>
      <c r="C23" s="270" t="n"/>
      <c r="D23" s="460" t="n"/>
      <c r="E23" s="448" t="n"/>
      <c r="F23" s="895" t="n"/>
      <c r="G23" s="895" t="n"/>
      <c r="H23" s="896" t="n"/>
      <c r="I23" s="31" t="n"/>
      <c r="J23" s="380" t="n"/>
      <c r="K23" s="378">
        <f>SUM(J23*E23)</f>
        <v/>
      </c>
      <c r="L23" s="392" t="n"/>
      <c r="M23" s="311">
        <f>(K23/(1-L23))*(1+$D$9)</f>
        <v/>
      </c>
      <c r="N23" s="378">
        <f>(M23*VLOOKUP($C$9,'Base Costs'!$A$32:$B$37,2,FALSE))</f>
        <v/>
      </c>
      <c r="O23" s="379">
        <f>M23-K23</f>
        <v/>
      </c>
      <c r="U23" s="229" t="n"/>
      <c r="AA23" s="1070" t="n"/>
    </row>
    <row r="24" ht="15" customHeight="1" s="1085">
      <c r="A24" s="215" t="n">
        <v>242</v>
      </c>
      <c r="C24" s="270" t="inlineStr">
        <is>
          <t xml:space="preserve">PS-160 EXTERNAL AERIAL </t>
        </is>
      </c>
      <c r="D24" s="460" t="inlineStr">
        <is>
          <t>EXTERNAL AERIAL BOX</t>
        </is>
      </c>
      <c r="E24" s="448" t="n"/>
      <c r="F24" s="895" t="n">
        <v>250</v>
      </c>
      <c r="G24" s="895" t="n">
        <v>175</v>
      </c>
      <c r="H24" s="896" t="n">
        <v>100</v>
      </c>
      <c r="I24" s="31" t="n"/>
      <c r="J24" s="380" t="n">
        <v>100.91</v>
      </c>
      <c r="K24" s="378">
        <f>SUM(J24*E24)</f>
        <v/>
      </c>
      <c r="L24" s="392" t="n">
        <v>0.35</v>
      </c>
      <c r="M24" s="311">
        <f>(K24/(1-L24))*(1+$D$9)</f>
        <v/>
      </c>
      <c r="N24" s="378">
        <f>(M24*VLOOKUP($C$9,'Base Costs'!$A$32:$B$37,2,FALSE))</f>
        <v/>
      </c>
      <c r="O24" s="379">
        <f>M24-K24</f>
        <v/>
      </c>
      <c r="U24" s="229" t="n"/>
      <c r="AA24" s="1070" t="n"/>
    </row>
    <row r="25" ht="15" customHeight="1" s="1085">
      <c r="A25" s="215" t="n">
        <v>220</v>
      </c>
      <c r="C25" s="855" t="inlineStr">
        <is>
          <t xml:space="preserve">PS-156 EDGE BOX REMOTE ROUTER (UV-GOT)  </t>
        </is>
      </c>
      <c r="D25" s="1066" t="inlineStr">
        <is>
          <t>EXTERNAL ROUTER</t>
        </is>
      </c>
      <c r="E25" s="448" t="n"/>
      <c r="F25" s="837" t="n">
        <v>250</v>
      </c>
      <c r="G25" s="895" t="n">
        <v>175</v>
      </c>
      <c r="H25" s="896" t="n">
        <v>100</v>
      </c>
      <c r="I25" s="31" t="n"/>
      <c r="J25" s="380" t="n">
        <v>484.58</v>
      </c>
      <c r="K25" s="378">
        <f>SUM(J25*E25)</f>
        <v/>
      </c>
      <c r="L25" s="392" t="n">
        <v>0.35</v>
      </c>
      <c r="M25" s="311">
        <f>(K25/(1-L25))*(1+$D$9)</f>
        <v/>
      </c>
      <c r="N25" s="378">
        <f>(M25*VLOOKUP($C$9,'Base Costs'!$A$32:$B$37,2,FALSE))</f>
        <v/>
      </c>
      <c r="O25" s="379">
        <f>M25-K25</f>
        <v/>
      </c>
      <c r="U25" s="229" t="n"/>
      <c r="AA25" s="1070" t="n"/>
    </row>
    <row r="26" ht="15" customHeight="1" s="1085">
      <c r="A26" s="215" t="n">
        <v>103</v>
      </c>
      <c r="C26" s="855" t="n"/>
      <c r="D26" s="460" t="n"/>
      <c r="E26" s="448" t="n"/>
      <c r="F26" s="837" t="n"/>
      <c r="G26" s="895" t="n"/>
      <c r="H26" s="896" t="n"/>
      <c r="I26" s="31" t="n"/>
      <c r="J26" s="380" t="n"/>
      <c r="K26" s="378">
        <f>SUM(J26*E26)</f>
        <v/>
      </c>
      <c r="L26" s="392" t="n"/>
      <c r="M26" s="311">
        <f>(K26/(1-L26))*(1+$D$9)</f>
        <v/>
      </c>
      <c r="N26" s="378">
        <f>(M26*VLOOKUP($C$9,'Base Costs'!$A$32:$B$37,2,FALSE))</f>
        <v/>
      </c>
      <c r="O26" s="379">
        <f>M26-K26</f>
        <v/>
      </c>
      <c r="U26" s="229" t="n"/>
      <c r="AA26" s="1070" t="n"/>
    </row>
    <row r="27" ht="15" customHeight="1" s="1085">
      <c r="A27" s="215" t="n">
        <v>103</v>
      </c>
      <c r="C27" s="855" t="inlineStr">
        <is>
          <t>CONNECTIVITY PS-153/152/154/155</t>
        </is>
      </c>
      <c r="D27" s="921" t="inlineStr">
        <is>
          <t xml:space="preserve"> NOT INCLUDED IN THE ABOVE</t>
        </is>
      </c>
      <c r="E27" s="448" t="n"/>
      <c r="F27" s="837" t="n"/>
      <c r="G27" s="895" t="n"/>
      <c r="H27" s="896" t="n"/>
      <c r="I27" s="31" t="n"/>
      <c r="J27" s="380" t="n">
        <v>522.38</v>
      </c>
      <c r="K27" s="378">
        <f>SUM(J27*E27)</f>
        <v/>
      </c>
      <c r="L27" s="392" t="n">
        <v>0.35</v>
      </c>
      <c r="M27" s="311">
        <f>(K27/(1-L27))*(1+$D$9)</f>
        <v/>
      </c>
      <c r="N27" s="378">
        <f>(M27*VLOOKUP($C$9,'Base Costs'!$A$32:$B$37,2,FALSE))</f>
        <v/>
      </c>
      <c r="O27" s="379">
        <f>M27-K27</f>
        <v/>
      </c>
      <c r="P27" s="990" t="inlineStr">
        <is>
          <t>EDGE UP2 Plus First Year Connectivity Fee from Group</t>
        </is>
      </c>
      <c r="U27" s="229" t="n"/>
      <c r="AA27" s="1070" t="n"/>
    </row>
    <row r="28" ht="15" customHeight="1" s="1085">
      <c r="C28" s="855" t="inlineStr">
        <is>
          <t>CONNECTIVITY  (UV-GOT)</t>
        </is>
      </c>
      <c r="D28" s="1067" t="inlineStr">
        <is>
          <t xml:space="preserve"> NOT INCLUDED IN THE ABOVE</t>
        </is>
      </c>
      <c r="E28" s="448" t="n"/>
      <c r="F28" s="895" t="n"/>
      <c r="G28" s="895" t="n"/>
      <c r="H28" s="896" t="n"/>
      <c r="I28" s="31" t="n"/>
      <c r="J28" s="380" t="n">
        <v>130</v>
      </c>
      <c r="K28" s="378">
        <f>SUM(J28*E28)</f>
        <v/>
      </c>
      <c r="L28" s="392" t="n">
        <v>0.35</v>
      </c>
      <c r="M28" s="311">
        <f>(K28/(1-L28))*(1+$D$9)</f>
        <v/>
      </c>
      <c r="N28" s="378">
        <f>(M28*VLOOKUP($C$9,'Base Costs'!$A$32:$B$37,2,FALSE))</f>
        <v/>
      </c>
      <c r="O28" s="379">
        <f>M28-K28</f>
        <v/>
      </c>
      <c r="P28" s="990" t="inlineStr">
        <is>
          <t>First Year Connectivity Fee from Group</t>
        </is>
      </c>
      <c r="U28" s="229" t="n"/>
      <c r="AA28" s="1070" t="n"/>
    </row>
    <row r="29" ht="15" customHeight="1" s="1085">
      <c r="A29" s="215" t="n">
        <v>285</v>
      </c>
      <c r="C29" s="855" t="n"/>
      <c r="D29" s="460" t="n"/>
      <c r="E29" s="448" t="n"/>
      <c r="F29" s="898" t="n"/>
      <c r="G29" s="898" t="n"/>
      <c r="H29" s="899" t="n"/>
      <c r="I29" s="31" t="n"/>
      <c r="J29" s="380" t="n"/>
      <c r="K29" s="378">
        <f>SUM(J29*E29)</f>
        <v/>
      </c>
      <c r="L29" s="392" t="n"/>
      <c r="M29" s="311">
        <f>(K29/(1-L29))*(1+$D$9)</f>
        <v/>
      </c>
      <c r="N29" s="378">
        <f>(M29*VLOOKUP($C$9,'Base Costs'!$A$32:$B$37,2,FALSE))</f>
        <v/>
      </c>
      <c r="O29" s="379">
        <f>M29-K29</f>
        <v/>
      </c>
      <c r="U29" s="229" t="n"/>
      <c r="AA29" s="1070" t="n"/>
    </row>
    <row r="30" ht="15" customHeight="1" s="1085">
      <c r="C30" s="855" t="n"/>
      <c r="D30" s="460" t="n"/>
      <c r="E30" s="448" t="n"/>
      <c r="F30" s="898" t="n"/>
      <c r="G30" s="898" t="n"/>
      <c r="H30" s="899" t="n"/>
      <c r="I30" s="31" t="n"/>
      <c r="J30" s="380" t="n"/>
      <c r="K30" s="378">
        <f>SUM(J30*E30)</f>
        <v/>
      </c>
      <c r="L30" s="392" t="n"/>
      <c r="M30" s="311">
        <f>(K30/(1-L30))*(1+$D$9)</f>
        <v/>
      </c>
      <c r="N30" s="378">
        <f>(M30*VLOOKUP($C$9,'Base Costs'!$A$32:$B$37,2,FALSE))</f>
        <v/>
      </c>
      <c r="O30" s="379">
        <f>M30-K30</f>
        <v/>
      </c>
      <c r="U30" s="229" t="n"/>
      <c r="AA30" s="1070" t="n"/>
    </row>
    <row r="31" ht="15" customHeight="1" s="1085">
      <c r="C31" s="269" t="n"/>
      <c r="D31" s="460" t="n"/>
      <c r="E31" s="448" t="n"/>
      <c r="F31" s="895" t="n"/>
      <c r="G31" s="895" t="n"/>
      <c r="H31" s="896" t="n"/>
      <c r="I31" s="31" t="n"/>
      <c r="J31" s="380" t="n">
        <v>0</v>
      </c>
      <c r="K31" s="378">
        <f>SUM(J31*E31)</f>
        <v/>
      </c>
      <c r="L31" s="392" t="n"/>
      <c r="M31" s="311">
        <f>(K31/(1-L31))*(1+$D$9)</f>
        <v/>
      </c>
      <c r="N31" s="378">
        <f>(M31*VLOOKUP($C$9,'Base Costs'!$A$32:$B$37,2,FALSE))</f>
        <v/>
      </c>
      <c r="O31" s="379">
        <f>M31-K31</f>
        <v/>
      </c>
      <c r="U31" s="229" t="n"/>
      <c r="AA31" s="1070" t="n"/>
    </row>
    <row r="32" ht="15" customHeight="1" s="1085">
      <c r="A32" s="215" t="n">
        <v>286</v>
      </c>
      <c r="C32" s="270" t="n"/>
      <c r="D32" s="460" t="n"/>
      <c r="E32" s="448" t="n"/>
      <c r="F32" s="895" t="n"/>
      <c r="G32" s="895" t="n"/>
      <c r="H32" s="896" t="n"/>
      <c r="I32" s="31" t="n"/>
      <c r="J32" s="380" t="n">
        <v>0</v>
      </c>
      <c r="K32" s="378">
        <f>SUM(J32*E32)</f>
        <v/>
      </c>
      <c r="L32" s="392" t="n"/>
      <c r="M32" s="311">
        <f>(K32/(1-L32))*(1+$D$9)</f>
        <v/>
      </c>
      <c r="N32" s="378">
        <f>(M32*VLOOKUP($C$9,'Base Costs'!$A$32:$B$37,2,FALSE))</f>
        <v/>
      </c>
      <c r="O32" s="379">
        <f>M32-K32</f>
        <v/>
      </c>
      <c r="U32" s="229" t="n"/>
      <c r="AA32" s="1070" t="n"/>
    </row>
    <row r="33" ht="15" customHeight="1" s="1085">
      <c r="C33" s="269" t="n"/>
      <c r="D33" s="460" t="n"/>
      <c r="E33" s="448" t="n"/>
      <c r="F33" s="462" t="n"/>
      <c r="G33" s="32" t="n"/>
      <c r="H33" s="30" t="n"/>
      <c r="I33" s="31" t="n"/>
      <c r="J33" s="933" t="n"/>
      <c r="K33" s="378">
        <f>SUM(J33*E33)</f>
        <v/>
      </c>
      <c r="L33" s="392" t="n"/>
      <c r="M33" s="311">
        <f>(K33/(1-L33))*(1+$D$9)</f>
        <v/>
      </c>
      <c r="N33" s="378">
        <f>(M33*VLOOKUP($C$9,'Base Costs'!$A$32:$B$37,2,FALSE))</f>
        <v/>
      </c>
      <c r="O33" s="379">
        <f>M33-K33</f>
        <v/>
      </c>
      <c r="U33" s="229" t="n"/>
      <c r="AA33" s="1070" t="n"/>
    </row>
    <row r="34" ht="15" customHeight="1" s="1085">
      <c r="C34" s="855" t="n"/>
      <c r="D34" s="460" t="n"/>
      <c r="E34" s="448" t="n"/>
      <c r="F34" s="462" t="n"/>
      <c r="G34" s="32" t="n"/>
      <c r="H34" s="30" t="n"/>
      <c r="I34" s="31" t="n"/>
      <c r="J34" s="933" t="n"/>
      <c r="K34" s="378">
        <f>SUM(J34*E34)</f>
        <v/>
      </c>
      <c r="L34" s="392" t="n"/>
      <c r="M34" s="311">
        <f>(K34/(1-L34))*(1+$D$9)</f>
        <v/>
      </c>
      <c r="N34" s="378">
        <f>(M34*VLOOKUP($C$9,'Base Costs'!$A$32:$B$37,2,FALSE))</f>
        <v/>
      </c>
      <c r="O34" s="379">
        <f>M34-K34</f>
        <v/>
      </c>
      <c r="U34" s="229" t="n"/>
      <c r="AA34" s="1070" t="n"/>
    </row>
    <row r="35" ht="15" customHeight="1" s="1085">
      <c r="H35" s="34" t="inlineStr">
        <is>
          <t>SECTION UNDER 1000mm</t>
        </is>
      </c>
    </row>
    <row r="36" ht="15" customHeight="1" s="1085">
      <c r="C36" s="239" t="n"/>
      <c r="D36" s="239" t="n"/>
      <c r="E36" s="239" t="n"/>
      <c r="F36" s="239" t="n"/>
      <c r="G36" s="239" t="n"/>
      <c r="H36" s="239" t="n"/>
      <c r="I36" s="9" t="n"/>
      <c r="J36" s="11" t="n"/>
      <c r="K36" s="353" t="n"/>
      <c r="L36" s="240" t="n"/>
      <c r="M36" s="353" t="n"/>
      <c r="N36" s="353" t="n"/>
      <c r="U36" s="229" t="n"/>
      <c r="AA36" s="1070" t="n"/>
    </row>
    <row r="37" ht="15" customHeight="1" s="1085">
      <c r="C37" s="1089" t="inlineStr">
        <is>
          <t xml:space="preserve">DELIVERY &amp; INSTALLATION </t>
        </is>
      </c>
      <c r="I37" s="236" t="n"/>
      <c r="J37" s="330" t="n"/>
      <c r="K37" s="154">
        <f>SUBTOTAL(9,K38:K48)</f>
        <v/>
      </c>
      <c r="L37" s="15">
        <f>IF(K38=0,"-",O37/M37)</f>
        <v/>
      </c>
      <c r="M37" s="154">
        <f>SUBTOTAL(9,M38:M48)</f>
        <v/>
      </c>
      <c r="N37" s="464">
        <f>SUBTOTAL(9,N38:N48)</f>
        <v/>
      </c>
      <c r="O37" s="154">
        <f>SUBTOTAL(9,O39:O48)</f>
        <v/>
      </c>
      <c r="U37" s="229" t="n"/>
    </row>
    <row r="38" ht="15" customHeight="1" s="1085">
      <c r="A38" s="215" t="n">
        <v>222</v>
      </c>
      <c r="C38" s="269" t="inlineStr">
        <is>
          <t xml:space="preserve">DELIVERIES </t>
        </is>
      </c>
      <c r="D38" s="242" t="n"/>
      <c r="E38" s="309" t="inlineStr">
        <is>
          <t>SELECT LOCATION…</t>
        </is>
      </c>
      <c r="F38" s="28" t="n"/>
      <c r="G38" s="30" t="n"/>
      <c r="H38" s="28" t="n"/>
      <c r="I38" s="28" t="n"/>
      <c r="J38" s="385">
        <f>VLOOKUP(E38,'Base Costs'!E4:G213,2,FALSE)</f>
        <v/>
      </c>
      <c r="K38" s="378">
        <f>D38*J38</f>
        <v/>
      </c>
      <c r="L38" s="392" t="n">
        <v>0.33</v>
      </c>
      <c r="M38" s="311">
        <f>(K38/(1-L38))*(1+$D$9)</f>
        <v/>
      </c>
      <c r="N38" s="378">
        <f>(M38*VLOOKUP($C$9,'Base Costs'!$A$32:$B$37,2,FALSE))</f>
        <v/>
      </c>
      <c r="O38" s="379">
        <f>M38-K38</f>
        <v/>
      </c>
      <c r="U38" s="229" t="n"/>
    </row>
    <row r="39" ht="15" customHeight="1" s="1085">
      <c r="A39" s="215" t="n">
        <v>257</v>
      </c>
      <c r="C39" s="269" t="inlineStr">
        <is>
          <t>PLANT HIRE</t>
        </is>
      </c>
      <c r="D39" s="242" t="n"/>
      <c r="E39" s="309" t="inlineStr">
        <is>
          <t>PLANT SELECTION (weekly)</t>
        </is>
      </c>
      <c r="F39" s="28" t="n"/>
      <c r="G39" s="28" t="n"/>
      <c r="H39" s="28" t="n"/>
      <c r="I39" s="28" t="n"/>
      <c r="J39" s="385">
        <f>VLOOKUP(E39,'Base Costs'!$A$4:$B$16,2,FALSE)</f>
        <v/>
      </c>
      <c r="K39" s="378">
        <f>D39*J39</f>
        <v/>
      </c>
      <c r="L39" s="392" t="n">
        <v>0.33</v>
      </c>
      <c r="M39" s="311">
        <f>(K39/(1-L39))*(1+$D$9)</f>
        <v/>
      </c>
      <c r="N39" s="378">
        <f>(M39*VLOOKUP($C$9,'Base Costs'!$A$32:$B$37,2,FALSE))</f>
        <v/>
      </c>
      <c r="O39" s="379">
        <f>M39-K39</f>
        <v/>
      </c>
      <c r="U39" s="229" t="n"/>
    </row>
    <row r="40" ht="15" customHeight="1" s="1085">
      <c r="A40" s="215" t="n">
        <v>257</v>
      </c>
      <c r="C40" s="269" t="inlineStr">
        <is>
          <t>PLANT HIRE</t>
        </is>
      </c>
      <c r="D40" s="242" t="n"/>
      <c r="E40" s="309" t="inlineStr">
        <is>
          <t>PLANT SELECTION (weekly)</t>
        </is>
      </c>
      <c r="F40" s="28" t="n"/>
      <c r="G40" s="28" t="n"/>
      <c r="H40" s="28" t="n"/>
      <c r="I40" s="28" t="n"/>
      <c r="J40" s="385">
        <f>VLOOKUP(E40,'Base Costs'!$A$4:$B$16,2,FALSE)</f>
        <v/>
      </c>
      <c r="K40" s="378">
        <f>D40*J40</f>
        <v/>
      </c>
      <c r="L40" s="392" t="n">
        <v>0.33</v>
      </c>
      <c r="M40" s="311">
        <f>(K40/(1-L40))*(1+$D$9)</f>
        <v/>
      </c>
      <c r="N40" s="378">
        <f>(M40*VLOOKUP($C$9,'Base Costs'!$A$32:$B$37,2,FALSE))</f>
        <v/>
      </c>
      <c r="O40" s="379">
        <f>M40-K40</f>
        <v/>
      </c>
      <c r="U40" s="229" t="n"/>
    </row>
    <row r="41" ht="15" customHeight="1" s="1085">
      <c r="A41" s="215" t="n">
        <v>400</v>
      </c>
      <c r="C41" s="269" t="inlineStr">
        <is>
          <t>STRIP OUT</t>
        </is>
      </c>
      <c r="D41" s="242" t="n"/>
      <c r="E41" s="28" t="inlineStr">
        <is>
          <t>PER DAY</t>
        </is>
      </c>
      <c r="F41" s="28" t="n"/>
      <c r="G41" s="28" t="n"/>
      <c r="H41" s="28" t="n"/>
      <c r="I41" s="28" t="n"/>
      <c r="J41" s="385" t="n">
        <v>450</v>
      </c>
      <c r="K41" s="378">
        <f>D41*J41</f>
        <v/>
      </c>
      <c r="L41" s="392" t="n">
        <v>0.33</v>
      </c>
      <c r="M41" s="311">
        <f>(K41/(1-L41))*(1+$D$9)</f>
        <v/>
      </c>
      <c r="N41" s="378">
        <f>(M41*VLOOKUP($C$9,'Base Costs'!$A$32:$B$37,2,FALSE))</f>
        <v/>
      </c>
      <c r="O41" s="379">
        <f>M41-K41</f>
        <v/>
      </c>
      <c r="U41" s="229" t="n"/>
    </row>
    <row r="42" ht="15" customHeight="1" s="1085">
      <c r="A42" s="215" t="n">
        <v>102</v>
      </c>
      <c r="C42" s="269" t="inlineStr">
        <is>
          <t xml:space="preserve">CONSUMABLES </t>
        </is>
      </c>
      <c r="D42" s="242" t="n">
        <v>1</v>
      </c>
      <c r="E42" s="28" t="inlineStr">
        <is>
          <t>ON SITE FIXINGS</t>
        </is>
      </c>
      <c r="F42" s="28" t="n"/>
      <c r="G42" s="28" t="n"/>
      <c r="H42" s="28" t="n"/>
      <c r="I42" s="28" t="n"/>
      <c r="J42" s="385" t="n">
        <v>15</v>
      </c>
      <c r="K42" s="378">
        <f>D42*J42</f>
        <v/>
      </c>
      <c r="L42" s="392" t="n">
        <v>0.33</v>
      </c>
      <c r="M42" s="311">
        <f>(K42/(1-L42))*(1+$D$9)</f>
        <v/>
      </c>
      <c r="N42" s="378">
        <f>(M42*VLOOKUP($C$9,'Base Costs'!$A$32:$B$37,2,FALSE))</f>
        <v/>
      </c>
      <c r="O42" s="379">
        <f>M42-K42</f>
        <v/>
      </c>
      <c r="U42" s="229" t="n"/>
    </row>
    <row r="43" ht="15" customHeight="1" s="1085">
      <c r="A43" s="215" t="n">
        <v>400</v>
      </c>
      <c r="C43" s="269" t="inlineStr">
        <is>
          <t>INSTALLATION NORMAL HOURS</t>
        </is>
      </c>
      <c r="D43" s="242" t="n">
        <v>1</v>
      </c>
      <c r="E43" s="28" t="inlineStr">
        <is>
          <t>PER BOX</t>
        </is>
      </c>
      <c r="F43" s="28" t="n"/>
      <c r="G43" s="28" t="n"/>
      <c r="H43" s="28" t="n"/>
      <c r="I43" s="28" t="n"/>
      <c r="J43" s="385" t="n">
        <v>152.5</v>
      </c>
      <c r="K43" s="378">
        <f>D43*J43</f>
        <v/>
      </c>
      <c r="L43" s="392" t="n">
        <v>0.4</v>
      </c>
      <c r="M43" s="311">
        <f>(K43/(1-L43))*(1+$D$9)</f>
        <v/>
      </c>
      <c r="N43" s="378">
        <f>(M43*VLOOKUP($C$9,'Base Costs'!$A$32:$B$37,2,FALSE))</f>
        <v/>
      </c>
      <c r="O43" s="379">
        <f>M43-K43</f>
        <v/>
      </c>
      <c r="U43" s="229" t="n"/>
    </row>
    <row r="44" ht="15" customHeight="1" s="1085">
      <c r="A44" s="215" t="n">
        <v>400</v>
      </c>
      <c r="C44" s="269" t="inlineStr">
        <is>
          <t>INSTALLATION AFTER HOURS</t>
        </is>
      </c>
      <c r="D44" s="242" t="n"/>
      <c r="E44" s="28" t="inlineStr">
        <is>
          <t>PER BOX</t>
        </is>
      </c>
      <c r="F44" s="28" t="n"/>
      <c r="G44" s="28" t="n"/>
      <c r="H44" s="28" t="n"/>
      <c r="I44" s="28" t="n"/>
      <c r="J44" s="385" t="n">
        <v>861</v>
      </c>
      <c r="K44" s="378">
        <f>D44*J44</f>
        <v/>
      </c>
      <c r="L44" s="392" t="n">
        <v>0.4</v>
      </c>
      <c r="M44" s="311">
        <f>(K44/(1-L44))*(1+$D$9)</f>
        <v/>
      </c>
      <c r="N44" s="378">
        <f>(M44*VLOOKUP($C$9,'Base Costs'!$A$32:$B$37,2,FALSE))</f>
        <v/>
      </c>
      <c r="O44" s="379">
        <f>M44-K44</f>
        <v/>
      </c>
      <c r="U44" s="229" t="n"/>
    </row>
    <row r="45" ht="15" customHeight="1" s="1085">
      <c r="A45" s="215" t="n">
        <v>253</v>
      </c>
      <c r="C45" s="269" t="inlineStr">
        <is>
          <t>TRAVEL EXPENSES</t>
        </is>
      </c>
      <c r="D45" s="242" t="n"/>
      <c r="E45" s="28" t="inlineStr">
        <is>
          <t>PER NIGHT PER TEAM</t>
        </is>
      </c>
      <c r="F45" s="28" t="n"/>
      <c r="G45" s="28" t="n"/>
      <c r="H45" s="28" t="n"/>
      <c r="I45" s="28" t="n"/>
      <c r="J45" s="385" t="n"/>
      <c r="K45" s="378">
        <f>D45*J45</f>
        <v/>
      </c>
      <c r="L45" s="392" t="n">
        <v>0.33</v>
      </c>
      <c r="M45" s="311">
        <f>(K45/(1-L45))*(1+$D$9)</f>
        <v/>
      </c>
      <c r="N45" s="378">
        <f>(M45*VLOOKUP($C$9,'Base Costs'!$A$32:$B$37,2,FALSE))</f>
        <v/>
      </c>
      <c r="O45" s="379">
        <f>M45-K45</f>
        <v/>
      </c>
      <c r="U45" s="229" t="n"/>
    </row>
    <row r="46" ht="15" customHeight="1" s="1085">
      <c r="A46" s="215" t="n">
        <v>253</v>
      </c>
      <c r="C46" s="269" t="inlineStr">
        <is>
          <t>OVERNIGHT</t>
        </is>
      </c>
      <c r="D46" s="242" t="n"/>
      <c r="E46" s="28" t="inlineStr">
        <is>
          <t>PER NIGHT PER TEAM</t>
        </is>
      </c>
      <c r="F46" s="28" t="n"/>
      <c r="G46" s="28" t="n"/>
      <c r="H46" s="28" t="n"/>
      <c r="I46" s="28" t="n"/>
      <c r="J46" s="385" t="n">
        <v>170</v>
      </c>
      <c r="K46" s="378">
        <f>D46*J46</f>
        <v/>
      </c>
      <c r="L46" s="392" t="n">
        <v>0.33</v>
      </c>
      <c r="M46" s="311">
        <f>(K46/(1-L46))*(1+$D$9)</f>
        <v/>
      </c>
      <c r="N46" s="378">
        <f>(M46*VLOOKUP($C$9,'Base Costs'!$A$32:$B$37,2,FALSE))</f>
        <v/>
      </c>
      <c r="O46" s="379">
        <f>M46-K46</f>
        <v/>
      </c>
      <c r="U46" s="229" t="n"/>
    </row>
    <row r="47" ht="15" customHeight="1" s="1085">
      <c r="A47" s="215" t="n">
        <v>280</v>
      </c>
      <c r="C47" s="269" t="inlineStr">
        <is>
          <t>TEST &amp; COMMISSION</t>
        </is>
      </c>
      <c r="D47" s="242" t="n"/>
      <c r="E47" s="28" t="inlineStr">
        <is>
          <t>ONE ENGINEER</t>
        </is>
      </c>
      <c r="F47" s="28" t="n"/>
      <c r="G47" s="28" t="n"/>
      <c r="H47" s="28" t="n"/>
      <c r="I47" s="28" t="n"/>
      <c r="J47" s="385" t="n">
        <v>604</v>
      </c>
      <c r="K47" s="378">
        <f>D47*J47</f>
        <v/>
      </c>
      <c r="L47" s="392" t="n">
        <v>0.33</v>
      </c>
      <c r="M47" s="311">
        <f>(K47/(1-L47))*(1+$D$9)</f>
        <v/>
      </c>
      <c r="N47" s="378">
        <f>(M47*VLOOKUP($C$9,'Base Costs'!$A$32:$B$37,2,FALSE))</f>
        <v/>
      </c>
      <c r="O47" s="379">
        <f>M47-K47</f>
        <v/>
      </c>
      <c r="U47" s="229" t="n"/>
    </row>
    <row r="48" ht="15" customHeight="1" s="1085">
      <c r="A48" s="215" t="n">
        <v>284</v>
      </c>
      <c r="C48" s="269" t="n"/>
      <c r="D48" s="242" t="n"/>
      <c r="E48" s="28" t="inlineStr">
        <is>
          <t>OPTIONAL ITEM</t>
        </is>
      </c>
      <c r="F48" s="28" t="n"/>
      <c r="G48" s="28" t="n"/>
      <c r="H48" s="28" t="n"/>
      <c r="I48" s="28" t="n"/>
      <c r="J48" s="385" t="n">
        <v>200</v>
      </c>
      <c r="K48" s="378">
        <f>D48*J48</f>
        <v/>
      </c>
      <c r="L48" s="392" t="n">
        <v>0.33</v>
      </c>
      <c r="M48" s="311">
        <f>(K48/(1-L48))*(1+$D$9)</f>
        <v/>
      </c>
      <c r="N48" s="378">
        <f>(M48*VLOOKUP($C$9,'Base Costs'!$A$32:$B$37,2,FALSE))</f>
        <v/>
      </c>
      <c r="O48" s="379">
        <f>M48-K48</f>
        <v/>
      </c>
      <c r="U48" s="229" t="n"/>
    </row>
    <row r="49" ht="15" customHeight="1" s="1085">
      <c r="C49" s="239" t="n"/>
      <c r="D49" s="239" t="n"/>
      <c r="E49" s="239" t="n"/>
      <c r="F49" s="239" t="n"/>
      <c r="G49" s="239" t="n"/>
      <c r="H49" s="243" t="n"/>
      <c r="I49" s="244" t="n"/>
      <c r="J49" s="354" t="n"/>
      <c r="K49" s="353" t="n"/>
      <c r="L49" s="355" t="n"/>
      <c r="M49" s="353" t="n"/>
      <c r="N49" s="353" t="n"/>
      <c r="U49" s="229" t="n"/>
    </row>
    <row r="50" ht="15" customHeight="1" s="1085">
      <c r="C50" s="197" t="inlineStr">
        <is>
          <t>Office Use Only</t>
        </is>
      </c>
      <c r="D50" s="198" t="n"/>
      <c r="E50" s="199" t="n"/>
      <c r="F50" s="199" t="n"/>
      <c r="G50" s="198" t="n"/>
      <c r="H50" s="200" t="n"/>
      <c r="I50" s="198" t="n"/>
      <c r="J50" s="198" t="n"/>
      <c r="K50" s="198" t="n"/>
      <c r="L50" s="198" t="n"/>
      <c r="M50" s="198" t="n"/>
      <c r="N50" s="198" t="n"/>
      <c r="O50" s="198" t="n"/>
      <c r="U50" s="229" t="n"/>
    </row>
    <row r="51" ht="15" customHeight="1" s="1085">
      <c r="C51" s="202" t="n"/>
      <c r="D51" s="203" t="n"/>
      <c r="E51" s="202" t="n"/>
      <c r="F51" s="204" t="n"/>
      <c r="G51" s="202" t="n"/>
      <c r="H51" s="209" t="n"/>
      <c r="I51" s="203" t="n"/>
      <c r="J51" s="203" t="n"/>
      <c r="K51" s="205" t="n"/>
      <c r="L51" s="205" t="n"/>
      <c r="M51" s="205" t="n"/>
      <c r="N51" s="205" t="n"/>
      <c r="O51" s="205" t="n"/>
      <c r="U51" s="229" t="n"/>
    </row>
    <row r="52" ht="15" customHeight="1" s="1085">
      <c r="C52" s="202" t="n"/>
      <c r="D52" s="203" t="n"/>
      <c r="E52" s="202" t="n"/>
      <c r="F52" s="204" t="n"/>
      <c r="G52" s="202" t="n"/>
      <c r="H52" s="209" t="n"/>
      <c r="I52" s="203" t="n"/>
      <c r="J52" s="203" t="n"/>
      <c r="K52" s="205" t="n"/>
      <c r="L52" s="205" t="n"/>
      <c r="M52" s="205" t="n"/>
      <c r="N52" s="205" t="n"/>
      <c r="O52" s="205" t="n"/>
      <c r="U52" s="229" t="n"/>
    </row>
    <row r="53" ht="15" customHeight="1" s="1085">
      <c r="C53" s="202" t="n"/>
      <c r="D53" s="203" t="n"/>
      <c r="E53" s="202" t="n"/>
      <c r="F53" s="204" t="n"/>
      <c r="G53" s="202" t="n"/>
      <c r="H53" s="209" t="n"/>
      <c r="I53" s="203" t="n"/>
      <c r="J53" s="203" t="n"/>
      <c r="K53" s="209" t="n"/>
      <c r="L53" s="209" t="n"/>
      <c r="M53" s="209" t="n"/>
      <c r="N53" s="209" t="n"/>
      <c r="O53" s="209" t="n"/>
      <c r="U53" s="229" t="n"/>
    </row>
    <row r="54" ht="15" customHeight="1" s="1085">
      <c r="C54" s="202" t="n"/>
      <c r="D54" s="203" t="n"/>
      <c r="E54" s="202" t="n"/>
      <c r="F54" s="204" t="n"/>
      <c r="G54" s="202" t="n"/>
      <c r="H54" s="209" t="n"/>
      <c r="I54" s="206" t="n"/>
      <c r="J54" s="203" t="n"/>
      <c r="K54" s="209" t="n"/>
      <c r="L54" s="209" t="n"/>
      <c r="M54" s="209" t="n"/>
      <c r="N54" s="209" t="n"/>
      <c r="O54" s="209" t="n"/>
      <c r="U54" s="229" t="n"/>
    </row>
    <row r="55" ht="15" customHeight="1" s="1085">
      <c r="C55" s="202" t="n"/>
      <c r="D55" s="203" t="n"/>
      <c r="E55" s="202" t="n"/>
      <c r="F55" s="202" t="n"/>
      <c r="G55" s="202" t="n"/>
      <c r="H55" s="207" t="n"/>
      <c r="I55" s="209" t="n"/>
      <c r="J55" s="203" t="n"/>
      <c r="K55" s="205" t="n"/>
      <c r="L55" s="205" t="n"/>
      <c r="M55" s="205" t="n"/>
      <c r="N55" s="205" t="n"/>
      <c r="O55" s="205" t="n"/>
      <c r="U55" s="229" t="n"/>
    </row>
    <row r="56" ht="15" customHeight="1" s="1085">
      <c r="C56" s="202" t="n"/>
      <c r="D56" s="202" t="n"/>
      <c r="E56" s="202" t="n"/>
      <c r="F56" s="202" t="n"/>
      <c r="G56" s="202" t="n"/>
      <c r="H56" s="207" t="n"/>
      <c r="I56" s="209" t="n"/>
      <c r="J56" s="203" t="n"/>
      <c r="K56" s="205" t="n"/>
      <c r="L56" s="205" t="n"/>
      <c r="M56" s="205" t="n"/>
      <c r="N56" s="205" t="n"/>
      <c r="O56" s="205" t="n"/>
      <c r="U56" s="229" t="n"/>
    </row>
    <row r="57" ht="15" customHeight="1" s="1085">
      <c r="J57" s="228" t="n"/>
      <c r="M57" s="228" t="n"/>
      <c r="O57" s="228" t="n"/>
      <c r="U57" s="229" t="n"/>
    </row>
    <row r="58" ht="15" customHeight="1" s="1085">
      <c r="J58" s="228" t="n"/>
      <c r="M58" s="228" t="n"/>
      <c r="O58" s="228" t="n"/>
      <c r="U58" s="229" t="n"/>
    </row>
    <row r="59" ht="15" customHeight="1" s="1085">
      <c r="H59" s="219" t="n"/>
      <c r="U59" s="229" t="n"/>
    </row>
    <row r="60" ht="15" customHeight="1" s="1085">
      <c r="H60" s="219" t="n"/>
      <c r="U60" s="229" t="n"/>
    </row>
    <row r="61" ht="15" customHeight="1" s="1085">
      <c r="H61" s="219" t="n"/>
      <c r="U61" s="229" t="n"/>
    </row>
    <row r="62" ht="15" customHeight="1" s="1085">
      <c r="H62" s="219" t="n"/>
      <c r="U62" s="229" t="n"/>
    </row>
    <row r="63" ht="15" customHeight="1" s="1085">
      <c r="H63" s="219" t="n"/>
      <c r="U63" s="229" t="n"/>
    </row>
    <row r="64" ht="15" customHeight="1" s="1085">
      <c r="H64" s="219" t="n"/>
      <c r="U64" s="229" t="n"/>
    </row>
    <row r="65" ht="15" customHeight="1" s="1085">
      <c r="H65" s="219" t="n"/>
      <c r="U65" s="229" t="n"/>
    </row>
    <row r="66" ht="15" customHeight="1" s="1085">
      <c r="H66" s="219" t="n"/>
      <c r="U66" s="229" t="n"/>
    </row>
    <row r="67" ht="15" customHeight="1" s="1085">
      <c r="H67" s="219" t="n"/>
      <c r="U67" s="229" t="n"/>
    </row>
    <row r="68" ht="15" customHeight="1" s="1085">
      <c r="C68" s="245" t="n"/>
      <c r="D68" s="245" t="n"/>
      <c r="E68" s="245" t="n"/>
      <c r="F68" s="245" t="n"/>
      <c r="G68" s="245" t="n"/>
      <c r="H68" s="245" t="n"/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3" ht="15" customHeight="1" s="1085">
      <c r="U103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2" ht="15" customHeight="1" s="1085">
      <c r="U112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1" ht="15" customHeight="1" s="1085">
      <c r="U121" s="229" t="n"/>
    </row>
    <row r="122" ht="15" customHeight="1" s="1085">
      <c r="U122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  <row r="142" ht="15" customHeight="1" s="1085">
      <c r="U142" s="229" t="n"/>
    </row>
    <row r="143" ht="15" customHeight="1" s="1085">
      <c r="U143" s="229" t="n"/>
    </row>
    <row r="144" ht="15" customHeight="1" s="1085">
      <c r="U144" s="229" t="n"/>
    </row>
    <row r="145" ht="15" customHeight="1" s="1085">
      <c r="U145" s="229" t="n"/>
    </row>
    <row r="146" ht="15" customHeight="1" s="1085">
      <c r="U146" s="229" t="n"/>
    </row>
    <row r="147" ht="15" customHeight="1" s="1085">
      <c r="U147" s="229" t="n"/>
    </row>
    <row r="148" ht="15" customHeight="1" s="1085">
      <c r="U148" s="229" t="n"/>
    </row>
    <row r="149" ht="15" customHeight="1" s="1085">
      <c r="U149" s="229" t="n"/>
    </row>
    <row r="150" ht="15" customHeight="1" s="1085">
      <c r="U150" s="229" t="n"/>
    </row>
    <row r="151" ht="15" customHeight="1" s="1085">
      <c r="U151" s="229" t="n"/>
    </row>
    <row r="152" ht="15" customHeight="1" s="1085">
      <c r="U152" s="229" t="n"/>
    </row>
    <row r="153" ht="15" customHeight="1" s="1085">
      <c r="U153" s="229" t="n"/>
    </row>
    <row r="154" ht="15" customHeight="1" s="1085">
      <c r="U154" s="229" t="n"/>
    </row>
    <row r="155" ht="15" customHeight="1" s="1085">
      <c r="U155" s="229" t="n"/>
    </row>
    <row r="156" ht="15" customHeight="1" s="1085">
      <c r="U156" s="229" t="n"/>
    </row>
    <row r="157" ht="15" customHeight="1" s="1085">
      <c r="U157" s="229" t="n"/>
    </row>
    <row r="158" ht="15" customHeight="1" s="1085">
      <c r="U158" s="229" t="n"/>
    </row>
    <row r="159" ht="15" customHeight="1" s="1085">
      <c r="U159" s="229" t="n"/>
    </row>
    <row r="160" ht="15" customHeight="1" s="1085">
      <c r="U160" s="229" t="n"/>
    </row>
    <row r="161" ht="15" customHeight="1" s="1085">
      <c r="U161" s="229" t="n"/>
    </row>
  </sheetData>
  <mergeCells count="9">
    <mergeCell ref="P7:R7"/>
    <mergeCell ref="D7:E7"/>
    <mergeCell ref="C1:D1"/>
    <mergeCell ref="H5:J5"/>
    <mergeCell ref="C37:H37"/>
    <mergeCell ref="D5:E5"/>
    <mergeCell ref="H3:J3"/>
    <mergeCell ref="D3:E3"/>
    <mergeCell ref="H7:J7"/>
  </mergeCells>
  <conditionalFormatting sqref="C9">
    <cfRule type="containsText" priority="35" operator="containsText" dxfId="680" text="SELECT">
      <formula>NOT(ISERROR(SEARCH("SELECT",C9)))</formula>
    </cfRule>
    <cfRule type="expression" priority="36" dxfId="680">
      <formula>C9="CURRENCY"</formula>
    </cfRule>
  </conditionalFormatting>
  <conditionalFormatting sqref="C14:C34">
    <cfRule type="expression" priority="1" dxfId="633">
      <formula>$J14&gt;0</formula>
    </cfRule>
  </conditionalFormatting>
  <conditionalFormatting sqref="C38:C48">
    <cfRule type="expression" priority="12" dxfId="633">
      <formula>$D38&gt;0</formula>
    </cfRule>
  </conditionalFormatting>
  <conditionalFormatting sqref="D38:D39 D41:D48">
    <cfRule type="cellIs" priority="37" operator="lessThan" dxfId="554">
      <formula>1</formula>
    </cfRule>
  </conditionalFormatting>
  <conditionalFormatting sqref="D40">
    <cfRule type="cellIs" priority="32" operator="lessThan" dxfId="164">
      <formula>1</formula>
    </cfRule>
  </conditionalFormatting>
  <conditionalFormatting sqref="D9:E9">
    <cfRule type="cellIs" priority="33" operator="lessThan" dxfId="207">
      <formula>0</formula>
    </cfRule>
    <cfRule type="cellIs" priority="34" operator="greaterThan" dxfId="552">
      <formula>0</formula>
    </cfRule>
  </conditionalFormatting>
  <conditionalFormatting sqref="F12">
    <cfRule type="expression" priority="42" dxfId="386">
      <formula>AND((ISNUMBER(SEARCH("I-MUAP",$E$14))),F12&lt;2500)</formula>
    </cfRule>
    <cfRule type="expression" priority="43" dxfId="387">
      <formula>ISNUMBER(SEARCH("I-MUAP",$E$14))</formula>
    </cfRule>
    <cfRule type="cellIs" priority="44" operator="greaterThan" dxfId="204">
      <formula>2000</formula>
    </cfRule>
  </conditionalFormatting>
  <conditionalFormatting sqref="F12:G12">
    <cfRule type="cellIs" priority="38" operator="lessThan" dxfId="204">
      <formula>1000</formula>
    </cfRule>
  </conditionalFormatting>
  <conditionalFormatting sqref="F14:G28">
    <cfRule type="cellIs" priority="5" operator="lessThan" dxfId="164">
      <formula>1000</formula>
    </cfRule>
  </conditionalFormatting>
  <conditionalFormatting sqref="F31:G32">
    <cfRule type="cellIs" priority="2" operator="lessThan" dxfId="164">
      <formula>1000</formula>
    </cfRule>
  </conditionalFormatting>
  <conditionalFormatting sqref="G12">
    <cfRule type="cellIs" priority="39" operator="greaterThan" dxfId="204">
      <formula>3001</formula>
    </cfRule>
  </conditionalFormatting>
  <conditionalFormatting sqref="H11">
    <cfRule type="expression" priority="41" dxfId="176">
      <formula>((G14-50)/I14)&lt;950</formula>
    </cfRule>
  </conditionalFormatting>
  <conditionalFormatting sqref="H12">
    <cfRule type="expression" priority="40" dxfId="175">
      <formula>((G14-50)/I14)&lt;950</formula>
    </cfRule>
  </conditionalFormatting>
  <conditionalFormatting sqref="H14:H28">
    <cfRule type="cellIs" priority="6" operator="lessThan" dxfId="164">
      <formula>400</formula>
    </cfRule>
  </conditionalFormatting>
  <conditionalFormatting sqref="H31:H32">
    <cfRule type="cellIs" priority="3" operator="lessThan" dxfId="164">
      <formula>400</formula>
    </cfRule>
  </conditionalFormatting>
  <conditionalFormatting sqref="H35">
    <cfRule type="expression" priority="49" dxfId="176">
      <formula>((#REF!-50)/#REF!)&lt;950</formula>
    </cfRule>
  </conditionalFormatting>
  <conditionalFormatting sqref="J14:J32">
    <cfRule type="cellIs" priority="17" operator="greaterThan" dxfId="153">
      <formula>0</formula>
    </cfRule>
  </conditionalFormatting>
  <conditionalFormatting sqref="J38:J48">
    <cfRule type="expression" priority="25" dxfId="153">
      <formula>D38&gt;0</formula>
    </cfRule>
  </conditionalFormatting>
  <conditionalFormatting sqref="J50:J56">
    <cfRule type="expression" priority="30" dxfId="2">
      <formula>#REF!="EURO"</formula>
    </cfRule>
  </conditionalFormatting>
  <conditionalFormatting sqref="K14:K34">
    <cfRule type="cellIs" priority="4" operator="greaterThan" dxfId="141">
      <formula>0</formula>
    </cfRule>
  </conditionalFormatting>
  <conditionalFormatting sqref="K38:K48">
    <cfRule type="cellIs" priority="31" operator="greaterThan" dxfId="141">
      <formula>0</formula>
    </cfRule>
  </conditionalFormatting>
  <conditionalFormatting sqref="K50:K56">
    <cfRule type="expression" priority="26" dxfId="4">
      <formula>$C$9="PLN"</formula>
    </cfRule>
    <cfRule type="expression" priority="27" dxfId="0">
      <formula>$C$9="CZK"</formula>
    </cfRule>
    <cfRule type="expression" priority="28" dxfId="3">
      <formula>$C$9="USD"</formula>
    </cfRule>
    <cfRule type="expression" priority="29" dxfId="2">
      <formula>$C$9="EURO"</formula>
    </cfRule>
  </conditionalFormatting>
  <conditionalFormatting sqref="L14:L34">
    <cfRule type="expression" priority="15" dxfId="116">
      <formula>$D$9&lt;0</formula>
    </cfRule>
    <cfRule type="expression" priority="16" dxfId="115">
      <formula>$D$9&gt;0</formula>
    </cfRule>
  </conditionalFormatting>
  <conditionalFormatting sqref="L38:L48">
    <cfRule type="expression" priority="13" dxfId="116">
      <formula>$D$9&lt;0</formula>
    </cfRule>
    <cfRule type="expression" priority="14" dxfId="115">
      <formula>$D$9&gt;0</formula>
    </cfRule>
  </conditionalFormatting>
  <conditionalFormatting sqref="N9 N12">
    <cfRule type="expression" priority="45" dxfId="4">
      <formula>$C$9="PLN"</formula>
    </cfRule>
    <cfRule type="expression" priority="46" dxfId="0">
      <formula>$C$9="CZK"</formula>
    </cfRule>
    <cfRule type="expression" priority="47" dxfId="3">
      <formula>$C$9="USD"</formula>
    </cfRule>
    <cfRule type="expression" priority="48" dxfId="2">
      <formula>$C$9="EURO"</formula>
    </cfRule>
  </conditionalFormatting>
  <conditionalFormatting sqref="N14:N34">
    <cfRule type="expression" priority="19" dxfId="4">
      <formula>$C$9="PLN"</formula>
    </cfRule>
    <cfRule type="expression" priority="20" dxfId="0">
      <formula>$C$9="CZK"</formula>
    </cfRule>
    <cfRule type="expression" priority="21" dxfId="3">
      <formula>$C$9="USD"</formula>
    </cfRule>
    <cfRule type="expression" priority="22" dxfId="2">
      <formula>$C$9="EURO"</formula>
    </cfRule>
  </conditionalFormatting>
  <conditionalFormatting sqref="N18:N22">
    <cfRule type="cellIs" priority="23" operator="greaterThan" dxfId="5">
      <formula>0</formula>
    </cfRule>
  </conditionalFormatting>
  <conditionalFormatting sqref="N37:N48">
    <cfRule type="expression" priority="8" dxfId="4">
      <formula>$C$9="PLN"</formula>
    </cfRule>
    <cfRule type="expression" priority="9" dxfId="0">
      <formula>$C$9="CZK"</formula>
    </cfRule>
    <cfRule type="expression" priority="10" dxfId="3">
      <formula>$C$9="USD"</formula>
    </cfRule>
    <cfRule type="expression" priority="11" dxfId="2">
      <formula>$C$9="EURO"</formula>
    </cfRule>
  </conditionalFormatting>
  <conditionalFormatting sqref="N14:O34">
    <cfRule type="cellIs" priority="18" operator="greaterThan" dxfId="5">
      <formula>0</formula>
    </cfRule>
  </conditionalFormatting>
  <conditionalFormatting sqref="N38:O48">
    <cfRule type="cellIs" priority="7" operator="greaterThan" dxfId="141">
      <formula>0</formula>
    </cfRule>
  </conditionalFormatting>
  <conditionalFormatting sqref="O14:O22">
    <cfRule type="cellIs" priority="24" operator="greaterThan" dxfId="5">
      <formula>0</formula>
    </cfRule>
  </conditionalFormatting>
  <dataValidations count="3">
    <dataValidation sqref="H36" showDropDown="0" showInputMessage="1" showErrorMessage="1" allowBlank="1" type="list">
      <formula1>#REF!</formula1>
    </dataValidation>
    <dataValidation sqref="F14:F28 F31:F32" showDropDown="0" showInputMessage="1" showErrorMessage="1" allowBlank="1" operator="greaterThan"/>
    <dataValidation sqref="E14:E34" showDropDown="0" showInputMessage="1" showErrorMessage="1" allowBlank="1" type="list">
      <formula1>"0,1,2,3,4,5,6,7,8,9,10,11,12,13,14,15,16,17,18,19,20"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61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>
    <tabColor theme="8" tint="0.7999816888943144"/>
    <outlinePr summaryBelow="1" summaryRight="1"/>
    <pageSetUpPr fitToPage="1"/>
  </sheetPr>
  <dimension ref="A1:AB161"/>
  <sheetViews>
    <sheetView showGridLines="0" zoomScale="70" zoomScaleNormal="70" zoomScaleSheetLayoutView="50" workbookViewId="0">
      <selection activeCell="Q35" sqref="Q35"/>
    </sheetView>
  </sheetViews>
  <sheetFormatPr baseColWidth="10" defaultColWidth="8.83203125" defaultRowHeight="15" customHeight="1"/>
  <cols>
    <col width="2" customWidth="1" style="215" min="1" max="2"/>
    <col width="39.5" customWidth="1" style="1070" min="3" max="3"/>
    <col width="39.83203125" customWidth="1" style="1070" min="4" max="4"/>
    <col width="27.1640625" customWidth="1" style="1070" min="5" max="5"/>
    <col width="16.83203125" customWidth="1" style="1070" min="6" max="6"/>
    <col width="15.5" customWidth="1" style="1070" min="7" max="7"/>
    <col width="19.6640625" customWidth="1" style="1070" min="8" max="8"/>
    <col width="10" bestFit="1" customWidth="1" style="1072" min="9" max="9"/>
    <col width="14.83203125" bestFit="1" customWidth="1" style="1073" min="10" max="10"/>
    <col width="17.5" customWidth="1" style="228" min="11" max="11"/>
    <col width="10.5" customWidth="1" style="228" min="12" max="12"/>
    <col hidden="1" width="10.6640625" customWidth="1" style="346" min="13" max="13"/>
    <col width="14.5" bestFit="1" customWidth="1" style="1073" min="14" max="14"/>
    <col width="13.6640625" bestFit="1" customWidth="1" style="14" min="15" max="15"/>
    <col width="8.83203125" customWidth="1" style="1070" min="16" max="17"/>
    <col width="18.6640625" customWidth="1" style="1070" min="18" max="18"/>
    <col width="8.83203125" customWidth="1" style="1070" min="19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0"/>
    <col width="8.83203125" customWidth="1" style="1070" min="101" max="16384"/>
  </cols>
  <sheetData>
    <row r="1" ht="15" customHeight="1" s="1085">
      <c r="C1" s="1148" t="inlineStr">
        <is>
          <t xml:space="preserve">F24-19    EDGE BOX COST SHEET </t>
        </is>
      </c>
      <c r="E1" s="216" t="n"/>
      <c r="F1" s="216" t="n"/>
      <c r="G1" s="216" t="n"/>
      <c r="H1" s="216" t="n"/>
      <c r="I1" s="29" t="n"/>
      <c r="J1" s="336" t="n"/>
      <c r="K1" s="337" t="n"/>
      <c r="L1" s="338" t="n"/>
      <c r="M1" s="339" t="n"/>
      <c r="N1" s="336" t="n"/>
      <c r="O1" s="975" t="inlineStr">
        <is>
          <t>JAN25-19</t>
        </is>
      </c>
      <c r="S1" s="80" t="n"/>
      <c r="T1" s="218" t="n"/>
    </row>
    <row r="2" ht="15" customHeight="1" s="1085">
      <c r="C2" s="79" t="n"/>
      <c r="D2" s="221" t="n"/>
      <c r="E2" s="221" t="n"/>
      <c r="G2" s="79" t="n"/>
      <c r="H2" s="77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C3" s="78" t="inlineStr">
        <is>
          <t>Job No.</t>
        </is>
      </c>
      <c r="D3" s="1130">
        <f>IF(CANOPY!C3="","",CANOPY!C3)</f>
        <v/>
      </c>
      <c r="G3" s="76" t="inlineStr">
        <is>
          <t>Project Name</t>
        </is>
      </c>
      <c r="H3" s="1071">
        <f>IF(CANOPY!G3="","",CANOPY!G3)</f>
        <v/>
      </c>
      <c r="L3" s="342" t="n"/>
      <c r="M3" s="343" t="n"/>
      <c r="N3" s="344" t="n"/>
      <c r="T3" s="225" t="n"/>
    </row>
    <row r="4" ht="15" customHeight="1" s="1085">
      <c r="C4" s="79" t="n"/>
      <c r="D4" s="223" t="n"/>
      <c r="E4" s="223" t="n"/>
      <c r="G4" s="77" t="n"/>
      <c r="H4" s="222" t="n"/>
      <c r="I4" s="227" t="n"/>
      <c r="J4" s="341" t="n"/>
      <c r="L4" s="342" t="n"/>
      <c r="M4" s="343" t="n"/>
      <c r="N4" s="344" t="n"/>
      <c r="T4" s="225" t="n"/>
    </row>
    <row r="5" ht="15" customHeight="1" s="1085">
      <c r="C5" s="78" t="inlineStr">
        <is>
          <t>Customer</t>
        </is>
      </c>
      <c r="D5" s="1074">
        <f>IF(CANOPY!C5="","",CANOPY!C5)</f>
        <v/>
      </c>
      <c r="G5" s="76" t="inlineStr">
        <is>
          <t>Location</t>
        </is>
      </c>
      <c r="H5" s="1071">
        <f>IF(CANOPY!G5="","",CANOPY!G5)</f>
        <v/>
      </c>
      <c r="M5" s="343" t="n"/>
      <c r="N5" s="344" t="n"/>
      <c r="Q5" s="229" t="n"/>
      <c r="R5" s="229" t="n"/>
      <c r="T5" s="225" t="n"/>
      <c r="U5" s="226" t="n"/>
    </row>
    <row r="6" ht="15" customHeight="1" s="1085">
      <c r="C6" s="78" t="n"/>
      <c r="D6" s="230" t="n"/>
      <c r="E6" s="230" t="n"/>
      <c r="G6" s="76" t="n"/>
      <c r="H6" s="222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C7" s="80" t="inlineStr">
        <is>
          <t>Sales Manager / Estimator initials</t>
        </is>
      </c>
      <c r="D7" s="1074">
        <f>IF(CANOPY!C7="","",CANOPY!C7)</f>
        <v/>
      </c>
      <c r="G7" s="76" t="inlineStr">
        <is>
          <t>Date</t>
        </is>
      </c>
      <c r="H7" s="1075">
        <f>IF(CANOPY!G7="","",CANOPY!G7)</f>
        <v/>
      </c>
      <c r="N7" s="347" t="inlineStr">
        <is>
          <t>Revision No</t>
        </is>
      </c>
      <c r="O7" s="900">
        <f>IF(CANOPY!O7="","",CANOPY!O7)</f>
        <v/>
      </c>
      <c r="P7" s="1157" t="inlineStr">
        <is>
          <t>GP SHOULD BE MINIMUM 44%</t>
        </is>
      </c>
      <c r="T7" s="225" t="n"/>
      <c r="U7" s="226" t="n"/>
      <c r="AA7" s="231" t="n"/>
    </row>
    <row r="8" ht="15" customHeight="1" s="1085">
      <c r="E8" s="219" t="n"/>
      <c r="F8" s="219" t="n"/>
      <c r="H8" s="219" t="n"/>
      <c r="J8" s="346" t="n"/>
      <c r="K8" s="14" t="n"/>
      <c r="T8" s="225" t="n"/>
      <c r="AA8" s="231" t="n"/>
    </row>
    <row r="9" ht="15" customFormat="1" customHeight="1" s="80">
      <c r="A9" s="215" t="n"/>
      <c r="B9" s="215" t="n"/>
      <c r="C9" s="38" t="inlineStr">
        <is>
          <t>CURRENCY</t>
        </is>
      </c>
      <c r="D9" s="951" t="n">
        <v>0</v>
      </c>
      <c r="E9" s="377">
        <f>IF(D9=0,0,(SUBTOTAL(9,M14:M48)/(1-D9))-M9)</f>
        <v/>
      </c>
      <c r="I9" s="234" t="n"/>
      <c r="K9" s="25">
        <f>SUBTOTAL(9,K12:K48)</f>
        <v/>
      </c>
      <c r="L9" s="970">
        <f>IF(O9=0,"-",O9/M9)</f>
        <v/>
      </c>
      <c r="M9" s="25">
        <f>SUBTOTAL(9,M12:M48)</f>
        <v/>
      </c>
      <c r="N9" s="464">
        <f>SUBTOTAL(9,N12:N48)</f>
        <v/>
      </c>
      <c r="O9" s="25">
        <f>SUBTOTAL(9,O12:O48)</f>
        <v/>
      </c>
      <c r="P9" s="1070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215" t="n"/>
      <c r="C12" s="1089" t="inlineStr">
        <is>
          <t xml:space="preserve">ITEM </t>
        </is>
      </c>
      <c r="D12" s="236" t="n"/>
      <c r="E12" s="237">
        <f>E14</f>
        <v/>
      </c>
      <c r="F12" s="838" t="n">
        <v>0</v>
      </c>
      <c r="G12" s="838">
        <f>IF(I12&lt;1,0,CEILING((G14-100)/I14,250))</f>
        <v/>
      </c>
      <c r="H12" s="237">
        <f>E12&amp;G12&amp;F12</f>
        <v/>
      </c>
      <c r="I12" s="236">
        <f>IF(F14=0,0,IF(G14=0,0,(F14/(IF(D14="WALL",F14,(F14/2)))*I14)))</f>
        <v/>
      </c>
      <c r="J12" s="238" t="n"/>
      <c r="K12" s="154">
        <f>SUBTOTAL(9,K14:K34)</f>
        <v/>
      </c>
      <c r="L12" s="15">
        <f>IF(K14=0,"-",O12/M12)</f>
        <v/>
      </c>
      <c r="M12" s="154">
        <f>SUBTOTAL(9,M14:M34)</f>
        <v/>
      </c>
      <c r="N12" s="464">
        <f>SUBTOTAL(9,N14:N34)</f>
        <v/>
      </c>
      <c r="O12" s="154">
        <f>SUBTOTAL(9,O14:O34)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LENGTH</t>
        </is>
      </c>
      <c r="G13" s="10" t="inlineStr">
        <is>
          <t>WIDTH</t>
        </is>
      </c>
      <c r="H13" s="10" t="inlineStr">
        <is>
          <t>HEIGHT</t>
        </is>
      </c>
      <c r="I13" s="10" t="inlineStr">
        <is>
          <t>SECTIONS</t>
        </is>
      </c>
      <c r="J13" s="349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A14" s="215" t="n">
        <v>210</v>
      </c>
      <c r="C14" s="791" t="inlineStr">
        <is>
          <t xml:space="preserve">PS-150 TOUCH SCREEN </t>
        </is>
      </c>
      <c r="D14" s="460" t="inlineStr">
        <is>
          <t>TOUCH SCREEN REMOTE BOX - METAL</t>
        </is>
      </c>
      <c r="E14" s="448" t="n"/>
      <c r="F14" s="837" t="n">
        <v>300</v>
      </c>
      <c r="G14" s="835" t="n">
        <v>95</v>
      </c>
      <c r="H14" s="896" t="n">
        <v>250</v>
      </c>
      <c r="I14" s="31" t="n"/>
      <c r="J14" s="380" t="n">
        <v>419.97</v>
      </c>
      <c r="K14" s="378">
        <f>SUM(J14*E14)</f>
        <v/>
      </c>
      <c r="L14" s="392" t="n">
        <v>0.35</v>
      </c>
      <c r="M14" s="311">
        <f>(K14/(1-L14))*(1+$D$9)</f>
        <v/>
      </c>
      <c r="N14" s="378">
        <f>(M14*VLOOKUP($C$9,'Base Costs'!$A$32:$B$37,2,FALSE))</f>
        <v/>
      </c>
      <c r="O14" s="379">
        <f>M14-K14</f>
        <v/>
      </c>
      <c r="U14" s="229" t="n"/>
      <c r="AA14" s="1070" t="n"/>
    </row>
    <row r="15" ht="15" customHeight="1" s="1085">
      <c r="A15" s="215" t="n">
        <v>104</v>
      </c>
      <c r="C15" s="855" t="inlineStr">
        <is>
          <t>PS-152 EDGE BOX</t>
        </is>
      </c>
      <c r="D15" s="460" t="inlineStr">
        <is>
          <t>PEU/AEU/HOODS (Staged Alarms)</t>
        </is>
      </c>
      <c r="E15" s="448" t="n"/>
      <c r="F15" s="895" t="n">
        <v>380</v>
      </c>
      <c r="G15" s="835" t="n">
        <v>300</v>
      </c>
      <c r="H15" s="896" t="n">
        <v>180</v>
      </c>
      <c r="I15" s="31" t="n"/>
      <c r="J15" s="380" t="n">
        <v>1030.52</v>
      </c>
      <c r="K15" s="378">
        <f>SUM(J15*E15)</f>
        <v/>
      </c>
      <c r="L15" s="392" t="n">
        <v>0.35</v>
      </c>
      <c r="M15" s="311">
        <f>(K15/(1-L15))*(1+$D$9)</f>
        <v/>
      </c>
      <c r="N15" s="378">
        <f>(M15*VLOOKUP($C$9,'Base Costs'!$A$32:$B$37,2,FALSE))</f>
        <v/>
      </c>
      <c r="O15" s="379">
        <f>M15-K15</f>
        <v/>
      </c>
      <c r="U15" s="229" t="n"/>
      <c r="AA15" s="1070" t="n"/>
    </row>
    <row r="16" ht="15" customHeight="1" s="1085">
      <c r="A16" s="215" t="n">
        <v>234</v>
      </c>
      <c r="C16" s="855" t="inlineStr">
        <is>
          <t>PS-153 EDGE BOX</t>
        </is>
      </c>
      <c r="D16" s="460" t="inlineStr">
        <is>
          <t>PEU/HOODS (Staged Alarms)</t>
        </is>
      </c>
      <c r="E16" s="461" t="n"/>
      <c r="F16" s="895" t="n">
        <v>380</v>
      </c>
      <c r="G16" s="835" t="n">
        <v>300</v>
      </c>
      <c r="H16" s="896" t="n">
        <v>180</v>
      </c>
      <c r="I16" s="31" t="n"/>
      <c r="J16" s="380" t="n">
        <v>690.16</v>
      </c>
      <c r="K16" s="378">
        <f>SUM(J16*E16)</f>
        <v/>
      </c>
      <c r="L16" s="392" t="n">
        <v>0.35</v>
      </c>
      <c r="M16" s="311">
        <f>(K16/(1-L16))*(1+$D$9)</f>
        <v/>
      </c>
      <c r="N16" s="378">
        <f>(M16*VLOOKUP($C$9,'Base Costs'!$A$32:$B$37,2,FALSE))</f>
        <v/>
      </c>
      <c r="O16" s="379">
        <f>M16-K16</f>
        <v/>
      </c>
      <c r="U16" s="229" t="n"/>
      <c r="AA16" s="1070" t="n"/>
    </row>
    <row r="17" ht="15" customHeight="1" s="1085">
      <c r="C17" s="855" t="inlineStr">
        <is>
          <t>PS-154 EDGE BOX</t>
        </is>
      </c>
      <c r="D17" s="460" t="inlineStr">
        <is>
          <t>PEU/MRV/HOODS (Staged Alarms)</t>
        </is>
      </c>
      <c r="E17" s="448" t="n"/>
      <c r="F17" s="895" t="n">
        <v>380</v>
      </c>
      <c r="G17" s="895" t="n">
        <v>300</v>
      </c>
      <c r="H17" s="896" t="n">
        <v>180</v>
      </c>
      <c r="I17" s="31" t="n"/>
      <c r="J17" s="380" t="n">
        <v>894.01</v>
      </c>
      <c r="K17" s="378">
        <f>SUM(J17*E17)</f>
        <v/>
      </c>
      <c r="L17" s="392" t="n">
        <v>0.35</v>
      </c>
      <c r="M17" s="311">
        <f>(K17/(1-L17))*(1+$D$9)</f>
        <v/>
      </c>
      <c r="N17" s="378">
        <f>(M17*VLOOKUP($C$9,'Base Costs'!$A$32:$B$37,2,FALSE))</f>
        <v/>
      </c>
      <c r="O17" s="379">
        <f>M17-K17</f>
        <v/>
      </c>
      <c r="U17" s="229" t="n"/>
      <c r="AA17" s="1070" t="n"/>
    </row>
    <row r="18" ht="15" customHeight="1" s="1085">
      <c r="C18" s="855" t="inlineStr">
        <is>
          <t>PS-155 EDGE BOX</t>
        </is>
      </c>
      <c r="D18" s="460" t="inlineStr">
        <is>
          <t>PEU/AEU/ MRV/HOOD (No Staged Alarms)</t>
        </is>
      </c>
      <c r="E18" s="448" t="n"/>
      <c r="F18" s="895" t="n">
        <v>380</v>
      </c>
      <c r="G18" s="895" t="n">
        <v>300</v>
      </c>
      <c r="H18" s="896" t="n">
        <v>180</v>
      </c>
      <c r="I18" s="31" t="n"/>
      <c r="J18" s="380" t="n">
        <v>1039.58</v>
      </c>
      <c r="K18" s="378">
        <f>SUM(J18*E18)</f>
        <v/>
      </c>
      <c r="L18" s="392" t="n">
        <v>0.35</v>
      </c>
      <c r="M18" s="311">
        <f>(K18/(1-L18))*(1+$D$9)</f>
        <v/>
      </c>
      <c r="N18" s="378">
        <f>(M18*VLOOKUP($C$9,'Base Costs'!$A$32:$B$37,2,FALSE))</f>
        <v/>
      </c>
      <c r="O18" s="379">
        <f>M18-K18</f>
        <v/>
      </c>
      <c r="U18" s="229" t="n"/>
      <c r="AA18" s="1070" t="n"/>
    </row>
    <row r="19" ht="15" customHeight="1" s="1085">
      <c r="C19" s="855" t="n"/>
      <c r="D19" s="460" t="n"/>
      <c r="E19" s="448" t="n"/>
      <c r="F19" s="895" t="n"/>
      <c r="G19" s="895" t="n"/>
      <c r="H19" s="896" t="n"/>
      <c r="I19" s="31" t="n"/>
      <c r="J19" s="380" t="n"/>
      <c r="K19" s="378" t="n"/>
      <c r="L19" s="392" t="n"/>
      <c r="M19" s="311" t="n"/>
      <c r="N19" s="378" t="n"/>
      <c r="O19" s="379" t="n"/>
      <c r="U19" s="229" t="n"/>
      <c r="AA19" s="1070" t="n"/>
    </row>
    <row r="20" ht="15" customHeight="1" s="1085">
      <c r="C20" s="791" t="inlineStr">
        <is>
          <t>RCL-329 LPC-3 GOT.112 (CANOPY CONTROL)</t>
        </is>
      </c>
      <c r="D20" s="1065" t="inlineStr">
        <is>
          <t>GOT Panel Comp for UV-c (24 Sections Max)</t>
        </is>
      </c>
      <c r="E20" s="448" t="n"/>
      <c r="F20" s="895" t="n">
        <v>160</v>
      </c>
      <c r="G20" s="895" t="n">
        <v>34</v>
      </c>
      <c r="H20" s="896" t="n">
        <v>106</v>
      </c>
      <c r="I20" s="31" t="n"/>
      <c r="J20" s="380" t="n">
        <v>336.21</v>
      </c>
      <c r="K20" s="378">
        <f>SUM(J20*E20)</f>
        <v/>
      </c>
      <c r="L20" s="392" t="n">
        <v>0.35</v>
      </c>
      <c r="M20" s="311">
        <f>(K20/(1-L20))*(1+$D$9)</f>
        <v/>
      </c>
      <c r="N20" s="378">
        <f>(M20*VLOOKUP($C$9,'Base Costs'!$A$32:$B$37,2,FALSE))</f>
        <v/>
      </c>
      <c r="O20" s="379">
        <f>M20-K20</f>
        <v/>
      </c>
      <c r="U20" s="229" t="n"/>
      <c r="AA20" s="1070" t="n"/>
    </row>
    <row r="21" ht="15" customHeight="1" s="1085">
      <c r="C21" s="791" t="inlineStr">
        <is>
          <t>RCL-342 GOT-112 WALL BOX</t>
        </is>
      </c>
      <c r="D21" s="460" t="inlineStr">
        <is>
          <t>Remote Mounting box if Required</t>
        </is>
      </c>
      <c r="E21" s="448" t="n"/>
      <c r="F21" s="895" t="n">
        <v>270</v>
      </c>
      <c r="G21" s="895" t="n">
        <v>200</v>
      </c>
      <c r="H21" s="896" t="n">
        <v>150</v>
      </c>
      <c r="I21" s="31" t="n"/>
      <c r="J21" s="380" t="n">
        <v>82</v>
      </c>
      <c r="K21" s="378">
        <f>SUM(J21*E21)</f>
        <v/>
      </c>
      <c r="L21" s="392" t="n">
        <v>0.35</v>
      </c>
      <c r="M21" s="311">
        <f>(K21/(1-L21))*(1+$D$9)</f>
        <v/>
      </c>
      <c r="N21" s="378">
        <f>(M21*VLOOKUP($C$9,'Base Costs'!$A$32:$B$37,2,FALSE))</f>
        <v/>
      </c>
      <c r="O21" s="379">
        <f>M21-K21</f>
        <v/>
      </c>
      <c r="U21" s="229" t="n"/>
      <c r="AA21" s="1070" t="n"/>
    </row>
    <row r="22" ht="15" customHeight="1" s="1085">
      <c r="C22" s="270" t="inlineStr">
        <is>
          <t>RCL-280 STAGED ALARM BOX</t>
        </is>
      </c>
      <c r="D22" s="460" t="inlineStr">
        <is>
          <t>MU5 CONTROLLER BOX</t>
        </is>
      </c>
      <c r="E22" s="448" t="n"/>
      <c r="F22" s="895" t="n">
        <v>179</v>
      </c>
      <c r="G22" s="895" t="n">
        <v>129</v>
      </c>
      <c r="H22" s="896" t="n">
        <v>100</v>
      </c>
      <c r="I22" s="31" t="n"/>
      <c r="J22" s="380" t="n">
        <v>212.86</v>
      </c>
      <c r="K22" s="378">
        <f>SUM(J22*E22)</f>
        <v/>
      </c>
      <c r="L22" s="392" t="n">
        <v>0.35</v>
      </c>
      <c r="M22" s="311">
        <f>(K22/(1-L22))*(1+$D$9)</f>
        <v/>
      </c>
      <c r="N22" s="378">
        <f>(M22*VLOOKUP($C$9,'Base Costs'!$A$32:$B$37,2,FALSE))</f>
        <v/>
      </c>
      <c r="O22" s="379">
        <f>M22-K22</f>
        <v/>
      </c>
      <c r="P22" s="1064" t="inlineStr">
        <is>
          <t xml:space="preserve">Add if Alarms requested for a GOT panel </t>
        </is>
      </c>
      <c r="U22" s="229" t="n"/>
      <c r="AA22" s="1070" t="n"/>
    </row>
    <row r="23" ht="15" customHeight="1" s="1085">
      <c r="A23" s="215" t="n">
        <v>289</v>
      </c>
      <c r="C23" s="270" t="n"/>
      <c r="D23" s="460" t="n"/>
      <c r="E23" s="448" t="n"/>
      <c r="F23" s="895" t="n"/>
      <c r="G23" s="895" t="n"/>
      <c r="H23" s="896" t="n"/>
      <c r="I23" s="31" t="n"/>
      <c r="J23" s="380" t="n"/>
      <c r="K23" s="378">
        <f>SUM(J23*E23)</f>
        <v/>
      </c>
      <c r="L23" s="392" t="n"/>
      <c r="M23" s="311">
        <f>(K23/(1-L23))*(1+$D$9)</f>
        <v/>
      </c>
      <c r="N23" s="378">
        <f>(M23*VLOOKUP($C$9,'Base Costs'!$A$32:$B$37,2,FALSE))</f>
        <v/>
      </c>
      <c r="O23" s="379">
        <f>M23-K23</f>
        <v/>
      </c>
      <c r="U23" s="229" t="n"/>
      <c r="AA23" s="1070" t="n"/>
    </row>
    <row r="24" ht="15" customHeight="1" s="1085">
      <c r="A24" s="215" t="n">
        <v>242</v>
      </c>
      <c r="C24" s="270" t="inlineStr">
        <is>
          <t xml:space="preserve">PS-160 EXTERNAL AERIAL </t>
        </is>
      </c>
      <c r="D24" s="460" t="inlineStr">
        <is>
          <t>EXTERNAL AERIAL BOX</t>
        </is>
      </c>
      <c r="E24" s="448" t="n"/>
      <c r="F24" s="895" t="n">
        <v>250</v>
      </c>
      <c r="G24" s="895" t="n">
        <v>175</v>
      </c>
      <c r="H24" s="896" t="n">
        <v>100</v>
      </c>
      <c r="I24" s="31" t="n"/>
      <c r="J24" s="380" t="n">
        <v>100.91</v>
      </c>
      <c r="K24" s="378">
        <f>SUM(J24*E24)</f>
        <v/>
      </c>
      <c r="L24" s="392" t="n">
        <v>0.35</v>
      </c>
      <c r="M24" s="311">
        <f>(K24/(1-L24))*(1+$D$9)</f>
        <v/>
      </c>
      <c r="N24" s="378">
        <f>(M24*VLOOKUP($C$9,'Base Costs'!$A$32:$B$37,2,FALSE))</f>
        <v/>
      </c>
      <c r="O24" s="379">
        <f>M24-K24</f>
        <v/>
      </c>
      <c r="U24" s="229" t="n"/>
      <c r="AA24" s="1070" t="n"/>
    </row>
    <row r="25" ht="15" customHeight="1" s="1085">
      <c r="A25" s="215" t="n">
        <v>220</v>
      </c>
      <c r="C25" s="855" t="inlineStr">
        <is>
          <t xml:space="preserve">PS-156 EDGE BOX REMOTE ROUTER (UV-GOT)  </t>
        </is>
      </c>
      <c r="D25" s="1066" t="inlineStr">
        <is>
          <t>EXTERNAL ROUTER</t>
        </is>
      </c>
      <c r="E25" s="448" t="n"/>
      <c r="F25" s="837" t="n">
        <v>250</v>
      </c>
      <c r="G25" s="895" t="n">
        <v>175</v>
      </c>
      <c r="H25" s="896" t="n">
        <v>100</v>
      </c>
      <c r="I25" s="31" t="n"/>
      <c r="J25" s="380" t="n">
        <v>484.58</v>
      </c>
      <c r="K25" s="378">
        <f>SUM(J25*E25)</f>
        <v/>
      </c>
      <c r="L25" s="392" t="n">
        <v>0.35</v>
      </c>
      <c r="M25" s="311">
        <f>(K25/(1-L25))*(1+$D$9)</f>
        <v/>
      </c>
      <c r="N25" s="378">
        <f>(M25*VLOOKUP($C$9,'Base Costs'!$A$32:$B$37,2,FALSE))</f>
        <v/>
      </c>
      <c r="O25" s="379">
        <f>M25-K25</f>
        <v/>
      </c>
      <c r="U25" s="229" t="n"/>
      <c r="AA25" s="1070" t="n"/>
    </row>
    <row r="26" ht="15" customHeight="1" s="1085">
      <c r="A26" s="215" t="n">
        <v>103</v>
      </c>
      <c r="C26" s="855" t="n"/>
      <c r="D26" s="460" t="n"/>
      <c r="E26" s="448" t="n"/>
      <c r="F26" s="837" t="n"/>
      <c r="G26" s="895" t="n"/>
      <c r="H26" s="896" t="n"/>
      <c r="I26" s="31" t="n"/>
      <c r="J26" s="380" t="n"/>
      <c r="K26" s="378">
        <f>SUM(J26*E26)</f>
        <v/>
      </c>
      <c r="L26" s="392" t="n"/>
      <c r="M26" s="311">
        <f>(K26/(1-L26))*(1+$D$9)</f>
        <v/>
      </c>
      <c r="N26" s="378">
        <f>(M26*VLOOKUP($C$9,'Base Costs'!$A$32:$B$37,2,FALSE))</f>
        <v/>
      </c>
      <c r="O26" s="379">
        <f>M26-K26</f>
        <v/>
      </c>
      <c r="U26" s="229" t="n"/>
      <c r="AA26" s="1070" t="n"/>
    </row>
    <row r="27" ht="15" customHeight="1" s="1085">
      <c r="A27" s="215" t="n">
        <v>103</v>
      </c>
      <c r="C27" s="855" t="inlineStr">
        <is>
          <t>CONNECTIVITY PS-153/152/154/155</t>
        </is>
      </c>
      <c r="D27" s="921" t="inlineStr">
        <is>
          <t xml:space="preserve"> NOT INCLUDED IN THE ABOVE</t>
        </is>
      </c>
      <c r="E27" s="448" t="n"/>
      <c r="F27" s="837" t="n"/>
      <c r="G27" s="895" t="n"/>
      <c r="H27" s="896" t="n"/>
      <c r="I27" s="31" t="n"/>
      <c r="J27" s="380" t="n">
        <v>522.38</v>
      </c>
      <c r="K27" s="378">
        <f>SUM(J27*E27)</f>
        <v/>
      </c>
      <c r="L27" s="392" t="n">
        <v>0.35</v>
      </c>
      <c r="M27" s="311">
        <f>(K27/(1-L27))*(1+$D$9)</f>
        <v/>
      </c>
      <c r="N27" s="378">
        <f>(M27*VLOOKUP($C$9,'Base Costs'!$A$32:$B$37,2,FALSE))</f>
        <v/>
      </c>
      <c r="O27" s="379">
        <f>M27-K27</f>
        <v/>
      </c>
      <c r="P27" s="990" t="inlineStr">
        <is>
          <t>EDGE UP2 Plus First Year Connectivity Fee from Group</t>
        </is>
      </c>
      <c r="U27" s="229" t="n"/>
      <c r="AA27" s="1070" t="n"/>
    </row>
    <row r="28" ht="15" customHeight="1" s="1085">
      <c r="C28" s="855" t="inlineStr">
        <is>
          <t>CONNECTIVITY  (UV-GOT)</t>
        </is>
      </c>
      <c r="D28" s="1067" t="inlineStr">
        <is>
          <t xml:space="preserve"> NOT INCLUDED IN THE ABOVE</t>
        </is>
      </c>
      <c r="E28" s="448" t="n"/>
      <c r="F28" s="895" t="n"/>
      <c r="G28" s="895" t="n"/>
      <c r="H28" s="896" t="n"/>
      <c r="I28" s="31" t="n"/>
      <c r="J28" s="380" t="n">
        <v>130</v>
      </c>
      <c r="K28" s="378">
        <f>SUM(J28*E28)</f>
        <v/>
      </c>
      <c r="L28" s="392" t="n">
        <v>0.35</v>
      </c>
      <c r="M28" s="311">
        <f>(K28/(1-L28))*(1+$D$9)</f>
        <v/>
      </c>
      <c r="N28" s="378">
        <f>(M28*VLOOKUP($C$9,'Base Costs'!$A$32:$B$37,2,FALSE))</f>
        <v/>
      </c>
      <c r="O28" s="379">
        <f>M28-K28</f>
        <v/>
      </c>
      <c r="P28" s="990" t="inlineStr">
        <is>
          <t>First Year Connectivity Fee from Group</t>
        </is>
      </c>
      <c r="U28" s="229" t="n"/>
      <c r="AA28" s="1070" t="n"/>
    </row>
    <row r="29" ht="15" customHeight="1" s="1085">
      <c r="A29" s="215" t="n">
        <v>285</v>
      </c>
      <c r="C29" s="855" t="n"/>
      <c r="D29" s="460" t="n"/>
      <c r="E29" s="448" t="n"/>
      <c r="F29" s="898" t="n"/>
      <c r="G29" s="898" t="n"/>
      <c r="H29" s="899" t="n"/>
      <c r="I29" s="31" t="n"/>
      <c r="J29" s="380" t="n"/>
      <c r="K29" s="378">
        <f>SUM(J29*E29)</f>
        <v/>
      </c>
      <c r="L29" s="392" t="n"/>
      <c r="M29" s="311">
        <f>(K29/(1-L29))*(1+$D$9)</f>
        <v/>
      </c>
      <c r="N29" s="378">
        <f>(M29*VLOOKUP($C$9,'Base Costs'!$A$32:$B$37,2,FALSE))</f>
        <v/>
      </c>
      <c r="O29" s="379">
        <f>M29-K29</f>
        <v/>
      </c>
      <c r="U29" s="229" t="n"/>
      <c r="AA29" s="1070" t="n"/>
    </row>
    <row r="30" ht="15" customHeight="1" s="1085">
      <c r="C30" s="855" t="n"/>
      <c r="D30" s="460" t="n"/>
      <c r="E30" s="448" t="n"/>
      <c r="F30" s="898" t="n"/>
      <c r="G30" s="898" t="n"/>
      <c r="H30" s="899" t="n"/>
      <c r="I30" s="31" t="n"/>
      <c r="J30" s="380" t="n"/>
      <c r="K30" s="378">
        <f>SUM(J30*E30)</f>
        <v/>
      </c>
      <c r="L30" s="392" t="n"/>
      <c r="M30" s="311">
        <f>(K30/(1-L30))*(1+$D$9)</f>
        <v/>
      </c>
      <c r="N30" s="378">
        <f>(M30*VLOOKUP($C$9,'Base Costs'!$A$32:$B$37,2,FALSE))</f>
        <v/>
      </c>
      <c r="O30" s="379">
        <f>M30-K30</f>
        <v/>
      </c>
      <c r="U30" s="229" t="n"/>
      <c r="AA30" s="1070" t="n"/>
    </row>
    <row r="31" ht="15" customHeight="1" s="1085">
      <c r="C31" s="269" t="n"/>
      <c r="D31" s="460" t="n"/>
      <c r="E31" s="448" t="n"/>
      <c r="F31" s="895" t="n"/>
      <c r="G31" s="895" t="n"/>
      <c r="H31" s="896" t="n"/>
      <c r="I31" s="31" t="n"/>
      <c r="J31" s="380" t="n">
        <v>0</v>
      </c>
      <c r="K31" s="378">
        <f>SUM(J31*E31)</f>
        <v/>
      </c>
      <c r="L31" s="392" t="n"/>
      <c r="M31" s="311">
        <f>(K31/(1-L31))*(1+$D$9)</f>
        <v/>
      </c>
      <c r="N31" s="378">
        <f>(M31*VLOOKUP($C$9,'Base Costs'!$A$32:$B$37,2,FALSE))</f>
        <v/>
      </c>
      <c r="O31" s="379">
        <f>M31-K31</f>
        <v/>
      </c>
      <c r="U31" s="229" t="n"/>
      <c r="AA31" s="1070" t="n"/>
    </row>
    <row r="32" ht="15" customHeight="1" s="1085">
      <c r="A32" s="215" t="n">
        <v>286</v>
      </c>
      <c r="C32" s="270" t="n"/>
      <c r="D32" s="460" t="n"/>
      <c r="E32" s="448" t="n"/>
      <c r="F32" s="895" t="n"/>
      <c r="G32" s="895" t="n"/>
      <c r="H32" s="896" t="n"/>
      <c r="I32" s="31" t="n"/>
      <c r="J32" s="380" t="n">
        <v>0</v>
      </c>
      <c r="K32" s="378">
        <f>SUM(J32*E32)</f>
        <v/>
      </c>
      <c r="L32" s="392" t="n"/>
      <c r="M32" s="311">
        <f>(K32/(1-L32))*(1+$D$9)</f>
        <v/>
      </c>
      <c r="N32" s="378">
        <f>(M32*VLOOKUP($C$9,'Base Costs'!$A$32:$B$37,2,FALSE))</f>
        <v/>
      </c>
      <c r="O32" s="379">
        <f>M32-K32</f>
        <v/>
      </c>
      <c r="U32" s="229" t="n"/>
      <c r="AA32" s="1070" t="n"/>
    </row>
    <row r="33" ht="15" customHeight="1" s="1085">
      <c r="C33" s="269" t="n"/>
      <c r="D33" s="460" t="n"/>
      <c r="E33" s="448" t="n"/>
      <c r="F33" s="462" t="n"/>
      <c r="G33" s="32" t="n"/>
      <c r="H33" s="30" t="n"/>
      <c r="I33" s="31" t="n"/>
      <c r="J33" s="933" t="n"/>
      <c r="K33" s="378">
        <f>SUM(J33*E33)</f>
        <v/>
      </c>
      <c r="L33" s="392" t="n"/>
      <c r="M33" s="311">
        <f>(K33/(1-L33))*(1+$D$9)</f>
        <v/>
      </c>
      <c r="N33" s="378">
        <f>(M33*VLOOKUP($C$9,'Base Costs'!$A$32:$B$37,2,FALSE))</f>
        <v/>
      </c>
      <c r="O33" s="379">
        <f>M33-K33</f>
        <v/>
      </c>
      <c r="U33" s="229" t="n"/>
      <c r="AA33" s="1070" t="n"/>
    </row>
    <row r="34" ht="15" customHeight="1" s="1085">
      <c r="C34" s="855" t="n"/>
      <c r="D34" s="460" t="n"/>
      <c r="E34" s="448" t="n"/>
      <c r="F34" s="462" t="n"/>
      <c r="G34" s="32" t="n"/>
      <c r="H34" s="30" t="n"/>
      <c r="I34" s="31" t="n"/>
      <c r="J34" s="933" t="n"/>
      <c r="K34" s="378">
        <f>SUM(J34*E34)</f>
        <v/>
      </c>
      <c r="L34" s="392" t="n"/>
      <c r="M34" s="311">
        <f>(K34/(1-L34))*(1+$D$9)</f>
        <v/>
      </c>
      <c r="N34" s="378">
        <f>(M34*VLOOKUP($C$9,'Base Costs'!$A$32:$B$37,2,FALSE))</f>
        <v/>
      </c>
      <c r="O34" s="379">
        <f>M34-K34</f>
        <v/>
      </c>
      <c r="U34" s="229" t="n"/>
      <c r="AA34" s="1070" t="n"/>
    </row>
    <row r="35" ht="15" customHeight="1" s="1085">
      <c r="H35" s="34" t="inlineStr">
        <is>
          <t>SECTION UNDER 1000mm</t>
        </is>
      </c>
    </row>
    <row r="36" ht="15" customHeight="1" s="1085">
      <c r="C36" s="239" t="n"/>
      <c r="D36" s="239" t="n"/>
      <c r="E36" s="239" t="n"/>
      <c r="F36" s="239" t="n"/>
      <c r="G36" s="239" t="n"/>
      <c r="H36" s="239" t="n"/>
      <c r="I36" s="9" t="n"/>
      <c r="J36" s="11" t="n"/>
      <c r="K36" s="353" t="n"/>
      <c r="L36" s="240" t="n"/>
      <c r="M36" s="353" t="n"/>
      <c r="N36" s="353" t="n"/>
      <c r="U36" s="229" t="n"/>
      <c r="AA36" s="1070" t="n"/>
    </row>
    <row r="37" ht="15" customHeight="1" s="1085">
      <c r="C37" s="1089" t="inlineStr">
        <is>
          <t xml:space="preserve">DELIVERY &amp; INSTALLATION </t>
        </is>
      </c>
      <c r="I37" s="236" t="n"/>
      <c r="J37" s="330" t="n"/>
      <c r="K37" s="154">
        <f>SUBTOTAL(9,K38:K48)</f>
        <v/>
      </c>
      <c r="L37" s="15">
        <f>IF(K38=0,"-",O37/M37)</f>
        <v/>
      </c>
      <c r="M37" s="154">
        <f>SUBTOTAL(9,M38:M48)</f>
        <v/>
      </c>
      <c r="N37" s="464">
        <f>SUBTOTAL(9,N38:N48)</f>
        <v/>
      </c>
      <c r="O37" s="154">
        <f>SUBTOTAL(9,O39:O48)</f>
        <v/>
      </c>
      <c r="U37" s="229" t="n"/>
    </row>
    <row r="38" ht="15" customHeight="1" s="1085">
      <c r="A38" s="215" t="n">
        <v>222</v>
      </c>
      <c r="C38" s="269" t="inlineStr">
        <is>
          <t xml:space="preserve">DELIVERIES </t>
        </is>
      </c>
      <c r="D38" s="242" t="n"/>
      <c r="E38" s="309" t="inlineStr">
        <is>
          <t>SELECT LOCATION…</t>
        </is>
      </c>
      <c r="F38" s="28" t="n"/>
      <c r="G38" s="30" t="n"/>
      <c r="H38" s="28" t="n"/>
      <c r="I38" s="28" t="n"/>
      <c r="J38" s="385">
        <f>VLOOKUP(E38,'Base Costs'!E4:G213,2,FALSE)</f>
        <v/>
      </c>
      <c r="K38" s="378">
        <f>D38*J38</f>
        <v/>
      </c>
      <c r="L38" s="392" t="n">
        <v>0.33</v>
      </c>
      <c r="M38" s="311">
        <f>(K38/(1-L38))*(1+$D$9)</f>
        <v/>
      </c>
      <c r="N38" s="378">
        <f>(M38*VLOOKUP($C$9,'Base Costs'!$A$32:$B$37,2,FALSE))</f>
        <v/>
      </c>
      <c r="O38" s="379">
        <f>M38-K38</f>
        <v/>
      </c>
      <c r="U38" s="229" t="n"/>
    </row>
    <row r="39" ht="15" customHeight="1" s="1085">
      <c r="A39" s="215" t="n">
        <v>257</v>
      </c>
      <c r="C39" s="269" t="inlineStr">
        <is>
          <t>PLANT HIRE</t>
        </is>
      </c>
      <c r="D39" s="242" t="n"/>
      <c r="E39" s="309" t="inlineStr">
        <is>
          <t>PLANT SELECTION (weekly)</t>
        </is>
      </c>
      <c r="F39" s="28" t="n"/>
      <c r="G39" s="28" t="n"/>
      <c r="H39" s="28" t="n"/>
      <c r="I39" s="28" t="n"/>
      <c r="J39" s="385">
        <f>VLOOKUP(E39,'Base Costs'!$A$4:$B$16,2,FALSE)</f>
        <v/>
      </c>
      <c r="K39" s="378">
        <f>D39*J39</f>
        <v/>
      </c>
      <c r="L39" s="392" t="n">
        <v>0.33</v>
      </c>
      <c r="M39" s="311">
        <f>(K39/(1-L39))*(1+$D$9)</f>
        <v/>
      </c>
      <c r="N39" s="378">
        <f>(M39*VLOOKUP($C$9,'Base Costs'!$A$32:$B$37,2,FALSE))</f>
        <v/>
      </c>
      <c r="O39" s="379">
        <f>M39-K39</f>
        <v/>
      </c>
      <c r="U39" s="229" t="n"/>
    </row>
    <row r="40" ht="15" customHeight="1" s="1085">
      <c r="A40" s="215" t="n">
        <v>257</v>
      </c>
      <c r="C40" s="269" t="inlineStr">
        <is>
          <t>PLANT HIRE</t>
        </is>
      </c>
      <c r="D40" s="242" t="n"/>
      <c r="E40" s="309" t="inlineStr">
        <is>
          <t>PLANT SELECTION (weekly)</t>
        </is>
      </c>
      <c r="F40" s="28" t="n"/>
      <c r="G40" s="28" t="n"/>
      <c r="H40" s="28" t="n"/>
      <c r="I40" s="28" t="n"/>
      <c r="J40" s="385">
        <f>VLOOKUP(E40,'Base Costs'!$A$4:$B$16,2,FALSE)</f>
        <v/>
      </c>
      <c r="K40" s="378">
        <f>D40*J40</f>
        <v/>
      </c>
      <c r="L40" s="392" t="n">
        <v>0.33</v>
      </c>
      <c r="M40" s="311">
        <f>(K40/(1-L40))*(1+$D$9)</f>
        <v/>
      </c>
      <c r="N40" s="378">
        <f>(M40*VLOOKUP($C$9,'Base Costs'!$A$32:$B$37,2,FALSE))</f>
        <v/>
      </c>
      <c r="O40" s="379">
        <f>M40-K40</f>
        <v/>
      </c>
      <c r="U40" s="229" t="n"/>
    </row>
    <row r="41" ht="15" customHeight="1" s="1085">
      <c r="A41" s="215" t="n">
        <v>400</v>
      </c>
      <c r="C41" s="269" t="inlineStr">
        <is>
          <t>STRIP OUT</t>
        </is>
      </c>
      <c r="D41" s="242" t="n"/>
      <c r="E41" s="28" t="inlineStr">
        <is>
          <t>PER DAY</t>
        </is>
      </c>
      <c r="F41" s="28" t="n"/>
      <c r="G41" s="28" t="n"/>
      <c r="H41" s="28" t="n"/>
      <c r="I41" s="28" t="n"/>
      <c r="J41" s="385" t="n">
        <v>450</v>
      </c>
      <c r="K41" s="378">
        <f>D41*J41</f>
        <v/>
      </c>
      <c r="L41" s="392" t="n">
        <v>0.33</v>
      </c>
      <c r="M41" s="311">
        <f>(K41/(1-L41))*(1+$D$9)</f>
        <v/>
      </c>
      <c r="N41" s="378">
        <f>(M41*VLOOKUP($C$9,'Base Costs'!$A$32:$B$37,2,FALSE))</f>
        <v/>
      </c>
      <c r="O41" s="379">
        <f>M41-K41</f>
        <v/>
      </c>
      <c r="U41" s="229" t="n"/>
    </row>
    <row r="42" ht="15" customHeight="1" s="1085">
      <c r="A42" s="215" t="n">
        <v>102</v>
      </c>
      <c r="C42" s="269" t="inlineStr">
        <is>
          <t xml:space="preserve">CONSUMABLES </t>
        </is>
      </c>
      <c r="D42" s="242" t="n">
        <v>1</v>
      </c>
      <c r="E42" s="28" t="inlineStr">
        <is>
          <t>ON SITE FIXINGS</t>
        </is>
      </c>
      <c r="F42" s="28" t="n"/>
      <c r="G42" s="28" t="n"/>
      <c r="H42" s="28" t="n"/>
      <c r="I42" s="28" t="n"/>
      <c r="J42" s="385" t="n">
        <v>15</v>
      </c>
      <c r="K42" s="378">
        <f>D42*J42</f>
        <v/>
      </c>
      <c r="L42" s="392" t="n">
        <v>0.33</v>
      </c>
      <c r="M42" s="311">
        <f>(K42/(1-L42))*(1+$D$9)</f>
        <v/>
      </c>
      <c r="N42" s="378">
        <f>(M42*VLOOKUP($C$9,'Base Costs'!$A$32:$B$37,2,FALSE))</f>
        <v/>
      </c>
      <c r="O42" s="379">
        <f>M42-K42</f>
        <v/>
      </c>
      <c r="U42" s="229" t="n"/>
    </row>
    <row r="43" ht="15" customHeight="1" s="1085">
      <c r="A43" s="215" t="n">
        <v>400</v>
      </c>
      <c r="C43" s="269" t="inlineStr">
        <is>
          <t>INSTALLATION NORMAL HOURS</t>
        </is>
      </c>
      <c r="D43" s="242" t="n">
        <v>1</v>
      </c>
      <c r="E43" s="28" t="inlineStr">
        <is>
          <t>PER BOX</t>
        </is>
      </c>
      <c r="F43" s="28" t="n"/>
      <c r="G43" s="28" t="n"/>
      <c r="H43" s="28" t="n"/>
      <c r="I43" s="28" t="n"/>
      <c r="J43" s="385" t="n">
        <v>152.5</v>
      </c>
      <c r="K43" s="378">
        <f>D43*J43</f>
        <v/>
      </c>
      <c r="L43" s="392" t="n">
        <v>0.4</v>
      </c>
      <c r="M43" s="311">
        <f>(K43/(1-L43))*(1+$D$9)</f>
        <v/>
      </c>
      <c r="N43" s="378">
        <f>(M43*VLOOKUP($C$9,'Base Costs'!$A$32:$B$37,2,FALSE))</f>
        <v/>
      </c>
      <c r="O43" s="379">
        <f>M43-K43</f>
        <v/>
      </c>
      <c r="U43" s="229" t="n"/>
    </row>
    <row r="44" ht="15" customHeight="1" s="1085">
      <c r="A44" s="215" t="n">
        <v>400</v>
      </c>
      <c r="C44" s="269" t="inlineStr">
        <is>
          <t>INSTALLATION AFTER HOURS</t>
        </is>
      </c>
      <c r="D44" s="242" t="n"/>
      <c r="E44" s="28" t="inlineStr">
        <is>
          <t>PER BOX</t>
        </is>
      </c>
      <c r="F44" s="28" t="n"/>
      <c r="G44" s="28" t="n"/>
      <c r="H44" s="28" t="n"/>
      <c r="I44" s="28" t="n"/>
      <c r="J44" s="385" t="n">
        <v>861</v>
      </c>
      <c r="K44" s="378">
        <f>D44*J44</f>
        <v/>
      </c>
      <c r="L44" s="392" t="n">
        <v>0.4</v>
      </c>
      <c r="M44" s="311">
        <f>(K44/(1-L44))*(1+$D$9)</f>
        <v/>
      </c>
      <c r="N44" s="378">
        <f>(M44*VLOOKUP($C$9,'Base Costs'!$A$32:$B$37,2,FALSE))</f>
        <v/>
      </c>
      <c r="O44" s="379">
        <f>M44-K44</f>
        <v/>
      </c>
      <c r="U44" s="229" t="n"/>
    </row>
    <row r="45" ht="15" customHeight="1" s="1085">
      <c r="A45" s="215" t="n">
        <v>253</v>
      </c>
      <c r="C45" s="269" t="inlineStr">
        <is>
          <t>TRAVEL EXPENSES</t>
        </is>
      </c>
      <c r="D45" s="242" t="n"/>
      <c r="E45" s="28" t="inlineStr">
        <is>
          <t>PER NIGHT PER TEAM</t>
        </is>
      </c>
      <c r="F45" s="28" t="n"/>
      <c r="G45" s="28" t="n"/>
      <c r="H45" s="28" t="n"/>
      <c r="I45" s="28" t="n"/>
      <c r="J45" s="385" t="n"/>
      <c r="K45" s="378">
        <f>D45*J45</f>
        <v/>
      </c>
      <c r="L45" s="392" t="n">
        <v>0.33</v>
      </c>
      <c r="M45" s="311">
        <f>(K45/(1-L45))*(1+$D$9)</f>
        <v/>
      </c>
      <c r="N45" s="378">
        <f>(M45*VLOOKUP($C$9,'Base Costs'!$A$32:$B$37,2,FALSE))</f>
        <v/>
      </c>
      <c r="O45" s="379">
        <f>M45-K45</f>
        <v/>
      </c>
      <c r="U45" s="229" t="n"/>
    </row>
    <row r="46" ht="15" customHeight="1" s="1085">
      <c r="A46" s="215" t="n">
        <v>253</v>
      </c>
      <c r="C46" s="269" t="inlineStr">
        <is>
          <t>OVERNIGHT</t>
        </is>
      </c>
      <c r="D46" s="242" t="n"/>
      <c r="E46" s="28" t="inlineStr">
        <is>
          <t>PER NIGHT PER TEAM</t>
        </is>
      </c>
      <c r="F46" s="28" t="n"/>
      <c r="G46" s="28" t="n"/>
      <c r="H46" s="28" t="n"/>
      <c r="I46" s="28" t="n"/>
      <c r="J46" s="385" t="n">
        <v>170</v>
      </c>
      <c r="K46" s="378">
        <f>D46*J46</f>
        <v/>
      </c>
      <c r="L46" s="392" t="n">
        <v>0.33</v>
      </c>
      <c r="M46" s="311">
        <f>(K46/(1-L46))*(1+$D$9)</f>
        <v/>
      </c>
      <c r="N46" s="378">
        <f>(M46*VLOOKUP($C$9,'Base Costs'!$A$32:$B$37,2,FALSE))</f>
        <v/>
      </c>
      <c r="O46" s="379">
        <f>M46-K46</f>
        <v/>
      </c>
      <c r="U46" s="229" t="n"/>
    </row>
    <row r="47" ht="15" customHeight="1" s="1085">
      <c r="A47" s="215" t="n">
        <v>280</v>
      </c>
      <c r="C47" s="269" t="inlineStr">
        <is>
          <t>TEST &amp; COMMISSION</t>
        </is>
      </c>
      <c r="D47" s="242" t="n"/>
      <c r="E47" s="28" t="inlineStr">
        <is>
          <t>ONE ENGINEER</t>
        </is>
      </c>
      <c r="F47" s="28" t="n"/>
      <c r="G47" s="28" t="n"/>
      <c r="H47" s="28" t="n"/>
      <c r="I47" s="28" t="n"/>
      <c r="J47" s="385" t="n">
        <v>604</v>
      </c>
      <c r="K47" s="378">
        <f>D47*J47</f>
        <v/>
      </c>
      <c r="L47" s="392" t="n">
        <v>0.33</v>
      </c>
      <c r="M47" s="311">
        <f>(K47/(1-L47))*(1+$D$9)</f>
        <v/>
      </c>
      <c r="N47" s="378">
        <f>(M47*VLOOKUP($C$9,'Base Costs'!$A$32:$B$37,2,FALSE))</f>
        <v/>
      </c>
      <c r="O47" s="379">
        <f>M47-K47</f>
        <v/>
      </c>
      <c r="U47" s="229" t="n"/>
    </row>
    <row r="48" ht="15" customHeight="1" s="1085">
      <c r="A48" s="215" t="n">
        <v>284</v>
      </c>
      <c r="C48" s="269" t="n"/>
      <c r="D48" s="242" t="n"/>
      <c r="E48" s="28" t="inlineStr">
        <is>
          <t>OPTIONAL ITEM</t>
        </is>
      </c>
      <c r="F48" s="28" t="n"/>
      <c r="G48" s="28" t="n"/>
      <c r="H48" s="28" t="n"/>
      <c r="I48" s="28" t="n"/>
      <c r="J48" s="385" t="n">
        <v>200</v>
      </c>
      <c r="K48" s="378">
        <f>D48*J48</f>
        <v/>
      </c>
      <c r="L48" s="392" t="n">
        <v>0.33</v>
      </c>
      <c r="M48" s="311">
        <f>(K48/(1-L48))*(1+$D$9)</f>
        <v/>
      </c>
      <c r="N48" s="378">
        <f>(M48*VLOOKUP($C$9,'Base Costs'!$A$32:$B$37,2,FALSE))</f>
        <v/>
      </c>
      <c r="O48" s="379">
        <f>M48-K48</f>
        <v/>
      </c>
      <c r="U48" s="229" t="n"/>
    </row>
    <row r="49" ht="15" customHeight="1" s="1085">
      <c r="C49" s="239" t="n"/>
      <c r="D49" s="239" t="n"/>
      <c r="E49" s="239" t="n"/>
      <c r="F49" s="239" t="n"/>
      <c r="G49" s="239" t="n"/>
      <c r="H49" s="243" t="n"/>
      <c r="I49" s="244" t="n"/>
      <c r="J49" s="354" t="n"/>
      <c r="K49" s="353" t="n"/>
      <c r="L49" s="355" t="n"/>
      <c r="M49" s="353" t="n"/>
      <c r="N49" s="353" t="n"/>
      <c r="U49" s="229" t="n"/>
    </row>
    <row r="50" ht="15" customHeight="1" s="1085">
      <c r="C50" s="197" t="inlineStr">
        <is>
          <t>Office Use Only</t>
        </is>
      </c>
      <c r="D50" s="198" t="n"/>
      <c r="E50" s="199" t="n"/>
      <c r="F50" s="199" t="n"/>
      <c r="G50" s="198" t="n"/>
      <c r="H50" s="200" t="n"/>
      <c r="I50" s="198" t="n"/>
      <c r="J50" s="198" t="n"/>
      <c r="K50" s="198" t="n"/>
      <c r="L50" s="198" t="n"/>
      <c r="M50" s="198" t="n"/>
      <c r="N50" s="198" t="n"/>
      <c r="O50" s="198" t="n"/>
      <c r="U50" s="229" t="n"/>
    </row>
    <row r="51" ht="15" customHeight="1" s="1085">
      <c r="C51" s="202" t="n"/>
      <c r="D51" s="203" t="n"/>
      <c r="E51" s="202" t="n"/>
      <c r="F51" s="204" t="n"/>
      <c r="G51" s="202" t="n"/>
      <c r="H51" s="209" t="n"/>
      <c r="I51" s="203" t="n"/>
      <c r="J51" s="203" t="n"/>
      <c r="K51" s="205" t="n"/>
      <c r="L51" s="205" t="n"/>
      <c r="M51" s="205" t="n"/>
      <c r="N51" s="205" t="n"/>
      <c r="O51" s="205" t="n"/>
      <c r="U51" s="229" t="n"/>
    </row>
    <row r="52" ht="15" customHeight="1" s="1085">
      <c r="C52" s="202" t="n"/>
      <c r="D52" s="203" t="n"/>
      <c r="E52" s="202" t="n"/>
      <c r="F52" s="204" t="n"/>
      <c r="G52" s="202" t="n"/>
      <c r="H52" s="209" t="n"/>
      <c r="I52" s="203" t="n"/>
      <c r="J52" s="203" t="n"/>
      <c r="K52" s="205" t="n"/>
      <c r="L52" s="205" t="n"/>
      <c r="M52" s="205" t="n"/>
      <c r="N52" s="205" t="n"/>
      <c r="O52" s="205" t="n"/>
      <c r="U52" s="229" t="n"/>
    </row>
    <row r="53" ht="15" customHeight="1" s="1085">
      <c r="C53" s="202" t="n"/>
      <c r="D53" s="203" t="n"/>
      <c r="E53" s="202" t="n"/>
      <c r="F53" s="204" t="n"/>
      <c r="G53" s="202" t="n"/>
      <c r="H53" s="209" t="n"/>
      <c r="I53" s="203" t="n"/>
      <c r="J53" s="203" t="n"/>
      <c r="K53" s="209" t="n"/>
      <c r="L53" s="209" t="n"/>
      <c r="M53" s="209" t="n"/>
      <c r="N53" s="209" t="n"/>
      <c r="O53" s="209" t="n"/>
      <c r="U53" s="229" t="n"/>
    </row>
    <row r="54" ht="15" customHeight="1" s="1085">
      <c r="C54" s="202" t="n"/>
      <c r="D54" s="203" t="n"/>
      <c r="E54" s="202" t="n"/>
      <c r="F54" s="204" t="n"/>
      <c r="G54" s="202" t="n"/>
      <c r="H54" s="209" t="n"/>
      <c r="I54" s="206" t="n"/>
      <c r="J54" s="203" t="n"/>
      <c r="K54" s="209" t="n"/>
      <c r="L54" s="209" t="n"/>
      <c r="M54" s="209" t="n"/>
      <c r="N54" s="209" t="n"/>
      <c r="O54" s="209" t="n"/>
      <c r="U54" s="229" t="n"/>
    </row>
    <row r="55" ht="15" customHeight="1" s="1085">
      <c r="C55" s="202" t="n"/>
      <c r="D55" s="203" t="n"/>
      <c r="E55" s="202" t="n"/>
      <c r="F55" s="202" t="n"/>
      <c r="G55" s="202" t="n"/>
      <c r="H55" s="207" t="n"/>
      <c r="I55" s="209" t="n"/>
      <c r="J55" s="203" t="n"/>
      <c r="K55" s="205" t="n"/>
      <c r="L55" s="205" t="n"/>
      <c r="M55" s="205" t="n"/>
      <c r="N55" s="205" t="n"/>
      <c r="O55" s="205" t="n"/>
      <c r="U55" s="229" t="n"/>
    </row>
    <row r="56" ht="15" customHeight="1" s="1085">
      <c r="C56" s="202" t="n"/>
      <c r="D56" s="202" t="n"/>
      <c r="E56" s="202" t="n"/>
      <c r="F56" s="202" t="n"/>
      <c r="G56" s="202" t="n"/>
      <c r="H56" s="207" t="n"/>
      <c r="I56" s="209" t="n"/>
      <c r="J56" s="203" t="n"/>
      <c r="K56" s="205" t="n"/>
      <c r="L56" s="205" t="n"/>
      <c r="M56" s="205" t="n"/>
      <c r="N56" s="205" t="n"/>
      <c r="O56" s="205" t="n"/>
      <c r="U56" s="229" t="n"/>
    </row>
    <row r="57" ht="15" customHeight="1" s="1085">
      <c r="J57" s="228" t="n"/>
      <c r="M57" s="228" t="n"/>
      <c r="O57" s="228" t="n"/>
      <c r="U57" s="229" t="n"/>
    </row>
    <row r="58" ht="15" customHeight="1" s="1085">
      <c r="J58" s="228" t="n"/>
      <c r="M58" s="228" t="n"/>
      <c r="O58" s="228" t="n"/>
      <c r="U58" s="229" t="n"/>
    </row>
    <row r="59" ht="15" customHeight="1" s="1085">
      <c r="H59" s="219" t="n"/>
      <c r="U59" s="229" t="n"/>
    </row>
    <row r="60" ht="15" customHeight="1" s="1085">
      <c r="H60" s="219" t="n"/>
      <c r="U60" s="229" t="n"/>
    </row>
    <row r="61" ht="15" customHeight="1" s="1085">
      <c r="H61" s="219" t="n"/>
      <c r="U61" s="229" t="n"/>
    </row>
    <row r="62" ht="15" customHeight="1" s="1085">
      <c r="H62" s="219" t="n"/>
      <c r="U62" s="229" t="n"/>
    </row>
    <row r="63" ht="15" customHeight="1" s="1085">
      <c r="H63" s="219" t="n"/>
      <c r="U63" s="229" t="n"/>
    </row>
    <row r="64" ht="15" customHeight="1" s="1085">
      <c r="H64" s="219" t="n"/>
      <c r="U64" s="229" t="n"/>
    </row>
    <row r="65" ht="15" customHeight="1" s="1085">
      <c r="H65" s="219" t="n"/>
      <c r="U65" s="229" t="n"/>
    </row>
    <row r="66" ht="15" customHeight="1" s="1085">
      <c r="H66" s="219" t="n"/>
      <c r="U66" s="229" t="n"/>
    </row>
    <row r="67" ht="15" customHeight="1" s="1085">
      <c r="H67" s="219" t="n"/>
      <c r="U67" s="229" t="n"/>
    </row>
    <row r="68" ht="15" customHeight="1" s="1085">
      <c r="C68" s="245" t="n"/>
      <c r="D68" s="245" t="n"/>
      <c r="E68" s="245" t="n"/>
      <c r="F68" s="245" t="n"/>
      <c r="G68" s="245" t="n"/>
      <c r="H68" s="245" t="n"/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3" ht="15" customHeight="1" s="1085">
      <c r="U103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2" ht="15" customHeight="1" s="1085">
      <c r="U112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1" ht="15" customHeight="1" s="1085">
      <c r="U121" s="229" t="n"/>
    </row>
    <row r="122" ht="15" customHeight="1" s="1085">
      <c r="U122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  <row r="142" ht="15" customHeight="1" s="1085">
      <c r="U142" s="229" t="n"/>
    </row>
    <row r="143" ht="15" customHeight="1" s="1085">
      <c r="U143" s="229" t="n"/>
    </row>
    <row r="144" ht="15" customHeight="1" s="1085">
      <c r="U144" s="229" t="n"/>
    </row>
    <row r="145" ht="15" customHeight="1" s="1085">
      <c r="U145" s="229" t="n"/>
    </row>
    <row r="146" ht="15" customHeight="1" s="1085">
      <c r="U146" s="229" t="n"/>
    </row>
    <row r="147" ht="15" customHeight="1" s="1085">
      <c r="U147" s="229" t="n"/>
    </row>
    <row r="148" ht="15" customHeight="1" s="1085">
      <c r="U148" s="229" t="n"/>
    </row>
    <row r="149" ht="15" customHeight="1" s="1085">
      <c r="U149" s="229" t="n"/>
    </row>
    <row r="150" ht="15" customHeight="1" s="1085">
      <c r="U150" s="229" t="n"/>
    </row>
    <row r="151" ht="15" customHeight="1" s="1085">
      <c r="U151" s="229" t="n"/>
    </row>
    <row r="152" ht="15" customHeight="1" s="1085">
      <c r="U152" s="229" t="n"/>
    </row>
    <row r="153" ht="15" customHeight="1" s="1085">
      <c r="U153" s="229" t="n"/>
    </row>
    <row r="154" ht="15" customHeight="1" s="1085">
      <c r="U154" s="229" t="n"/>
    </row>
    <row r="155" ht="15" customHeight="1" s="1085">
      <c r="U155" s="229" t="n"/>
    </row>
    <row r="156" ht="15" customHeight="1" s="1085">
      <c r="U156" s="229" t="n"/>
    </row>
    <row r="157" ht="15" customHeight="1" s="1085">
      <c r="U157" s="229" t="n"/>
    </row>
    <row r="158" ht="15" customHeight="1" s="1085">
      <c r="U158" s="229" t="n"/>
    </row>
    <row r="159" ht="15" customHeight="1" s="1085">
      <c r="U159" s="229" t="n"/>
    </row>
    <row r="160" ht="15" customHeight="1" s="1085">
      <c r="U160" s="229" t="n"/>
    </row>
    <row r="161" ht="15" customHeight="1" s="1085">
      <c r="U161" s="229" t="n"/>
    </row>
  </sheetData>
  <mergeCells count="9">
    <mergeCell ref="P7:R7"/>
    <mergeCell ref="D7:E7"/>
    <mergeCell ref="C1:D1"/>
    <mergeCell ref="H5:J5"/>
    <mergeCell ref="C37:H37"/>
    <mergeCell ref="D5:E5"/>
    <mergeCell ref="H3:J3"/>
    <mergeCell ref="D3:E3"/>
    <mergeCell ref="H7:J7"/>
  </mergeCells>
  <conditionalFormatting sqref="C9">
    <cfRule type="containsText" priority="35" operator="containsText" dxfId="680" text="SELECT">
      <formula>NOT(ISERROR(SEARCH("SELECT",C9)))</formula>
    </cfRule>
    <cfRule type="expression" priority="36" dxfId="680">
      <formula>C9="CURRENCY"</formula>
    </cfRule>
  </conditionalFormatting>
  <conditionalFormatting sqref="C14:C34">
    <cfRule type="expression" priority="1" dxfId="633">
      <formula>$J14&gt;0</formula>
    </cfRule>
  </conditionalFormatting>
  <conditionalFormatting sqref="C38:C48">
    <cfRule type="expression" priority="12" dxfId="633">
      <formula>$D38&gt;0</formula>
    </cfRule>
  </conditionalFormatting>
  <conditionalFormatting sqref="D38:D39 D41:D48">
    <cfRule type="cellIs" priority="37" operator="lessThan" dxfId="554">
      <formula>1</formula>
    </cfRule>
  </conditionalFormatting>
  <conditionalFormatting sqref="D40">
    <cfRule type="cellIs" priority="32" operator="lessThan" dxfId="164">
      <formula>1</formula>
    </cfRule>
  </conditionalFormatting>
  <conditionalFormatting sqref="D9:E9">
    <cfRule type="cellIs" priority="33" operator="lessThan" dxfId="207">
      <formula>0</formula>
    </cfRule>
    <cfRule type="cellIs" priority="34" operator="greaterThan" dxfId="552">
      <formula>0</formula>
    </cfRule>
  </conditionalFormatting>
  <conditionalFormatting sqref="F12">
    <cfRule type="expression" priority="42" dxfId="386">
      <formula>AND((ISNUMBER(SEARCH("I-MUAP",$E$14))),F12&lt;2500)</formula>
    </cfRule>
    <cfRule type="expression" priority="43" dxfId="387">
      <formula>ISNUMBER(SEARCH("I-MUAP",$E$14))</formula>
    </cfRule>
    <cfRule type="cellIs" priority="44" operator="greaterThan" dxfId="204">
      <formula>2000</formula>
    </cfRule>
  </conditionalFormatting>
  <conditionalFormatting sqref="F12:G12">
    <cfRule type="cellIs" priority="38" operator="lessThan" dxfId="204">
      <formula>1000</formula>
    </cfRule>
  </conditionalFormatting>
  <conditionalFormatting sqref="F14:G28">
    <cfRule type="cellIs" priority="5" operator="lessThan" dxfId="164">
      <formula>1000</formula>
    </cfRule>
  </conditionalFormatting>
  <conditionalFormatting sqref="F31:G32">
    <cfRule type="cellIs" priority="2" operator="lessThan" dxfId="164">
      <formula>1000</formula>
    </cfRule>
  </conditionalFormatting>
  <conditionalFormatting sqref="G12">
    <cfRule type="cellIs" priority="39" operator="greaterThan" dxfId="204">
      <formula>3001</formula>
    </cfRule>
  </conditionalFormatting>
  <conditionalFormatting sqref="H11">
    <cfRule type="expression" priority="41" dxfId="176">
      <formula>((G14-50)/I14)&lt;950</formula>
    </cfRule>
  </conditionalFormatting>
  <conditionalFormatting sqref="H12">
    <cfRule type="expression" priority="40" dxfId="175">
      <formula>((G14-50)/I14)&lt;950</formula>
    </cfRule>
  </conditionalFormatting>
  <conditionalFormatting sqref="H14:H28">
    <cfRule type="cellIs" priority="6" operator="lessThan" dxfId="164">
      <formula>400</formula>
    </cfRule>
  </conditionalFormatting>
  <conditionalFormatting sqref="H31:H32">
    <cfRule type="cellIs" priority="3" operator="lessThan" dxfId="164">
      <formula>400</formula>
    </cfRule>
  </conditionalFormatting>
  <conditionalFormatting sqref="H35">
    <cfRule type="expression" priority="49" dxfId="176">
      <formula>((#REF!-50)/#REF!)&lt;950</formula>
    </cfRule>
  </conditionalFormatting>
  <conditionalFormatting sqref="J14:J32">
    <cfRule type="cellIs" priority="17" operator="greaterThan" dxfId="153">
      <formula>0</formula>
    </cfRule>
  </conditionalFormatting>
  <conditionalFormatting sqref="J38:J48">
    <cfRule type="expression" priority="25" dxfId="153">
      <formula>D38&gt;0</formula>
    </cfRule>
  </conditionalFormatting>
  <conditionalFormatting sqref="J50:J56">
    <cfRule type="expression" priority="30" dxfId="2">
      <formula>#REF!="EURO"</formula>
    </cfRule>
  </conditionalFormatting>
  <conditionalFormatting sqref="K14:K34">
    <cfRule type="cellIs" priority="4" operator="greaterThan" dxfId="141">
      <formula>0</formula>
    </cfRule>
  </conditionalFormatting>
  <conditionalFormatting sqref="K38:K48">
    <cfRule type="cellIs" priority="31" operator="greaterThan" dxfId="141">
      <formula>0</formula>
    </cfRule>
  </conditionalFormatting>
  <conditionalFormatting sqref="K50:K56">
    <cfRule type="expression" priority="26" dxfId="4">
      <formula>$C$9="PLN"</formula>
    </cfRule>
    <cfRule type="expression" priority="27" dxfId="0">
      <formula>$C$9="CZK"</formula>
    </cfRule>
    <cfRule type="expression" priority="28" dxfId="3">
      <formula>$C$9="USD"</formula>
    </cfRule>
    <cfRule type="expression" priority="29" dxfId="2">
      <formula>$C$9="EURO"</formula>
    </cfRule>
  </conditionalFormatting>
  <conditionalFormatting sqref="L14:L34">
    <cfRule type="expression" priority="15" dxfId="116">
      <formula>$D$9&lt;0</formula>
    </cfRule>
    <cfRule type="expression" priority="16" dxfId="115">
      <formula>$D$9&gt;0</formula>
    </cfRule>
  </conditionalFormatting>
  <conditionalFormatting sqref="L38:L48">
    <cfRule type="expression" priority="13" dxfId="116">
      <formula>$D$9&lt;0</formula>
    </cfRule>
    <cfRule type="expression" priority="14" dxfId="115">
      <formula>$D$9&gt;0</formula>
    </cfRule>
  </conditionalFormatting>
  <conditionalFormatting sqref="N9 N12">
    <cfRule type="expression" priority="45" dxfId="4">
      <formula>$C$9="PLN"</formula>
    </cfRule>
    <cfRule type="expression" priority="46" dxfId="0">
      <formula>$C$9="CZK"</formula>
    </cfRule>
    <cfRule type="expression" priority="47" dxfId="3">
      <formula>$C$9="USD"</formula>
    </cfRule>
    <cfRule type="expression" priority="48" dxfId="2">
      <formula>$C$9="EURO"</formula>
    </cfRule>
  </conditionalFormatting>
  <conditionalFormatting sqref="N14:N34">
    <cfRule type="expression" priority="19" dxfId="4">
      <formula>$C$9="PLN"</formula>
    </cfRule>
    <cfRule type="expression" priority="20" dxfId="0">
      <formula>$C$9="CZK"</formula>
    </cfRule>
    <cfRule type="expression" priority="21" dxfId="3">
      <formula>$C$9="USD"</formula>
    </cfRule>
    <cfRule type="expression" priority="22" dxfId="2">
      <formula>$C$9="EURO"</formula>
    </cfRule>
  </conditionalFormatting>
  <conditionalFormatting sqref="N18:N22">
    <cfRule type="cellIs" priority="23" operator="greaterThan" dxfId="5">
      <formula>0</formula>
    </cfRule>
  </conditionalFormatting>
  <conditionalFormatting sqref="N37:N48">
    <cfRule type="expression" priority="8" dxfId="4">
      <formula>$C$9="PLN"</formula>
    </cfRule>
    <cfRule type="expression" priority="9" dxfId="0">
      <formula>$C$9="CZK"</formula>
    </cfRule>
    <cfRule type="expression" priority="10" dxfId="3">
      <formula>$C$9="USD"</formula>
    </cfRule>
    <cfRule type="expression" priority="11" dxfId="2">
      <formula>$C$9="EURO"</formula>
    </cfRule>
  </conditionalFormatting>
  <conditionalFormatting sqref="N14:O34">
    <cfRule type="cellIs" priority="18" operator="greaterThan" dxfId="5">
      <formula>0</formula>
    </cfRule>
  </conditionalFormatting>
  <conditionalFormatting sqref="N38:O48">
    <cfRule type="cellIs" priority="7" operator="greaterThan" dxfId="141">
      <formula>0</formula>
    </cfRule>
  </conditionalFormatting>
  <conditionalFormatting sqref="O14:O22">
    <cfRule type="cellIs" priority="24" operator="greaterThan" dxfId="5">
      <formula>0</formula>
    </cfRule>
  </conditionalFormatting>
  <dataValidations count="3">
    <dataValidation sqref="E14:E34" showDropDown="0" showInputMessage="1" showErrorMessage="1" allowBlank="1" type="list">
      <formula1>"0,1,2,3,4,5,6,7,8,9,10,11,12,13,14,15,16,17,18,19,20"</formula1>
    </dataValidation>
    <dataValidation sqref="F14:F28 F31:F32" showDropDown="0" showInputMessage="1" showErrorMessage="1" allowBlank="1" operator="greaterThan"/>
    <dataValidation sqref="H36" showDropDown="0" showInputMessage="1" showErrorMessage="1" allowBlank="1" type="list">
      <formula1>#REF!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61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>
    <tabColor theme="8" tint="0.7999816888943144"/>
    <outlinePr summaryBelow="1" summaryRight="1"/>
    <pageSetUpPr fitToPage="1"/>
  </sheetPr>
  <dimension ref="A1:AB161"/>
  <sheetViews>
    <sheetView showGridLines="0" zoomScale="70" zoomScaleNormal="70" zoomScaleSheetLayoutView="50" workbookViewId="0">
      <selection activeCell="Q35" sqref="Q35"/>
    </sheetView>
  </sheetViews>
  <sheetFormatPr baseColWidth="10" defaultColWidth="8.83203125" defaultRowHeight="15" customHeight="1"/>
  <cols>
    <col width="2" customWidth="1" style="215" min="1" max="2"/>
    <col width="39.5" customWidth="1" style="1070" min="3" max="3"/>
    <col width="39.83203125" customWidth="1" style="1070" min="4" max="4"/>
    <col width="27.1640625" customWidth="1" style="1070" min="5" max="5"/>
    <col width="16.83203125" customWidth="1" style="1070" min="6" max="6"/>
    <col width="15.5" customWidth="1" style="1070" min="7" max="7"/>
    <col width="19.6640625" customWidth="1" style="1070" min="8" max="8"/>
    <col width="10" bestFit="1" customWidth="1" style="1072" min="9" max="9"/>
    <col width="14.83203125" bestFit="1" customWidth="1" style="1073" min="10" max="10"/>
    <col width="17.5" customWidth="1" style="228" min="11" max="11"/>
    <col width="10.5" customWidth="1" style="228" min="12" max="12"/>
    <col hidden="1" width="10.6640625" customWidth="1" style="346" min="13" max="13"/>
    <col width="14.5" bestFit="1" customWidth="1" style="1073" min="14" max="14"/>
    <col width="13.6640625" bestFit="1" customWidth="1" style="14" min="15" max="15"/>
    <col width="8.83203125" customWidth="1" style="1070" min="16" max="17"/>
    <col width="18.6640625" customWidth="1" style="1070" min="18" max="18"/>
    <col width="8.83203125" customWidth="1" style="1070" min="19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0"/>
    <col width="8.83203125" customWidth="1" style="1070" min="101" max="16384"/>
  </cols>
  <sheetData>
    <row r="1" ht="15" customHeight="1" s="1085">
      <c r="C1" s="1148" t="inlineStr">
        <is>
          <t xml:space="preserve">F24-19    EDGE BOX COST SHEET </t>
        </is>
      </c>
      <c r="E1" s="216" t="n"/>
      <c r="F1" s="216" t="n"/>
      <c r="G1" s="216" t="n"/>
      <c r="H1" s="216" t="n"/>
      <c r="I1" s="29" t="n"/>
      <c r="J1" s="336" t="n"/>
      <c r="K1" s="337" t="n"/>
      <c r="L1" s="338" t="n"/>
      <c r="M1" s="339" t="n"/>
      <c r="N1" s="336" t="n"/>
      <c r="O1" s="975" t="inlineStr">
        <is>
          <t>JAN25-19</t>
        </is>
      </c>
      <c r="S1" s="80" t="n"/>
      <c r="T1" s="218" t="n"/>
    </row>
    <row r="2" ht="15" customHeight="1" s="1085">
      <c r="C2" s="79" t="n"/>
      <c r="D2" s="221" t="n"/>
      <c r="E2" s="221" t="n"/>
      <c r="G2" s="79" t="n"/>
      <c r="H2" s="77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C3" s="78" t="inlineStr">
        <is>
          <t>Job No.</t>
        </is>
      </c>
      <c r="D3" s="1130">
        <f>IF(CANOPY!C3="","",CANOPY!C3)</f>
        <v/>
      </c>
      <c r="G3" s="76" t="inlineStr">
        <is>
          <t>Project Name</t>
        </is>
      </c>
      <c r="H3" s="1071">
        <f>IF(CANOPY!G3="","",CANOPY!G3)</f>
        <v/>
      </c>
      <c r="L3" s="342" t="n"/>
      <c r="M3" s="343" t="n"/>
      <c r="N3" s="344" t="n"/>
      <c r="T3" s="225" t="n"/>
    </row>
    <row r="4" ht="15" customHeight="1" s="1085">
      <c r="C4" s="79" t="n"/>
      <c r="D4" s="223" t="n"/>
      <c r="E4" s="223" t="n"/>
      <c r="G4" s="77" t="n"/>
      <c r="H4" s="222" t="n"/>
      <c r="I4" s="227" t="n"/>
      <c r="J4" s="341" t="n"/>
      <c r="L4" s="342" t="n"/>
      <c r="M4" s="343" t="n"/>
      <c r="N4" s="344" t="n"/>
      <c r="T4" s="225" t="n"/>
    </row>
    <row r="5" ht="15" customHeight="1" s="1085">
      <c r="C5" s="78" t="inlineStr">
        <is>
          <t>Customer</t>
        </is>
      </c>
      <c r="D5" s="1074">
        <f>IF(CANOPY!C5="","",CANOPY!C5)</f>
        <v/>
      </c>
      <c r="G5" s="76" t="inlineStr">
        <is>
          <t>Location</t>
        </is>
      </c>
      <c r="H5" s="1071">
        <f>IF(CANOPY!G5="","",CANOPY!G5)</f>
        <v/>
      </c>
      <c r="M5" s="343" t="n"/>
      <c r="N5" s="344" t="n"/>
      <c r="Q5" s="229" t="n"/>
      <c r="R5" s="229" t="n"/>
      <c r="T5" s="225" t="n"/>
      <c r="U5" s="226" t="n"/>
    </row>
    <row r="6" ht="15" customHeight="1" s="1085">
      <c r="C6" s="78" t="n"/>
      <c r="D6" s="230" t="n"/>
      <c r="E6" s="230" t="n"/>
      <c r="G6" s="76" t="n"/>
      <c r="H6" s="222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C7" s="80" t="inlineStr">
        <is>
          <t>Sales Manager / Estimator initials</t>
        </is>
      </c>
      <c r="D7" s="1074">
        <f>IF(CANOPY!C7="","",CANOPY!C7)</f>
        <v/>
      </c>
      <c r="G7" s="76" t="inlineStr">
        <is>
          <t>Date</t>
        </is>
      </c>
      <c r="H7" s="1075">
        <f>IF(CANOPY!G7="","",CANOPY!G7)</f>
        <v/>
      </c>
      <c r="N7" s="347" t="inlineStr">
        <is>
          <t>Revision No</t>
        </is>
      </c>
      <c r="O7" s="900">
        <f>IF(CANOPY!O7="","",CANOPY!O7)</f>
        <v/>
      </c>
      <c r="P7" s="1157" t="inlineStr">
        <is>
          <t>GP SHOULD BE MINIMUM 44%</t>
        </is>
      </c>
      <c r="T7" s="225" t="n"/>
      <c r="U7" s="226" t="n"/>
      <c r="AA7" s="231" t="n"/>
    </row>
    <row r="8" ht="15" customHeight="1" s="1085">
      <c r="E8" s="219" t="n"/>
      <c r="F8" s="219" t="n"/>
      <c r="H8" s="219" t="n"/>
      <c r="J8" s="346" t="n"/>
      <c r="K8" s="14" t="n"/>
      <c r="T8" s="225" t="n"/>
      <c r="AA8" s="231" t="n"/>
    </row>
    <row r="9" ht="15" customFormat="1" customHeight="1" s="80">
      <c r="A9" s="215" t="n"/>
      <c r="B9" s="215" t="n"/>
      <c r="C9" s="38" t="inlineStr">
        <is>
          <t>CURRENCY</t>
        </is>
      </c>
      <c r="D9" s="951" t="n">
        <v>0</v>
      </c>
      <c r="E9" s="377">
        <f>IF(D9=0,0,(SUBTOTAL(9,M14:M48)/(1-D9))-M9)</f>
        <v/>
      </c>
      <c r="I9" s="234" t="n"/>
      <c r="K9" s="25">
        <f>SUBTOTAL(9,K12:K48)</f>
        <v/>
      </c>
      <c r="L9" s="970">
        <f>IF(O9=0,"-",O9/M9)</f>
        <v/>
      </c>
      <c r="M9" s="25">
        <f>SUBTOTAL(9,M12:M48)</f>
        <v/>
      </c>
      <c r="N9" s="464">
        <f>SUBTOTAL(9,N12:N48)</f>
        <v/>
      </c>
      <c r="O9" s="25">
        <f>SUBTOTAL(9,O12:O48)</f>
        <v/>
      </c>
      <c r="P9" s="1070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215" t="n"/>
      <c r="C12" s="1089" t="inlineStr">
        <is>
          <t xml:space="preserve">ITEM </t>
        </is>
      </c>
      <c r="D12" s="236" t="n"/>
      <c r="E12" s="237">
        <f>E14</f>
        <v/>
      </c>
      <c r="F12" s="838" t="n">
        <v>0</v>
      </c>
      <c r="G12" s="838">
        <f>IF(I12&lt;1,0,CEILING((G14-100)/I14,250))</f>
        <v/>
      </c>
      <c r="H12" s="237">
        <f>E12&amp;G12&amp;F12</f>
        <v/>
      </c>
      <c r="I12" s="236">
        <f>IF(F14=0,0,IF(G14=0,0,(F14/(IF(D14="WALL",F14,(F14/2)))*I14)))</f>
        <v/>
      </c>
      <c r="J12" s="238" t="n"/>
      <c r="K12" s="154">
        <f>SUBTOTAL(9,K14:K34)</f>
        <v/>
      </c>
      <c r="L12" s="15">
        <f>IF(K14=0,"-",O12/M12)</f>
        <v/>
      </c>
      <c r="M12" s="154">
        <f>SUBTOTAL(9,M14:M34)</f>
        <v/>
      </c>
      <c r="N12" s="464">
        <f>SUBTOTAL(9,N14:N34)</f>
        <v/>
      </c>
      <c r="O12" s="154">
        <f>SUBTOTAL(9,O14:O34)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LENGTH</t>
        </is>
      </c>
      <c r="G13" s="10" t="inlineStr">
        <is>
          <t>WIDTH</t>
        </is>
      </c>
      <c r="H13" s="10" t="inlineStr">
        <is>
          <t>HEIGHT</t>
        </is>
      </c>
      <c r="I13" s="10" t="inlineStr">
        <is>
          <t>SECTIONS</t>
        </is>
      </c>
      <c r="J13" s="349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A14" s="215" t="n">
        <v>210</v>
      </c>
      <c r="C14" s="791" t="inlineStr">
        <is>
          <t xml:space="preserve">PS-150 TOUCH SCREEN </t>
        </is>
      </c>
      <c r="D14" s="460" t="inlineStr">
        <is>
          <t>TOUCH SCREEN REMOTE BOX - METAL</t>
        </is>
      </c>
      <c r="E14" s="448" t="n"/>
      <c r="F14" s="837" t="n">
        <v>300</v>
      </c>
      <c r="G14" s="835" t="n">
        <v>95</v>
      </c>
      <c r="H14" s="896" t="n">
        <v>250</v>
      </c>
      <c r="I14" s="31" t="n"/>
      <c r="J14" s="380" t="n">
        <v>419.97</v>
      </c>
      <c r="K14" s="378">
        <f>SUM(J14*E14)</f>
        <v/>
      </c>
      <c r="L14" s="392" t="n">
        <v>0.35</v>
      </c>
      <c r="M14" s="311">
        <f>(K14/(1-L14))*(1+$D$9)</f>
        <v/>
      </c>
      <c r="N14" s="378">
        <f>(M14*VLOOKUP($C$9,'Base Costs'!$A$32:$B$37,2,FALSE))</f>
        <v/>
      </c>
      <c r="O14" s="379">
        <f>M14-K14</f>
        <v/>
      </c>
      <c r="U14" s="229" t="n"/>
      <c r="AA14" s="1070" t="n"/>
    </row>
    <row r="15" ht="15" customHeight="1" s="1085">
      <c r="A15" s="215" t="n">
        <v>104</v>
      </c>
      <c r="C15" s="855" t="inlineStr">
        <is>
          <t>PS-152 EDGE BOX</t>
        </is>
      </c>
      <c r="D15" s="460" t="inlineStr">
        <is>
          <t>PEU/AEU/HOODS (Staged Alarms)</t>
        </is>
      </c>
      <c r="E15" s="448" t="n"/>
      <c r="F15" s="895" t="n">
        <v>380</v>
      </c>
      <c r="G15" s="835" t="n">
        <v>300</v>
      </c>
      <c r="H15" s="896" t="n">
        <v>180</v>
      </c>
      <c r="I15" s="31" t="n"/>
      <c r="J15" s="380" t="n">
        <v>1030.52</v>
      </c>
      <c r="K15" s="378">
        <f>SUM(J15*E15)</f>
        <v/>
      </c>
      <c r="L15" s="392" t="n">
        <v>0.35</v>
      </c>
      <c r="M15" s="311">
        <f>(K15/(1-L15))*(1+$D$9)</f>
        <v/>
      </c>
      <c r="N15" s="378">
        <f>(M15*VLOOKUP($C$9,'Base Costs'!$A$32:$B$37,2,FALSE))</f>
        <v/>
      </c>
      <c r="O15" s="379">
        <f>M15-K15</f>
        <v/>
      </c>
      <c r="U15" s="229" t="n"/>
      <c r="AA15" s="1070" t="n"/>
    </row>
    <row r="16" ht="15" customHeight="1" s="1085">
      <c r="A16" s="215" t="n">
        <v>234</v>
      </c>
      <c r="C16" s="855" t="inlineStr">
        <is>
          <t>PS-153 EDGE BOX</t>
        </is>
      </c>
      <c r="D16" s="460" t="inlineStr">
        <is>
          <t>PEU/HOODS (Staged Alarms)</t>
        </is>
      </c>
      <c r="E16" s="461" t="n"/>
      <c r="F16" s="895" t="n">
        <v>380</v>
      </c>
      <c r="G16" s="835" t="n">
        <v>300</v>
      </c>
      <c r="H16" s="896" t="n">
        <v>180</v>
      </c>
      <c r="I16" s="31" t="n"/>
      <c r="J16" s="380" t="n">
        <v>690.16</v>
      </c>
      <c r="K16" s="378">
        <f>SUM(J16*E16)</f>
        <v/>
      </c>
      <c r="L16" s="392" t="n">
        <v>0.35</v>
      </c>
      <c r="M16" s="311">
        <f>(K16/(1-L16))*(1+$D$9)</f>
        <v/>
      </c>
      <c r="N16" s="378">
        <f>(M16*VLOOKUP($C$9,'Base Costs'!$A$32:$B$37,2,FALSE))</f>
        <v/>
      </c>
      <c r="O16" s="379">
        <f>M16-K16</f>
        <v/>
      </c>
      <c r="U16" s="229" t="n"/>
      <c r="AA16" s="1070" t="n"/>
    </row>
    <row r="17" ht="15" customHeight="1" s="1085">
      <c r="C17" s="855" t="inlineStr">
        <is>
          <t>PS-154 EDGE BOX</t>
        </is>
      </c>
      <c r="D17" s="460" t="inlineStr">
        <is>
          <t>PEU/MRV/HOODS (Staged Alarms)</t>
        </is>
      </c>
      <c r="E17" s="448" t="n"/>
      <c r="F17" s="895" t="n">
        <v>380</v>
      </c>
      <c r="G17" s="895" t="n">
        <v>300</v>
      </c>
      <c r="H17" s="896" t="n">
        <v>180</v>
      </c>
      <c r="I17" s="31" t="n"/>
      <c r="J17" s="380" t="n">
        <v>894.01</v>
      </c>
      <c r="K17" s="378">
        <f>SUM(J17*E17)</f>
        <v/>
      </c>
      <c r="L17" s="392" t="n">
        <v>0.35</v>
      </c>
      <c r="M17" s="311">
        <f>(K17/(1-L17))*(1+$D$9)</f>
        <v/>
      </c>
      <c r="N17" s="378">
        <f>(M17*VLOOKUP($C$9,'Base Costs'!$A$32:$B$37,2,FALSE))</f>
        <v/>
      </c>
      <c r="O17" s="379">
        <f>M17-K17</f>
        <v/>
      </c>
      <c r="U17" s="229" t="n"/>
      <c r="AA17" s="1070" t="n"/>
    </row>
    <row r="18" ht="15" customHeight="1" s="1085">
      <c r="C18" s="855" t="inlineStr">
        <is>
          <t>PS-155 EDGE BOX</t>
        </is>
      </c>
      <c r="D18" s="460" t="inlineStr">
        <is>
          <t>PEU/AEU/ MRV/HOOD (No Staged Alarms)</t>
        </is>
      </c>
      <c r="E18" s="448" t="n"/>
      <c r="F18" s="895" t="n">
        <v>380</v>
      </c>
      <c r="G18" s="895" t="n">
        <v>300</v>
      </c>
      <c r="H18" s="896" t="n">
        <v>180</v>
      </c>
      <c r="I18" s="31" t="n"/>
      <c r="J18" s="380" t="n">
        <v>1039.58</v>
      </c>
      <c r="K18" s="378">
        <f>SUM(J18*E18)</f>
        <v/>
      </c>
      <c r="L18" s="392" t="n">
        <v>0.35</v>
      </c>
      <c r="M18" s="311">
        <f>(K18/(1-L18))*(1+$D$9)</f>
        <v/>
      </c>
      <c r="N18" s="378">
        <f>(M18*VLOOKUP($C$9,'Base Costs'!$A$32:$B$37,2,FALSE))</f>
        <v/>
      </c>
      <c r="O18" s="379">
        <f>M18-K18</f>
        <v/>
      </c>
      <c r="U18" s="229" t="n"/>
      <c r="AA18" s="1070" t="n"/>
    </row>
    <row r="19" ht="15" customHeight="1" s="1085">
      <c r="C19" s="855" t="n"/>
      <c r="D19" s="460" t="n"/>
      <c r="E19" s="448" t="n"/>
      <c r="F19" s="895" t="n"/>
      <c r="G19" s="895" t="n"/>
      <c r="H19" s="896" t="n"/>
      <c r="I19" s="31" t="n"/>
      <c r="J19" s="380" t="n"/>
      <c r="K19" s="378" t="n"/>
      <c r="L19" s="392" t="n"/>
      <c r="M19" s="311" t="n"/>
      <c r="N19" s="378" t="n"/>
      <c r="O19" s="379" t="n"/>
      <c r="U19" s="229" t="n"/>
      <c r="AA19" s="1070" t="n"/>
    </row>
    <row r="20" ht="15" customHeight="1" s="1085">
      <c r="C20" s="791" t="inlineStr">
        <is>
          <t>RCL-329 LPC-3 GOT.112 (CANOPY CONTROL)</t>
        </is>
      </c>
      <c r="D20" s="1065" t="inlineStr">
        <is>
          <t>GOT Panel Comp for UV-c (24 Sections Max)</t>
        </is>
      </c>
      <c r="E20" s="448" t="n"/>
      <c r="F20" s="895" t="n">
        <v>160</v>
      </c>
      <c r="G20" s="895" t="n">
        <v>34</v>
      </c>
      <c r="H20" s="896" t="n">
        <v>106</v>
      </c>
      <c r="I20" s="31" t="n"/>
      <c r="J20" s="380" t="n">
        <v>336.21</v>
      </c>
      <c r="K20" s="378">
        <f>SUM(J20*E20)</f>
        <v/>
      </c>
      <c r="L20" s="392" t="n">
        <v>0.35</v>
      </c>
      <c r="M20" s="311">
        <f>(K20/(1-L20))*(1+$D$9)</f>
        <v/>
      </c>
      <c r="N20" s="378">
        <f>(M20*VLOOKUP($C$9,'Base Costs'!$A$32:$B$37,2,FALSE))</f>
        <v/>
      </c>
      <c r="O20" s="379">
        <f>M20-K20</f>
        <v/>
      </c>
      <c r="U20" s="229" t="n"/>
      <c r="AA20" s="1070" t="n"/>
    </row>
    <row r="21" ht="15" customHeight="1" s="1085">
      <c r="C21" s="791" t="inlineStr">
        <is>
          <t>RCL-342 GOT-112 WALL BOX</t>
        </is>
      </c>
      <c r="D21" s="460" t="inlineStr">
        <is>
          <t>Remote Mounting box if Required</t>
        </is>
      </c>
      <c r="E21" s="448" t="n"/>
      <c r="F21" s="895" t="n">
        <v>270</v>
      </c>
      <c r="G21" s="895" t="n">
        <v>200</v>
      </c>
      <c r="H21" s="896" t="n">
        <v>150</v>
      </c>
      <c r="I21" s="31" t="n"/>
      <c r="J21" s="380" t="n">
        <v>82</v>
      </c>
      <c r="K21" s="378">
        <f>SUM(J21*E21)</f>
        <v/>
      </c>
      <c r="L21" s="392" t="n">
        <v>0.35</v>
      </c>
      <c r="M21" s="311">
        <f>(K21/(1-L21))*(1+$D$9)</f>
        <v/>
      </c>
      <c r="N21" s="378">
        <f>(M21*VLOOKUP($C$9,'Base Costs'!$A$32:$B$37,2,FALSE))</f>
        <v/>
      </c>
      <c r="O21" s="379">
        <f>M21-K21</f>
        <v/>
      </c>
      <c r="U21" s="229" t="n"/>
      <c r="AA21" s="1070" t="n"/>
    </row>
    <row r="22" ht="15" customHeight="1" s="1085">
      <c r="C22" s="270" t="inlineStr">
        <is>
          <t>RCL-280 STAGED ALARM BOX</t>
        </is>
      </c>
      <c r="D22" s="460" t="inlineStr">
        <is>
          <t>MU5 CONTROLLER BOX</t>
        </is>
      </c>
      <c r="E22" s="448" t="n"/>
      <c r="F22" s="895" t="n">
        <v>179</v>
      </c>
      <c r="G22" s="895" t="n">
        <v>129</v>
      </c>
      <c r="H22" s="896" t="n">
        <v>100</v>
      </c>
      <c r="I22" s="31" t="n"/>
      <c r="J22" s="380" t="n">
        <v>212.86</v>
      </c>
      <c r="K22" s="378">
        <f>SUM(J22*E22)</f>
        <v/>
      </c>
      <c r="L22" s="392" t="n">
        <v>0.35</v>
      </c>
      <c r="M22" s="311">
        <f>(K22/(1-L22))*(1+$D$9)</f>
        <v/>
      </c>
      <c r="N22" s="378">
        <f>(M22*VLOOKUP($C$9,'Base Costs'!$A$32:$B$37,2,FALSE))</f>
        <v/>
      </c>
      <c r="O22" s="379">
        <f>M22-K22</f>
        <v/>
      </c>
      <c r="P22" s="1064" t="inlineStr">
        <is>
          <t xml:space="preserve">Add if Alarms requested for a GOT panel </t>
        </is>
      </c>
      <c r="U22" s="229" t="n"/>
      <c r="AA22" s="1070" t="n"/>
    </row>
    <row r="23" ht="15" customHeight="1" s="1085">
      <c r="A23" s="215" t="n">
        <v>289</v>
      </c>
      <c r="C23" s="270" t="n"/>
      <c r="D23" s="460" t="n"/>
      <c r="E23" s="448" t="n"/>
      <c r="F23" s="895" t="n"/>
      <c r="G23" s="895" t="n"/>
      <c r="H23" s="896" t="n"/>
      <c r="I23" s="31" t="n"/>
      <c r="J23" s="380" t="n"/>
      <c r="K23" s="378">
        <f>SUM(J23*E23)</f>
        <v/>
      </c>
      <c r="L23" s="392" t="n"/>
      <c r="M23" s="311">
        <f>(K23/(1-L23))*(1+$D$9)</f>
        <v/>
      </c>
      <c r="N23" s="378">
        <f>(M23*VLOOKUP($C$9,'Base Costs'!$A$32:$B$37,2,FALSE))</f>
        <v/>
      </c>
      <c r="O23" s="379">
        <f>M23-K23</f>
        <v/>
      </c>
      <c r="U23" s="229" t="n"/>
      <c r="AA23" s="1070" t="n"/>
    </row>
    <row r="24" ht="15" customHeight="1" s="1085">
      <c r="A24" s="215" t="n">
        <v>242</v>
      </c>
      <c r="C24" s="270" t="inlineStr">
        <is>
          <t xml:space="preserve">PS-160 EXTERNAL AERIAL </t>
        </is>
      </c>
      <c r="D24" s="460" t="inlineStr">
        <is>
          <t>EXTERNAL AERIAL BOX</t>
        </is>
      </c>
      <c r="E24" s="448" t="n"/>
      <c r="F24" s="895" t="n">
        <v>250</v>
      </c>
      <c r="G24" s="895" t="n">
        <v>175</v>
      </c>
      <c r="H24" s="896" t="n">
        <v>100</v>
      </c>
      <c r="I24" s="31" t="n"/>
      <c r="J24" s="380" t="n">
        <v>100.91</v>
      </c>
      <c r="K24" s="378">
        <f>SUM(J24*E24)</f>
        <v/>
      </c>
      <c r="L24" s="392" t="n">
        <v>0.35</v>
      </c>
      <c r="M24" s="311">
        <f>(K24/(1-L24))*(1+$D$9)</f>
        <v/>
      </c>
      <c r="N24" s="378">
        <f>(M24*VLOOKUP($C$9,'Base Costs'!$A$32:$B$37,2,FALSE))</f>
        <v/>
      </c>
      <c r="O24" s="379">
        <f>M24-K24</f>
        <v/>
      </c>
      <c r="U24" s="229" t="n"/>
      <c r="AA24" s="1070" t="n"/>
    </row>
    <row r="25" ht="15" customHeight="1" s="1085">
      <c r="A25" s="215" t="n">
        <v>220</v>
      </c>
      <c r="C25" s="855" t="inlineStr">
        <is>
          <t xml:space="preserve">PS-156 EDGE BOX REMOTE ROUTER (UV-GOT)  </t>
        </is>
      </c>
      <c r="D25" s="1066" t="inlineStr">
        <is>
          <t>EXTERNAL ROUTER</t>
        </is>
      </c>
      <c r="E25" s="448" t="n"/>
      <c r="F25" s="837" t="n">
        <v>250</v>
      </c>
      <c r="G25" s="895" t="n">
        <v>175</v>
      </c>
      <c r="H25" s="896" t="n">
        <v>100</v>
      </c>
      <c r="I25" s="31" t="n"/>
      <c r="J25" s="380" t="n">
        <v>484.58</v>
      </c>
      <c r="K25" s="378">
        <f>SUM(J25*E25)</f>
        <v/>
      </c>
      <c r="L25" s="392" t="n">
        <v>0.35</v>
      </c>
      <c r="M25" s="311">
        <f>(K25/(1-L25))*(1+$D$9)</f>
        <v/>
      </c>
      <c r="N25" s="378">
        <f>(M25*VLOOKUP($C$9,'Base Costs'!$A$32:$B$37,2,FALSE))</f>
        <v/>
      </c>
      <c r="O25" s="379">
        <f>M25-K25</f>
        <v/>
      </c>
      <c r="U25" s="229" t="n"/>
      <c r="AA25" s="1070" t="n"/>
    </row>
    <row r="26" ht="15" customHeight="1" s="1085">
      <c r="A26" s="215" t="n">
        <v>103</v>
      </c>
      <c r="C26" s="855" t="n"/>
      <c r="D26" s="460" t="n"/>
      <c r="E26" s="448" t="n"/>
      <c r="F26" s="837" t="n"/>
      <c r="G26" s="895" t="n"/>
      <c r="H26" s="896" t="n"/>
      <c r="I26" s="31" t="n"/>
      <c r="J26" s="380" t="n"/>
      <c r="K26" s="378">
        <f>SUM(J26*E26)</f>
        <v/>
      </c>
      <c r="L26" s="392" t="n"/>
      <c r="M26" s="311">
        <f>(K26/(1-L26))*(1+$D$9)</f>
        <v/>
      </c>
      <c r="N26" s="378">
        <f>(M26*VLOOKUP($C$9,'Base Costs'!$A$32:$B$37,2,FALSE))</f>
        <v/>
      </c>
      <c r="O26" s="379">
        <f>M26-K26</f>
        <v/>
      </c>
      <c r="U26" s="229" t="n"/>
      <c r="AA26" s="1070" t="n"/>
    </row>
    <row r="27" ht="15" customHeight="1" s="1085">
      <c r="A27" s="215" t="n">
        <v>103</v>
      </c>
      <c r="C27" s="855" t="inlineStr">
        <is>
          <t>CONNECTIVITY PS-153/152/154/155</t>
        </is>
      </c>
      <c r="D27" s="921" t="inlineStr">
        <is>
          <t xml:space="preserve"> NOT INCLUDED IN THE ABOVE</t>
        </is>
      </c>
      <c r="E27" s="448" t="n"/>
      <c r="F27" s="837" t="n"/>
      <c r="G27" s="895" t="n"/>
      <c r="H27" s="896" t="n"/>
      <c r="I27" s="31" t="n"/>
      <c r="J27" s="380" t="n">
        <v>522.38</v>
      </c>
      <c r="K27" s="378">
        <f>SUM(J27*E27)</f>
        <v/>
      </c>
      <c r="L27" s="392" t="n">
        <v>0.35</v>
      </c>
      <c r="M27" s="311">
        <f>(K27/(1-L27))*(1+$D$9)</f>
        <v/>
      </c>
      <c r="N27" s="378">
        <f>(M27*VLOOKUP($C$9,'Base Costs'!$A$32:$B$37,2,FALSE))</f>
        <v/>
      </c>
      <c r="O27" s="379">
        <f>M27-K27</f>
        <v/>
      </c>
      <c r="P27" s="990" t="inlineStr">
        <is>
          <t>EDGE UP2 Plus First Year Connectivity Fee from Group</t>
        </is>
      </c>
      <c r="U27" s="229" t="n"/>
      <c r="AA27" s="1070" t="n"/>
    </row>
    <row r="28" ht="15" customHeight="1" s="1085">
      <c r="C28" s="855" t="inlineStr">
        <is>
          <t>CONNECTIVITY  (UV-GOT)</t>
        </is>
      </c>
      <c r="D28" s="1067" t="inlineStr">
        <is>
          <t xml:space="preserve"> NOT INCLUDED IN THE ABOVE</t>
        </is>
      </c>
      <c r="E28" s="448" t="n"/>
      <c r="F28" s="895" t="n"/>
      <c r="G28" s="895" t="n"/>
      <c r="H28" s="896" t="n"/>
      <c r="I28" s="31" t="n"/>
      <c r="J28" s="380" t="n">
        <v>130</v>
      </c>
      <c r="K28" s="378">
        <f>SUM(J28*E28)</f>
        <v/>
      </c>
      <c r="L28" s="392" t="n">
        <v>0.35</v>
      </c>
      <c r="M28" s="311">
        <f>(K28/(1-L28))*(1+$D$9)</f>
        <v/>
      </c>
      <c r="N28" s="378">
        <f>(M28*VLOOKUP($C$9,'Base Costs'!$A$32:$B$37,2,FALSE))</f>
        <v/>
      </c>
      <c r="O28" s="379">
        <f>M28-K28</f>
        <v/>
      </c>
      <c r="P28" s="990" t="inlineStr">
        <is>
          <t>First Year Connectivity Fee from Group</t>
        </is>
      </c>
      <c r="U28" s="229" t="n"/>
      <c r="AA28" s="1070" t="n"/>
    </row>
    <row r="29" ht="15" customHeight="1" s="1085">
      <c r="A29" s="215" t="n">
        <v>285</v>
      </c>
      <c r="C29" s="855" t="n"/>
      <c r="D29" s="460" t="n"/>
      <c r="E29" s="448" t="n"/>
      <c r="F29" s="898" t="n"/>
      <c r="G29" s="898" t="n"/>
      <c r="H29" s="899" t="n"/>
      <c r="I29" s="31" t="n"/>
      <c r="J29" s="380" t="n"/>
      <c r="K29" s="378">
        <f>SUM(J29*E29)</f>
        <v/>
      </c>
      <c r="L29" s="392" t="n"/>
      <c r="M29" s="311">
        <f>(K29/(1-L29))*(1+$D$9)</f>
        <v/>
      </c>
      <c r="N29" s="378">
        <f>(M29*VLOOKUP($C$9,'Base Costs'!$A$32:$B$37,2,FALSE))</f>
        <v/>
      </c>
      <c r="O29" s="379">
        <f>M29-K29</f>
        <v/>
      </c>
      <c r="U29" s="229" t="n"/>
      <c r="AA29" s="1070" t="n"/>
    </row>
    <row r="30" ht="15" customHeight="1" s="1085">
      <c r="C30" s="855" t="n"/>
      <c r="D30" s="460" t="n"/>
      <c r="E30" s="448" t="n"/>
      <c r="F30" s="898" t="n"/>
      <c r="G30" s="898" t="n"/>
      <c r="H30" s="899" t="n"/>
      <c r="I30" s="31" t="n"/>
      <c r="J30" s="380" t="n"/>
      <c r="K30" s="378">
        <f>SUM(J30*E30)</f>
        <v/>
      </c>
      <c r="L30" s="392" t="n"/>
      <c r="M30" s="311">
        <f>(K30/(1-L30))*(1+$D$9)</f>
        <v/>
      </c>
      <c r="N30" s="378">
        <f>(M30*VLOOKUP($C$9,'Base Costs'!$A$32:$B$37,2,FALSE))</f>
        <v/>
      </c>
      <c r="O30" s="379">
        <f>M30-K30</f>
        <v/>
      </c>
      <c r="U30" s="229" t="n"/>
      <c r="AA30" s="1070" t="n"/>
    </row>
    <row r="31" ht="15" customHeight="1" s="1085">
      <c r="C31" s="269" t="n"/>
      <c r="D31" s="460" t="n"/>
      <c r="E31" s="448" t="n"/>
      <c r="F31" s="895" t="n"/>
      <c r="G31" s="895" t="n"/>
      <c r="H31" s="896" t="n"/>
      <c r="I31" s="31" t="n"/>
      <c r="J31" s="380" t="n">
        <v>0</v>
      </c>
      <c r="K31" s="378">
        <f>SUM(J31*E31)</f>
        <v/>
      </c>
      <c r="L31" s="392" t="n"/>
      <c r="M31" s="311">
        <f>(K31/(1-L31))*(1+$D$9)</f>
        <v/>
      </c>
      <c r="N31" s="378">
        <f>(M31*VLOOKUP($C$9,'Base Costs'!$A$32:$B$37,2,FALSE))</f>
        <v/>
      </c>
      <c r="O31" s="379">
        <f>M31-K31</f>
        <v/>
      </c>
      <c r="U31" s="229" t="n"/>
      <c r="AA31" s="1070" t="n"/>
    </row>
    <row r="32" ht="15" customHeight="1" s="1085">
      <c r="A32" s="215" t="n">
        <v>286</v>
      </c>
      <c r="C32" s="270" t="n"/>
      <c r="D32" s="460" t="n"/>
      <c r="E32" s="448" t="n"/>
      <c r="F32" s="895" t="n"/>
      <c r="G32" s="895" t="n"/>
      <c r="H32" s="896" t="n"/>
      <c r="I32" s="31" t="n"/>
      <c r="J32" s="380" t="n">
        <v>0</v>
      </c>
      <c r="K32" s="378">
        <f>SUM(J32*E32)</f>
        <v/>
      </c>
      <c r="L32" s="392" t="n"/>
      <c r="M32" s="311">
        <f>(K32/(1-L32))*(1+$D$9)</f>
        <v/>
      </c>
      <c r="N32" s="378">
        <f>(M32*VLOOKUP($C$9,'Base Costs'!$A$32:$B$37,2,FALSE))</f>
        <v/>
      </c>
      <c r="O32" s="379">
        <f>M32-K32</f>
        <v/>
      </c>
      <c r="U32" s="229" t="n"/>
      <c r="AA32" s="1070" t="n"/>
    </row>
    <row r="33" ht="15" customHeight="1" s="1085">
      <c r="C33" s="269" t="n"/>
      <c r="D33" s="460" t="n"/>
      <c r="E33" s="448" t="n"/>
      <c r="F33" s="462" t="n"/>
      <c r="G33" s="32" t="n"/>
      <c r="H33" s="30" t="n"/>
      <c r="I33" s="31" t="n"/>
      <c r="J33" s="933" t="n"/>
      <c r="K33" s="378">
        <f>SUM(J33*E33)</f>
        <v/>
      </c>
      <c r="L33" s="392" t="n"/>
      <c r="M33" s="311">
        <f>(K33/(1-L33))*(1+$D$9)</f>
        <v/>
      </c>
      <c r="N33" s="378">
        <f>(M33*VLOOKUP($C$9,'Base Costs'!$A$32:$B$37,2,FALSE))</f>
        <v/>
      </c>
      <c r="O33" s="379">
        <f>M33-K33</f>
        <v/>
      </c>
      <c r="U33" s="229" t="n"/>
      <c r="AA33" s="1070" t="n"/>
    </row>
    <row r="34" ht="15" customHeight="1" s="1085">
      <c r="C34" s="855" t="n"/>
      <c r="D34" s="460" t="n"/>
      <c r="E34" s="448" t="n"/>
      <c r="F34" s="462" t="n"/>
      <c r="G34" s="32" t="n"/>
      <c r="H34" s="30" t="n"/>
      <c r="I34" s="31" t="n"/>
      <c r="J34" s="933" t="n"/>
      <c r="K34" s="378">
        <f>SUM(J34*E34)</f>
        <v/>
      </c>
      <c r="L34" s="392" t="n"/>
      <c r="M34" s="311">
        <f>(K34/(1-L34))*(1+$D$9)</f>
        <v/>
      </c>
      <c r="N34" s="378">
        <f>(M34*VLOOKUP($C$9,'Base Costs'!$A$32:$B$37,2,FALSE))</f>
        <v/>
      </c>
      <c r="O34" s="379">
        <f>M34-K34</f>
        <v/>
      </c>
      <c r="U34" s="229" t="n"/>
      <c r="AA34" s="1070" t="n"/>
    </row>
    <row r="35" ht="15" customHeight="1" s="1085">
      <c r="H35" s="34" t="inlineStr">
        <is>
          <t>SECTION UNDER 1000mm</t>
        </is>
      </c>
    </row>
    <row r="36" ht="15" customHeight="1" s="1085">
      <c r="C36" s="239" t="n"/>
      <c r="D36" s="239" t="n"/>
      <c r="E36" s="239" t="n"/>
      <c r="F36" s="239" t="n"/>
      <c r="G36" s="239" t="n"/>
      <c r="H36" s="239" t="n"/>
      <c r="I36" s="9" t="n"/>
      <c r="J36" s="11" t="n"/>
      <c r="K36" s="353" t="n"/>
      <c r="L36" s="240" t="n"/>
      <c r="M36" s="353" t="n"/>
      <c r="N36" s="353" t="n"/>
      <c r="U36" s="229" t="n"/>
      <c r="AA36" s="1070" t="n"/>
    </row>
    <row r="37" ht="15" customHeight="1" s="1085">
      <c r="C37" s="1089" t="inlineStr">
        <is>
          <t xml:space="preserve">DELIVERY &amp; INSTALLATION </t>
        </is>
      </c>
      <c r="I37" s="236" t="n"/>
      <c r="J37" s="330" t="n"/>
      <c r="K37" s="154">
        <f>SUBTOTAL(9,K38:K48)</f>
        <v/>
      </c>
      <c r="L37" s="15">
        <f>IF(K38=0,"-",O37/M37)</f>
        <v/>
      </c>
      <c r="M37" s="154">
        <f>SUBTOTAL(9,M38:M48)</f>
        <v/>
      </c>
      <c r="N37" s="464">
        <f>SUBTOTAL(9,N38:N48)</f>
        <v/>
      </c>
      <c r="O37" s="154">
        <f>SUBTOTAL(9,O39:O48)</f>
        <v/>
      </c>
      <c r="U37" s="229" t="n"/>
    </row>
    <row r="38" ht="15" customHeight="1" s="1085">
      <c r="A38" s="215" t="n">
        <v>222</v>
      </c>
      <c r="C38" s="269" t="inlineStr">
        <is>
          <t xml:space="preserve">DELIVERIES </t>
        </is>
      </c>
      <c r="D38" s="242" t="n"/>
      <c r="E38" s="309" t="inlineStr">
        <is>
          <t>SELECT LOCATION…</t>
        </is>
      </c>
      <c r="F38" s="28" t="n"/>
      <c r="G38" s="30" t="n"/>
      <c r="H38" s="28" t="n"/>
      <c r="I38" s="28" t="n"/>
      <c r="J38" s="385">
        <f>VLOOKUP(E38,'Base Costs'!E4:G213,2,FALSE)</f>
        <v/>
      </c>
      <c r="K38" s="378">
        <f>D38*J38</f>
        <v/>
      </c>
      <c r="L38" s="392" t="n">
        <v>0.33</v>
      </c>
      <c r="M38" s="311">
        <f>(K38/(1-L38))*(1+$D$9)</f>
        <v/>
      </c>
      <c r="N38" s="378">
        <f>(M38*VLOOKUP($C$9,'Base Costs'!$A$32:$B$37,2,FALSE))</f>
        <v/>
      </c>
      <c r="O38" s="379">
        <f>M38-K38</f>
        <v/>
      </c>
      <c r="U38" s="229" t="n"/>
    </row>
    <row r="39" ht="15" customHeight="1" s="1085">
      <c r="A39" s="215" t="n">
        <v>257</v>
      </c>
      <c r="C39" s="269" t="inlineStr">
        <is>
          <t>PLANT HIRE</t>
        </is>
      </c>
      <c r="D39" s="242" t="n"/>
      <c r="E39" s="309" t="inlineStr">
        <is>
          <t>PLANT SELECTION (weekly)</t>
        </is>
      </c>
      <c r="F39" s="28" t="n"/>
      <c r="G39" s="28" t="n"/>
      <c r="H39" s="28" t="n"/>
      <c r="I39" s="28" t="n"/>
      <c r="J39" s="385">
        <f>VLOOKUP(E39,'Base Costs'!$A$4:$B$16,2,FALSE)</f>
        <v/>
      </c>
      <c r="K39" s="378">
        <f>D39*J39</f>
        <v/>
      </c>
      <c r="L39" s="392" t="n">
        <v>0.33</v>
      </c>
      <c r="M39" s="311">
        <f>(K39/(1-L39))*(1+$D$9)</f>
        <v/>
      </c>
      <c r="N39" s="378">
        <f>(M39*VLOOKUP($C$9,'Base Costs'!$A$32:$B$37,2,FALSE))</f>
        <v/>
      </c>
      <c r="O39" s="379">
        <f>M39-K39</f>
        <v/>
      </c>
      <c r="U39" s="229" t="n"/>
    </row>
    <row r="40" ht="15" customHeight="1" s="1085">
      <c r="A40" s="215" t="n">
        <v>257</v>
      </c>
      <c r="C40" s="269" t="inlineStr">
        <is>
          <t>PLANT HIRE</t>
        </is>
      </c>
      <c r="D40" s="242" t="n"/>
      <c r="E40" s="309" t="inlineStr">
        <is>
          <t>PLANT SELECTION (weekly)</t>
        </is>
      </c>
      <c r="F40" s="28" t="n"/>
      <c r="G40" s="28" t="n"/>
      <c r="H40" s="28" t="n"/>
      <c r="I40" s="28" t="n"/>
      <c r="J40" s="385">
        <f>VLOOKUP(E40,'Base Costs'!$A$4:$B$16,2,FALSE)</f>
        <v/>
      </c>
      <c r="K40" s="378">
        <f>D40*J40</f>
        <v/>
      </c>
      <c r="L40" s="392" t="n">
        <v>0.33</v>
      </c>
      <c r="M40" s="311">
        <f>(K40/(1-L40))*(1+$D$9)</f>
        <v/>
      </c>
      <c r="N40" s="378">
        <f>(M40*VLOOKUP($C$9,'Base Costs'!$A$32:$B$37,2,FALSE))</f>
        <v/>
      </c>
      <c r="O40" s="379">
        <f>M40-K40</f>
        <v/>
      </c>
      <c r="U40" s="229" t="n"/>
    </row>
    <row r="41" ht="15" customHeight="1" s="1085">
      <c r="A41" s="215" t="n">
        <v>400</v>
      </c>
      <c r="C41" s="269" t="inlineStr">
        <is>
          <t>STRIP OUT</t>
        </is>
      </c>
      <c r="D41" s="242" t="n"/>
      <c r="E41" s="28" t="inlineStr">
        <is>
          <t>PER DAY</t>
        </is>
      </c>
      <c r="F41" s="28" t="n"/>
      <c r="G41" s="28" t="n"/>
      <c r="H41" s="28" t="n"/>
      <c r="I41" s="28" t="n"/>
      <c r="J41" s="385" t="n">
        <v>450</v>
      </c>
      <c r="K41" s="378">
        <f>D41*J41</f>
        <v/>
      </c>
      <c r="L41" s="392" t="n">
        <v>0.33</v>
      </c>
      <c r="M41" s="311">
        <f>(K41/(1-L41))*(1+$D$9)</f>
        <v/>
      </c>
      <c r="N41" s="378">
        <f>(M41*VLOOKUP($C$9,'Base Costs'!$A$32:$B$37,2,FALSE))</f>
        <v/>
      </c>
      <c r="O41" s="379">
        <f>M41-K41</f>
        <v/>
      </c>
      <c r="U41" s="229" t="n"/>
    </row>
    <row r="42" ht="15" customHeight="1" s="1085">
      <c r="A42" s="215" t="n">
        <v>102</v>
      </c>
      <c r="C42" s="269" t="inlineStr">
        <is>
          <t xml:space="preserve">CONSUMABLES </t>
        </is>
      </c>
      <c r="D42" s="242" t="n">
        <v>1</v>
      </c>
      <c r="E42" s="28" t="inlineStr">
        <is>
          <t>ON SITE FIXINGS</t>
        </is>
      </c>
      <c r="F42" s="28" t="n"/>
      <c r="G42" s="28" t="n"/>
      <c r="H42" s="28" t="n"/>
      <c r="I42" s="28" t="n"/>
      <c r="J42" s="385" t="n">
        <v>15</v>
      </c>
      <c r="K42" s="378">
        <f>D42*J42</f>
        <v/>
      </c>
      <c r="L42" s="392" t="n">
        <v>0.33</v>
      </c>
      <c r="M42" s="311">
        <f>(K42/(1-L42))*(1+$D$9)</f>
        <v/>
      </c>
      <c r="N42" s="378">
        <f>(M42*VLOOKUP($C$9,'Base Costs'!$A$32:$B$37,2,FALSE))</f>
        <v/>
      </c>
      <c r="O42" s="379">
        <f>M42-K42</f>
        <v/>
      </c>
      <c r="U42" s="229" t="n"/>
    </row>
    <row r="43" ht="15" customHeight="1" s="1085">
      <c r="A43" s="215" t="n">
        <v>400</v>
      </c>
      <c r="C43" s="269" t="inlineStr">
        <is>
          <t>INSTALLATION NORMAL HOURS</t>
        </is>
      </c>
      <c r="D43" s="242" t="n">
        <v>1</v>
      </c>
      <c r="E43" s="28" t="inlineStr">
        <is>
          <t>PER BOX</t>
        </is>
      </c>
      <c r="F43" s="28" t="n"/>
      <c r="G43" s="28" t="n"/>
      <c r="H43" s="28" t="n"/>
      <c r="I43" s="28" t="n"/>
      <c r="J43" s="385" t="n">
        <v>152.5</v>
      </c>
      <c r="K43" s="378">
        <f>D43*J43</f>
        <v/>
      </c>
      <c r="L43" s="392" t="n">
        <v>0.4</v>
      </c>
      <c r="M43" s="311">
        <f>(K43/(1-L43))*(1+$D$9)</f>
        <v/>
      </c>
      <c r="N43" s="378">
        <f>(M43*VLOOKUP($C$9,'Base Costs'!$A$32:$B$37,2,FALSE))</f>
        <v/>
      </c>
      <c r="O43" s="379">
        <f>M43-K43</f>
        <v/>
      </c>
      <c r="U43" s="229" t="n"/>
    </row>
    <row r="44" ht="15" customHeight="1" s="1085">
      <c r="A44" s="215" t="n">
        <v>400</v>
      </c>
      <c r="C44" s="269" t="inlineStr">
        <is>
          <t>INSTALLATION AFTER HOURS</t>
        </is>
      </c>
      <c r="D44" s="242" t="n"/>
      <c r="E44" s="28" t="inlineStr">
        <is>
          <t>PER BOX</t>
        </is>
      </c>
      <c r="F44" s="28" t="n"/>
      <c r="G44" s="28" t="n"/>
      <c r="H44" s="28" t="n"/>
      <c r="I44" s="28" t="n"/>
      <c r="J44" s="385" t="n">
        <v>861</v>
      </c>
      <c r="K44" s="378">
        <f>D44*J44</f>
        <v/>
      </c>
      <c r="L44" s="392" t="n">
        <v>0.4</v>
      </c>
      <c r="M44" s="311">
        <f>(K44/(1-L44))*(1+$D$9)</f>
        <v/>
      </c>
      <c r="N44" s="378">
        <f>(M44*VLOOKUP($C$9,'Base Costs'!$A$32:$B$37,2,FALSE))</f>
        <v/>
      </c>
      <c r="O44" s="379">
        <f>M44-K44</f>
        <v/>
      </c>
      <c r="U44" s="229" t="n"/>
    </row>
    <row r="45" ht="15" customHeight="1" s="1085">
      <c r="A45" s="215" t="n">
        <v>253</v>
      </c>
      <c r="C45" s="269" t="inlineStr">
        <is>
          <t>TRAVEL EXPENSES</t>
        </is>
      </c>
      <c r="D45" s="242" t="n"/>
      <c r="E45" s="28" t="inlineStr">
        <is>
          <t>PER NIGHT PER TEAM</t>
        </is>
      </c>
      <c r="F45" s="28" t="n"/>
      <c r="G45" s="28" t="n"/>
      <c r="H45" s="28" t="n"/>
      <c r="I45" s="28" t="n"/>
      <c r="J45" s="385" t="n"/>
      <c r="K45" s="378">
        <f>D45*J45</f>
        <v/>
      </c>
      <c r="L45" s="392" t="n">
        <v>0.33</v>
      </c>
      <c r="M45" s="311">
        <f>(K45/(1-L45))*(1+$D$9)</f>
        <v/>
      </c>
      <c r="N45" s="378">
        <f>(M45*VLOOKUP($C$9,'Base Costs'!$A$32:$B$37,2,FALSE))</f>
        <v/>
      </c>
      <c r="O45" s="379">
        <f>M45-K45</f>
        <v/>
      </c>
      <c r="U45" s="229" t="n"/>
    </row>
    <row r="46" ht="15" customHeight="1" s="1085">
      <c r="A46" s="215" t="n">
        <v>253</v>
      </c>
      <c r="C46" s="269" t="inlineStr">
        <is>
          <t>OVERNIGHT</t>
        </is>
      </c>
      <c r="D46" s="242" t="n"/>
      <c r="E46" s="28" t="inlineStr">
        <is>
          <t>PER NIGHT PER TEAM</t>
        </is>
      </c>
      <c r="F46" s="28" t="n"/>
      <c r="G46" s="28" t="n"/>
      <c r="H46" s="28" t="n"/>
      <c r="I46" s="28" t="n"/>
      <c r="J46" s="385" t="n">
        <v>170</v>
      </c>
      <c r="K46" s="378">
        <f>D46*J46</f>
        <v/>
      </c>
      <c r="L46" s="392" t="n">
        <v>0.33</v>
      </c>
      <c r="M46" s="311">
        <f>(K46/(1-L46))*(1+$D$9)</f>
        <v/>
      </c>
      <c r="N46" s="378">
        <f>(M46*VLOOKUP($C$9,'Base Costs'!$A$32:$B$37,2,FALSE))</f>
        <v/>
      </c>
      <c r="O46" s="379">
        <f>M46-K46</f>
        <v/>
      </c>
      <c r="U46" s="229" t="n"/>
    </row>
    <row r="47" ht="15" customHeight="1" s="1085">
      <c r="A47" s="215" t="n">
        <v>280</v>
      </c>
      <c r="C47" s="269" t="inlineStr">
        <is>
          <t>TEST &amp; COMMISSION</t>
        </is>
      </c>
      <c r="D47" s="242" t="n"/>
      <c r="E47" s="28" t="inlineStr">
        <is>
          <t>ONE ENGINEER</t>
        </is>
      </c>
      <c r="F47" s="28" t="n"/>
      <c r="G47" s="28" t="n"/>
      <c r="H47" s="28" t="n"/>
      <c r="I47" s="28" t="n"/>
      <c r="J47" s="385" t="n">
        <v>604</v>
      </c>
      <c r="K47" s="378">
        <f>D47*J47</f>
        <v/>
      </c>
      <c r="L47" s="392" t="n">
        <v>0.33</v>
      </c>
      <c r="M47" s="311">
        <f>(K47/(1-L47))*(1+$D$9)</f>
        <v/>
      </c>
      <c r="N47" s="378">
        <f>(M47*VLOOKUP($C$9,'Base Costs'!$A$32:$B$37,2,FALSE))</f>
        <v/>
      </c>
      <c r="O47" s="379">
        <f>M47-K47</f>
        <v/>
      </c>
      <c r="U47" s="229" t="n"/>
    </row>
    <row r="48" ht="15" customHeight="1" s="1085">
      <c r="A48" s="215" t="n">
        <v>284</v>
      </c>
      <c r="C48" s="269" t="n"/>
      <c r="D48" s="242" t="n"/>
      <c r="E48" s="28" t="inlineStr">
        <is>
          <t>OPTIONAL ITEM</t>
        </is>
      </c>
      <c r="F48" s="28" t="n"/>
      <c r="G48" s="28" t="n"/>
      <c r="H48" s="28" t="n"/>
      <c r="I48" s="28" t="n"/>
      <c r="J48" s="385" t="n">
        <v>200</v>
      </c>
      <c r="K48" s="378">
        <f>D48*J48</f>
        <v/>
      </c>
      <c r="L48" s="392" t="n">
        <v>0.33</v>
      </c>
      <c r="M48" s="311">
        <f>(K48/(1-L48))*(1+$D$9)</f>
        <v/>
      </c>
      <c r="N48" s="378">
        <f>(M48*VLOOKUP($C$9,'Base Costs'!$A$32:$B$37,2,FALSE))</f>
        <v/>
      </c>
      <c r="O48" s="379">
        <f>M48-K48</f>
        <v/>
      </c>
      <c r="U48" s="229" t="n"/>
    </row>
    <row r="49" ht="15" customHeight="1" s="1085">
      <c r="C49" s="239" t="n"/>
      <c r="D49" s="239" t="n"/>
      <c r="E49" s="239" t="n"/>
      <c r="F49" s="239" t="n"/>
      <c r="G49" s="239" t="n"/>
      <c r="H49" s="243" t="n"/>
      <c r="I49" s="244" t="n"/>
      <c r="J49" s="354" t="n"/>
      <c r="K49" s="353" t="n"/>
      <c r="L49" s="355" t="n"/>
      <c r="M49" s="353" t="n"/>
      <c r="N49" s="353" t="n"/>
      <c r="U49" s="229" t="n"/>
    </row>
    <row r="50" ht="15" customHeight="1" s="1085">
      <c r="C50" s="197" t="inlineStr">
        <is>
          <t>Office Use Only</t>
        </is>
      </c>
      <c r="D50" s="198" t="n"/>
      <c r="E50" s="199" t="n"/>
      <c r="F50" s="199" t="n"/>
      <c r="G50" s="198" t="n"/>
      <c r="H50" s="200" t="n"/>
      <c r="I50" s="198" t="n"/>
      <c r="J50" s="198" t="n"/>
      <c r="K50" s="198" t="n"/>
      <c r="L50" s="198" t="n"/>
      <c r="M50" s="198" t="n"/>
      <c r="N50" s="198" t="n"/>
      <c r="O50" s="198" t="n"/>
      <c r="U50" s="229" t="n"/>
    </row>
    <row r="51" ht="15" customHeight="1" s="1085">
      <c r="C51" s="202" t="n"/>
      <c r="D51" s="203" t="n"/>
      <c r="E51" s="202" t="n"/>
      <c r="F51" s="204" t="n"/>
      <c r="G51" s="202" t="n"/>
      <c r="H51" s="209" t="n"/>
      <c r="I51" s="203" t="n"/>
      <c r="J51" s="203" t="n"/>
      <c r="K51" s="205" t="n"/>
      <c r="L51" s="205" t="n"/>
      <c r="M51" s="205" t="n"/>
      <c r="N51" s="205" t="n"/>
      <c r="O51" s="205" t="n"/>
      <c r="U51" s="229" t="n"/>
    </row>
    <row r="52" ht="15" customHeight="1" s="1085">
      <c r="C52" s="202" t="n"/>
      <c r="D52" s="203" t="n"/>
      <c r="E52" s="202" t="n"/>
      <c r="F52" s="204" t="n"/>
      <c r="G52" s="202" t="n"/>
      <c r="H52" s="209" t="n"/>
      <c r="I52" s="203" t="n"/>
      <c r="J52" s="203" t="n"/>
      <c r="K52" s="205" t="n"/>
      <c r="L52" s="205" t="n"/>
      <c r="M52" s="205" t="n"/>
      <c r="N52" s="205" t="n"/>
      <c r="O52" s="205" t="n"/>
      <c r="U52" s="229" t="n"/>
    </row>
    <row r="53" ht="15" customHeight="1" s="1085">
      <c r="C53" s="202" t="n"/>
      <c r="D53" s="203" t="n"/>
      <c r="E53" s="202" t="n"/>
      <c r="F53" s="204" t="n"/>
      <c r="G53" s="202" t="n"/>
      <c r="H53" s="209" t="n"/>
      <c r="I53" s="203" t="n"/>
      <c r="J53" s="203" t="n"/>
      <c r="K53" s="209" t="n"/>
      <c r="L53" s="209" t="n"/>
      <c r="M53" s="209" t="n"/>
      <c r="N53" s="209" t="n"/>
      <c r="O53" s="209" t="n"/>
      <c r="U53" s="229" t="n"/>
    </row>
    <row r="54" ht="15" customHeight="1" s="1085">
      <c r="C54" s="202" t="n"/>
      <c r="D54" s="203" t="n"/>
      <c r="E54" s="202" t="n"/>
      <c r="F54" s="204" t="n"/>
      <c r="G54" s="202" t="n"/>
      <c r="H54" s="209" t="n"/>
      <c r="I54" s="206" t="n"/>
      <c r="J54" s="203" t="n"/>
      <c r="K54" s="209" t="n"/>
      <c r="L54" s="209" t="n"/>
      <c r="M54" s="209" t="n"/>
      <c r="N54" s="209" t="n"/>
      <c r="O54" s="209" t="n"/>
      <c r="U54" s="229" t="n"/>
    </row>
    <row r="55" ht="15" customHeight="1" s="1085">
      <c r="C55" s="202" t="n"/>
      <c r="D55" s="203" t="n"/>
      <c r="E55" s="202" t="n"/>
      <c r="F55" s="202" t="n"/>
      <c r="G55" s="202" t="n"/>
      <c r="H55" s="207" t="n"/>
      <c r="I55" s="209" t="n"/>
      <c r="J55" s="203" t="n"/>
      <c r="K55" s="205" t="n"/>
      <c r="L55" s="205" t="n"/>
      <c r="M55" s="205" t="n"/>
      <c r="N55" s="205" t="n"/>
      <c r="O55" s="205" t="n"/>
      <c r="U55" s="229" t="n"/>
    </row>
    <row r="56" ht="15" customHeight="1" s="1085">
      <c r="C56" s="202" t="n"/>
      <c r="D56" s="202" t="n"/>
      <c r="E56" s="202" t="n"/>
      <c r="F56" s="202" t="n"/>
      <c r="G56" s="202" t="n"/>
      <c r="H56" s="207" t="n"/>
      <c r="I56" s="209" t="n"/>
      <c r="J56" s="203" t="n"/>
      <c r="K56" s="205" t="n"/>
      <c r="L56" s="205" t="n"/>
      <c r="M56" s="205" t="n"/>
      <c r="N56" s="205" t="n"/>
      <c r="O56" s="205" t="n"/>
      <c r="U56" s="229" t="n"/>
    </row>
    <row r="57" ht="15" customHeight="1" s="1085">
      <c r="J57" s="228" t="n"/>
      <c r="M57" s="228" t="n"/>
      <c r="O57" s="228" t="n"/>
      <c r="U57" s="229" t="n"/>
    </row>
    <row r="58" ht="15" customHeight="1" s="1085">
      <c r="J58" s="228" t="n"/>
      <c r="M58" s="228" t="n"/>
      <c r="O58" s="228" t="n"/>
      <c r="U58" s="229" t="n"/>
    </row>
    <row r="59" ht="15" customHeight="1" s="1085">
      <c r="H59" s="219" t="n"/>
      <c r="U59" s="229" t="n"/>
    </row>
    <row r="60" ht="15" customHeight="1" s="1085">
      <c r="H60" s="219" t="n"/>
      <c r="U60" s="229" t="n"/>
    </row>
    <row r="61" ht="15" customHeight="1" s="1085">
      <c r="H61" s="219" t="n"/>
      <c r="U61" s="229" t="n"/>
    </row>
    <row r="62" ht="15" customHeight="1" s="1085">
      <c r="H62" s="219" t="n"/>
      <c r="U62" s="229" t="n"/>
    </row>
    <row r="63" ht="15" customHeight="1" s="1085">
      <c r="H63" s="219" t="n"/>
      <c r="U63" s="229" t="n"/>
    </row>
    <row r="64" ht="15" customHeight="1" s="1085">
      <c r="H64" s="219" t="n"/>
      <c r="U64" s="229" t="n"/>
    </row>
    <row r="65" ht="15" customHeight="1" s="1085">
      <c r="H65" s="219" t="n"/>
      <c r="U65" s="229" t="n"/>
    </row>
    <row r="66" ht="15" customHeight="1" s="1085">
      <c r="H66" s="219" t="n"/>
      <c r="U66" s="229" t="n"/>
    </row>
    <row r="67" ht="15" customHeight="1" s="1085">
      <c r="H67" s="219" t="n"/>
      <c r="U67" s="229" t="n"/>
    </row>
    <row r="68" ht="15" customHeight="1" s="1085">
      <c r="C68" s="245" t="n"/>
      <c r="D68" s="245" t="n"/>
      <c r="E68" s="245" t="n"/>
      <c r="F68" s="245" t="n"/>
      <c r="G68" s="245" t="n"/>
      <c r="H68" s="245" t="n"/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3" ht="15" customHeight="1" s="1085">
      <c r="U103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2" ht="15" customHeight="1" s="1085">
      <c r="U112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1" ht="15" customHeight="1" s="1085">
      <c r="U121" s="229" t="n"/>
    </row>
    <row r="122" ht="15" customHeight="1" s="1085">
      <c r="U122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  <row r="142" ht="15" customHeight="1" s="1085">
      <c r="U142" s="229" t="n"/>
    </row>
    <row r="143" ht="15" customHeight="1" s="1085">
      <c r="U143" s="229" t="n"/>
    </row>
    <row r="144" ht="15" customHeight="1" s="1085">
      <c r="U144" s="229" t="n"/>
    </row>
    <row r="145" ht="15" customHeight="1" s="1085">
      <c r="U145" s="229" t="n"/>
    </row>
    <row r="146" ht="15" customHeight="1" s="1085">
      <c r="U146" s="229" t="n"/>
    </row>
    <row r="147" ht="15" customHeight="1" s="1085">
      <c r="U147" s="229" t="n"/>
    </row>
    <row r="148" ht="15" customHeight="1" s="1085">
      <c r="U148" s="229" t="n"/>
    </row>
    <row r="149" ht="15" customHeight="1" s="1085">
      <c r="U149" s="229" t="n"/>
    </row>
    <row r="150" ht="15" customHeight="1" s="1085">
      <c r="U150" s="229" t="n"/>
    </row>
    <row r="151" ht="15" customHeight="1" s="1085">
      <c r="U151" s="229" t="n"/>
    </row>
    <row r="152" ht="15" customHeight="1" s="1085">
      <c r="U152" s="229" t="n"/>
    </row>
    <row r="153" ht="15" customHeight="1" s="1085">
      <c r="U153" s="229" t="n"/>
    </row>
    <row r="154" ht="15" customHeight="1" s="1085">
      <c r="U154" s="229" t="n"/>
    </row>
    <row r="155" ht="15" customHeight="1" s="1085">
      <c r="U155" s="229" t="n"/>
    </row>
    <row r="156" ht="15" customHeight="1" s="1085">
      <c r="U156" s="229" t="n"/>
    </row>
    <row r="157" ht="15" customHeight="1" s="1085">
      <c r="U157" s="229" t="n"/>
    </row>
    <row r="158" ht="15" customHeight="1" s="1085">
      <c r="U158" s="229" t="n"/>
    </row>
    <row r="159" ht="15" customHeight="1" s="1085">
      <c r="U159" s="229" t="n"/>
    </row>
    <row r="160" ht="15" customHeight="1" s="1085">
      <c r="U160" s="229" t="n"/>
    </row>
    <row r="161" ht="15" customHeight="1" s="1085">
      <c r="U161" s="229" t="n"/>
    </row>
  </sheetData>
  <mergeCells count="9">
    <mergeCell ref="P7:R7"/>
    <mergeCell ref="D7:E7"/>
    <mergeCell ref="C1:D1"/>
    <mergeCell ref="H5:J5"/>
    <mergeCell ref="C37:H37"/>
    <mergeCell ref="D5:E5"/>
    <mergeCell ref="H3:J3"/>
    <mergeCell ref="D3:E3"/>
    <mergeCell ref="H7:J7"/>
  </mergeCells>
  <conditionalFormatting sqref="C9">
    <cfRule type="containsText" priority="35" operator="containsText" dxfId="680" text="SELECT">
      <formula>NOT(ISERROR(SEARCH("SELECT",C9)))</formula>
    </cfRule>
    <cfRule type="expression" priority="36" dxfId="680">
      <formula>C9="CURRENCY"</formula>
    </cfRule>
  </conditionalFormatting>
  <conditionalFormatting sqref="C14:C34">
    <cfRule type="expression" priority="1" dxfId="633">
      <formula>$J14&gt;0</formula>
    </cfRule>
  </conditionalFormatting>
  <conditionalFormatting sqref="C38:C48">
    <cfRule type="expression" priority="12" dxfId="633">
      <formula>$D38&gt;0</formula>
    </cfRule>
  </conditionalFormatting>
  <conditionalFormatting sqref="D38:D39 D41:D48">
    <cfRule type="cellIs" priority="37" operator="lessThan" dxfId="554">
      <formula>1</formula>
    </cfRule>
  </conditionalFormatting>
  <conditionalFormatting sqref="D40">
    <cfRule type="cellIs" priority="32" operator="lessThan" dxfId="164">
      <formula>1</formula>
    </cfRule>
  </conditionalFormatting>
  <conditionalFormatting sqref="D9:E9">
    <cfRule type="cellIs" priority="33" operator="lessThan" dxfId="207">
      <formula>0</formula>
    </cfRule>
    <cfRule type="cellIs" priority="34" operator="greaterThan" dxfId="552">
      <formula>0</formula>
    </cfRule>
  </conditionalFormatting>
  <conditionalFormatting sqref="F12">
    <cfRule type="expression" priority="42" dxfId="386">
      <formula>AND((ISNUMBER(SEARCH("I-MUAP",$E$14))),F12&lt;2500)</formula>
    </cfRule>
    <cfRule type="expression" priority="43" dxfId="387">
      <formula>ISNUMBER(SEARCH("I-MUAP",$E$14))</formula>
    </cfRule>
    <cfRule type="cellIs" priority="44" operator="greaterThan" dxfId="204">
      <formula>2000</formula>
    </cfRule>
  </conditionalFormatting>
  <conditionalFormatting sqref="F12:G12">
    <cfRule type="cellIs" priority="38" operator="lessThan" dxfId="204">
      <formula>1000</formula>
    </cfRule>
  </conditionalFormatting>
  <conditionalFormatting sqref="F14:G28">
    <cfRule type="cellIs" priority="5" operator="lessThan" dxfId="164">
      <formula>1000</formula>
    </cfRule>
  </conditionalFormatting>
  <conditionalFormatting sqref="F31:G32">
    <cfRule type="cellIs" priority="2" operator="lessThan" dxfId="164">
      <formula>1000</formula>
    </cfRule>
  </conditionalFormatting>
  <conditionalFormatting sqref="G12">
    <cfRule type="cellIs" priority="39" operator="greaterThan" dxfId="204">
      <formula>3001</formula>
    </cfRule>
  </conditionalFormatting>
  <conditionalFormatting sqref="H11">
    <cfRule type="expression" priority="41" dxfId="176">
      <formula>((G14-50)/I14)&lt;950</formula>
    </cfRule>
  </conditionalFormatting>
  <conditionalFormatting sqref="H12">
    <cfRule type="expression" priority="40" dxfId="175">
      <formula>((G14-50)/I14)&lt;950</formula>
    </cfRule>
  </conditionalFormatting>
  <conditionalFormatting sqref="H14:H28">
    <cfRule type="cellIs" priority="6" operator="lessThan" dxfId="164">
      <formula>400</formula>
    </cfRule>
  </conditionalFormatting>
  <conditionalFormatting sqref="H31:H32">
    <cfRule type="cellIs" priority="3" operator="lessThan" dxfId="164">
      <formula>400</formula>
    </cfRule>
  </conditionalFormatting>
  <conditionalFormatting sqref="H35">
    <cfRule type="expression" priority="49" dxfId="176">
      <formula>((#REF!-50)/#REF!)&lt;950</formula>
    </cfRule>
  </conditionalFormatting>
  <conditionalFormatting sqref="J14:J32">
    <cfRule type="cellIs" priority="17" operator="greaterThan" dxfId="153">
      <formula>0</formula>
    </cfRule>
  </conditionalFormatting>
  <conditionalFormatting sqref="J38:J48">
    <cfRule type="expression" priority="25" dxfId="153">
      <formula>D38&gt;0</formula>
    </cfRule>
  </conditionalFormatting>
  <conditionalFormatting sqref="J50:J56">
    <cfRule type="expression" priority="30" dxfId="2">
      <formula>#REF!="EURO"</formula>
    </cfRule>
  </conditionalFormatting>
  <conditionalFormatting sqref="K14:K34">
    <cfRule type="cellIs" priority="4" operator="greaterThan" dxfId="141">
      <formula>0</formula>
    </cfRule>
  </conditionalFormatting>
  <conditionalFormatting sqref="K38:K48">
    <cfRule type="cellIs" priority="31" operator="greaterThan" dxfId="141">
      <formula>0</formula>
    </cfRule>
  </conditionalFormatting>
  <conditionalFormatting sqref="K50:K56">
    <cfRule type="expression" priority="26" dxfId="4">
      <formula>$C$9="PLN"</formula>
    </cfRule>
    <cfRule type="expression" priority="27" dxfId="0">
      <formula>$C$9="CZK"</formula>
    </cfRule>
    <cfRule type="expression" priority="28" dxfId="3">
      <formula>$C$9="USD"</formula>
    </cfRule>
    <cfRule type="expression" priority="29" dxfId="2">
      <formula>$C$9="EURO"</formula>
    </cfRule>
  </conditionalFormatting>
  <conditionalFormatting sqref="L14:L34">
    <cfRule type="expression" priority="15" dxfId="116">
      <formula>$D$9&lt;0</formula>
    </cfRule>
    <cfRule type="expression" priority="16" dxfId="115">
      <formula>$D$9&gt;0</formula>
    </cfRule>
  </conditionalFormatting>
  <conditionalFormatting sqref="L38:L48">
    <cfRule type="expression" priority="13" dxfId="116">
      <formula>$D$9&lt;0</formula>
    </cfRule>
    <cfRule type="expression" priority="14" dxfId="115">
      <formula>$D$9&gt;0</formula>
    </cfRule>
  </conditionalFormatting>
  <conditionalFormatting sqref="N9 N12">
    <cfRule type="expression" priority="45" dxfId="4">
      <formula>$C$9="PLN"</formula>
    </cfRule>
    <cfRule type="expression" priority="46" dxfId="0">
      <formula>$C$9="CZK"</formula>
    </cfRule>
    <cfRule type="expression" priority="47" dxfId="3">
      <formula>$C$9="USD"</formula>
    </cfRule>
    <cfRule type="expression" priority="48" dxfId="2">
      <formula>$C$9="EURO"</formula>
    </cfRule>
  </conditionalFormatting>
  <conditionalFormatting sqref="N14:N34">
    <cfRule type="expression" priority="19" dxfId="4">
      <formula>$C$9="PLN"</formula>
    </cfRule>
    <cfRule type="expression" priority="20" dxfId="0">
      <formula>$C$9="CZK"</formula>
    </cfRule>
    <cfRule type="expression" priority="21" dxfId="3">
      <formula>$C$9="USD"</formula>
    </cfRule>
    <cfRule type="expression" priority="22" dxfId="2">
      <formula>$C$9="EURO"</formula>
    </cfRule>
  </conditionalFormatting>
  <conditionalFormatting sqref="N18:N22">
    <cfRule type="cellIs" priority="23" operator="greaterThan" dxfId="5">
      <formula>0</formula>
    </cfRule>
  </conditionalFormatting>
  <conditionalFormatting sqref="N37:N48">
    <cfRule type="expression" priority="8" dxfId="4">
      <formula>$C$9="PLN"</formula>
    </cfRule>
    <cfRule type="expression" priority="9" dxfId="0">
      <formula>$C$9="CZK"</formula>
    </cfRule>
    <cfRule type="expression" priority="10" dxfId="3">
      <formula>$C$9="USD"</formula>
    </cfRule>
    <cfRule type="expression" priority="11" dxfId="2">
      <formula>$C$9="EURO"</formula>
    </cfRule>
  </conditionalFormatting>
  <conditionalFormatting sqref="N14:O34">
    <cfRule type="cellIs" priority="18" operator="greaterThan" dxfId="5">
      <formula>0</formula>
    </cfRule>
  </conditionalFormatting>
  <conditionalFormatting sqref="N38:O48">
    <cfRule type="cellIs" priority="7" operator="greaterThan" dxfId="141">
      <formula>0</formula>
    </cfRule>
  </conditionalFormatting>
  <conditionalFormatting sqref="O14:O22">
    <cfRule type="cellIs" priority="24" operator="greaterThan" dxfId="5">
      <formula>0</formula>
    </cfRule>
  </conditionalFormatting>
  <dataValidations count="3">
    <dataValidation sqref="H36" showDropDown="0" showInputMessage="1" showErrorMessage="1" allowBlank="1" type="list">
      <formula1>#REF!</formula1>
    </dataValidation>
    <dataValidation sqref="F14:F28 F31:F32" showDropDown="0" showInputMessage="1" showErrorMessage="1" allowBlank="1" operator="greaterThan"/>
    <dataValidation sqref="E14:E34" showDropDown="0" showInputMessage="1" showErrorMessage="1" allowBlank="1" type="list">
      <formula1>"0,1,2,3,4,5,6,7,8,9,10,11,12,13,14,15,16,17,18,19,20"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61"/>
  <drawing xmlns:r="http://schemas.openxmlformats.org/officeDocument/2006/relationships" r:id="rId1"/>
</worksheet>
</file>

<file path=xl/worksheets/sheet45.xml><?xml version="1.0" encoding="utf-8"?>
<worksheet xmlns="http://schemas.openxmlformats.org/spreadsheetml/2006/main">
  <sheetPr>
    <tabColor theme="8" tint="0.7999816888943144"/>
    <outlinePr summaryBelow="1" summaryRight="1"/>
    <pageSetUpPr fitToPage="1"/>
  </sheetPr>
  <dimension ref="A1:AB161"/>
  <sheetViews>
    <sheetView showGridLines="0" zoomScale="70" zoomScaleNormal="70" zoomScaleSheetLayoutView="50" workbookViewId="0">
      <selection activeCell="Q35" sqref="Q35"/>
    </sheetView>
  </sheetViews>
  <sheetFormatPr baseColWidth="10" defaultColWidth="8.83203125" defaultRowHeight="15" customHeight="1"/>
  <cols>
    <col width="2" customWidth="1" style="215" min="1" max="2"/>
    <col width="39.5" customWidth="1" style="1070" min="3" max="3"/>
    <col width="39.83203125" customWidth="1" style="1070" min="4" max="4"/>
    <col width="27.1640625" customWidth="1" style="1070" min="5" max="5"/>
    <col width="16.83203125" customWidth="1" style="1070" min="6" max="6"/>
    <col width="15.5" customWidth="1" style="1070" min="7" max="7"/>
    <col width="19.6640625" customWidth="1" style="1070" min="8" max="8"/>
    <col width="10" bestFit="1" customWidth="1" style="1072" min="9" max="9"/>
    <col width="14.83203125" bestFit="1" customWidth="1" style="1073" min="10" max="10"/>
    <col width="17.5" customWidth="1" style="228" min="11" max="11"/>
    <col width="10.5" customWidth="1" style="228" min="12" max="12"/>
    <col hidden="1" width="10.6640625" customWidth="1" style="346" min="13" max="13"/>
    <col width="14.5" bestFit="1" customWidth="1" style="1073" min="14" max="14"/>
    <col width="13.6640625" bestFit="1" customWidth="1" style="14" min="15" max="15"/>
    <col width="8.83203125" customWidth="1" style="1070" min="16" max="17"/>
    <col width="18.6640625" customWidth="1" style="1070" min="18" max="18"/>
    <col width="8.83203125" customWidth="1" style="1070" min="19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0"/>
    <col width="8.83203125" customWidth="1" style="1070" min="101" max="16384"/>
  </cols>
  <sheetData>
    <row r="1" ht="15" customHeight="1" s="1085">
      <c r="C1" s="1148" t="inlineStr">
        <is>
          <t xml:space="preserve">F24-19    EDGE BOX COST SHEET </t>
        </is>
      </c>
      <c r="E1" s="216" t="n"/>
      <c r="F1" s="216" t="n"/>
      <c r="G1" s="216" t="n"/>
      <c r="H1" s="216" t="n"/>
      <c r="I1" s="29" t="n"/>
      <c r="J1" s="336" t="n"/>
      <c r="K1" s="337" t="n"/>
      <c r="L1" s="338" t="n"/>
      <c r="M1" s="339" t="n"/>
      <c r="N1" s="336" t="n"/>
      <c r="O1" s="975" t="inlineStr">
        <is>
          <t>JAN25-19</t>
        </is>
      </c>
      <c r="S1" s="80" t="n"/>
      <c r="T1" s="218" t="n"/>
    </row>
    <row r="2" ht="15" customHeight="1" s="1085">
      <c r="C2" s="79" t="n"/>
      <c r="D2" s="221" t="n"/>
      <c r="E2" s="221" t="n"/>
      <c r="G2" s="79" t="n"/>
      <c r="H2" s="77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C3" s="78" t="inlineStr">
        <is>
          <t>Job No.</t>
        </is>
      </c>
      <c r="D3" s="1130">
        <f>IF(CANOPY!C3="","",CANOPY!C3)</f>
        <v/>
      </c>
      <c r="G3" s="76" t="inlineStr">
        <is>
          <t>Project Name</t>
        </is>
      </c>
      <c r="H3" s="1071">
        <f>IF(CANOPY!G3="","",CANOPY!G3)</f>
        <v/>
      </c>
      <c r="L3" s="342" t="n"/>
      <c r="M3" s="343" t="n"/>
      <c r="N3" s="344" t="n"/>
      <c r="T3" s="225" t="n"/>
    </row>
    <row r="4" ht="15" customHeight="1" s="1085">
      <c r="C4" s="79" t="n"/>
      <c r="D4" s="223" t="n"/>
      <c r="E4" s="223" t="n"/>
      <c r="G4" s="77" t="n"/>
      <c r="H4" s="222" t="n"/>
      <c r="I4" s="227" t="n"/>
      <c r="J4" s="341" t="n"/>
      <c r="L4" s="342" t="n"/>
      <c r="M4" s="343" t="n"/>
      <c r="N4" s="344" t="n"/>
      <c r="T4" s="225" t="n"/>
    </row>
    <row r="5" ht="15" customHeight="1" s="1085">
      <c r="C5" s="78" t="inlineStr">
        <is>
          <t>Customer</t>
        </is>
      </c>
      <c r="D5" s="1074">
        <f>IF(CANOPY!C5="","",CANOPY!C5)</f>
        <v/>
      </c>
      <c r="G5" s="76" t="inlineStr">
        <is>
          <t>Location</t>
        </is>
      </c>
      <c r="H5" s="1071">
        <f>IF(CANOPY!G5="","",CANOPY!G5)</f>
        <v/>
      </c>
      <c r="M5" s="343" t="n"/>
      <c r="N5" s="344" t="n"/>
      <c r="Q5" s="229" t="n"/>
      <c r="R5" s="229" t="n"/>
      <c r="T5" s="225" t="n"/>
      <c r="U5" s="226" t="n"/>
    </row>
    <row r="6" ht="15" customHeight="1" s="1085">
      <c r="C6" s="78" t="n"/>
      <c r="D6" s="230" t="n"/>
      <c r="E6" s="230" t="n"/>
      <c r="G6" s="76" t="n"/>
      <c r="H6" s="222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C7" s="80" t="inlineStr">
        <is>
          <t>Sales Manager / Estimator initials</t>
        </is>
      </c>
      <c r="D7" s="1074">
        <f>IF(CANOPY!C7="","",CANOPY!C7)</f>
        <v/>
      </c>
      <c r="G7" s="76" t="inlineStr">
        <is>
          <t>Date</t>
        </is>
      </c>
      <c r="H7" s="1075">
        <f>IF(CANOPY!G7="","",CANOPY!G7)</f>
        <v/>
      </c>
      <c r="N7" s="347" t="inlineStr">
        <is>
          <t>Revision No</t>
        </is>
      </c>
      <c r="O7" s="900">
        <f>IF(CANOPY!O7="","",CANOPY!O7)</f>
        <v/>
      </c>
      <c r="P7" s="1157" t="inlineStr">
        <is>
          <t>GP SHOULD BE MINIMUM 44%</t>
        </is>
      </c>
      <c r="T7" s="225" t="n"/>
      <c r="U7" s="226" t="n"/>
      <c r="AA7" s="231" t="n"/>
    </row>
    <row r="8" ht="15" customHeight="1" s="1085">
      <c r="E8" s="219" t="n"/>
      <c r="F8" s="219" t="n"/>
      <c r="H8" s="219" t="n"/>
      <c r="J8" s="346" t="n"/>
      <c r="K8" s="14" t="n"/>
      <c r="T8" s="225" t="n"/>
      <c r="AA8" s="231" t="n"/>
    </row>
    <row r="9" ht="15" customFormat="1" customHeight="1" s="80">
      <c r="A9" s="215" t="n"/>
      <c r="B9" s="215" t="n"/>
      <c r="C9" s="38" t="inlineStr">
        <is>
          <t>CURRENCY</t>
        </is>
      </c>
      <c r="D9" s="951" t="n">
        <v>0</v>
      </c>
      <c r="E9" s="377">
        <f>IF(D9=0,0,(SUBTOTAL(9,M14:M48)/(1-D9))-M9)</f>
        <v/>
      </c>
      <c r="I9" s="234" t="n"/>
      <c r="K9" s="25">
        <f>SUBTOTAL(9,K12:K48)</f>
        <v/>
      </c>
      <c r="L9" s="970">
        <f>IF(O9=0,"-",O9/M9)</f>
        <v/>
      </c>
      <c r="M9" s="25">
        <f>SUBTOTAL(9,M12:M48)</f>
        <v/>
      </c>
      <c r="N9" s="464">
        <f>SUBTOTAL(9,N12:N48)</f>
        <v/>
      </c>
      <c r="O9" s="25">
        <f>SUBTOTAL(9,O12:O48)</f>
        <v/>
      </c>
      <c r="P9" s="1070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215" t="n"/>
      <c r="C12" s="1089" t="inlineStr">
        <is>
          <t xml:space="preserve">ITEM </t>
        </is>
      </c>
      <c r="D12" s="236" t="n"/>
      <c r="E12" s="237">
        <f>E14</f>
        <v/>
      </c>
      <c r="F12" s="838" t="n">
        <v>0</v>
      </c>
      <c r="G12" s="838">
        <f>IF(I12&lt;1,0,CEILING((G14-100)/I14,250))</f>
        <v/>
      </c>
      <c r="H12" s="237">
        <f>E12&amp;G12&amp;F12</f>
        <v/>
      </c>
      <c r="I12" s="236">
        <f>IF(F14=0,0,IF(G14=0,0,(F14/(IF(D14="WALL",F14,(F14/2)))*I14)))</f>
        <v/>
      </c>
      <c r="J12" s="238" t="n"/>
      <c r="K12" s="154">
        <f>SUBTOTAL(9,K14:K34)</f>
        <v/>
      </c>
      <c r="L12" s="15">
        <f>IF(K14=0,"-",O12/M12)</f>
        <v/>
      </c>
      <c r="M12" s="154">
        <f>SUBTOTAL(9,M14:M34)</f>
        <v/>
      </c>
      <c r="N12" s="464">
        <f>SUBTOTAL(9,N14:N34)</f>
        <v/>
      </c>
      <c r="O12" s="154">
        <f>SUBTOTAL(9,O14:O34)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LENGTH</t>
        </is>
      </c>
      <c r="G13" s="10" t="inlineStr">
        <is>
          <t>WIDTH</t>
        </is>
      </c>
      <c r="H13" s="10" t="inlineStr">
        <is>
          <t>HEIGHT</t>
        </is>
      </c>
      <c r="I13" s="10" t="inlineStr">
        <is>
          <t>SECTIONS</t>
        </is>
      </c>
      <c r="J13" s="349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A14" s="215" t="n">
        <v>210</v>
      </c>
      <c r="C14" s="791" t="inlineStr">
        <is>
          <t xml:space="preserve">PS-150 TOUCH SCREEN </t>
        </is>
      </c>
      <c r="D14" s="460" t="inlineStr">
        <is>
          <t>TOUCH SCREEN REMOTE BOX - METAL</t>
        </is>
      </c>
      <c r="E14" s="448" t="n"/>
      <c r="F14" s="837" t="n">
        <v>300</v>
      </c>
      <c r="G14" s="835" t="n">
        <v>95</v>
      </c>
      <c r="H14" s="896" t="n">
        <v>250</v>
      </c>
      <c r="I14" s="31" t="n"/>
      <c r="J14" s="380" t="n">
        <v>419.97</v>
      </c>
      <c r="K14" s="378">
        <f>SUM(J14*E14)</f>
        <v/>
      </c>
      <c r="L14" s="392" t="n">
        <v>0.35</v>
      </c>
      <c r="M14" s="311">
        <f>(K14/(1-L14))*(1+$D$9)</f>
        <v/>
      </c>
      <c r="N14" s="378">
        <f>(M14*VLOOKUP($C$9,'Base Costs'!$A$32:$B$37,2,FALSE))</f>
        <v/>
      </c>
      <c r="O14" s="379">
        <f>M14-K14</f>
        <v/>
      </c>
      <c r="U14" s="229" t="n"/>
      <c r="AA14" s="1070" t="n"/>
    </row>
    <row r="15" ht="15" customHeight="1" s="1085">
      <c r="A15" s="215" t="n">
        <v>104</v>
      </c>
      <c r="C15" s="855" t="inlineStr">
        <is>
          <t>PS-152 EDGE BOX</t>
        </is>
      </c>
      <c r="D15" s="460" t="inlineStr">
        <is>
          <t>PEU/AEU/HOODS (Staged Alarms)</t>
        </is>
      </c>
      <c r="E15" s="448" t="n"/>
      <c r="F15" s="895" t="n">
        <v>380</v>
      </c>
      <c r="G15" s="835" t="n">
        <v>300</v>
      </c>
      <c r="H15" s="896" t="n">
        <v>180</v>
      </c>
      <c r="I15" s="31" t="n"/>
      <c r="J15" s="380" t="n">
        <v>1030.52</v>
      </c>
      <c r="K15" s="378">
        <f>SUM(J15*E15)</f>
        <v/>
      </c>
      <c r="L15" s="392" t="n">
        <v>0.35</v>
      </c>
      <c r="M15" s="311">
        <f>(K15/(1-L15))*(1+$D$9)</f>
        <v/>
      </c>
      <c r="N15" s="378">
        <f>(M15*VLOOKUP($C$9,'Base Costs'!$A$32:$B$37,2,FALSE))</f>
        <v/>
      </c>
      <c r="O15" s="379">
        <f>M15-K15</f>
        <v/>
      </c>
      <c r="U15" s="229" t="n"/>
      <c r="AA15" s="1070" t="n"/>
    </row>
    <row r="16" ht="15" customHeight="1" s="1085">
      <c r="A16" s="215" t="n">
        <v>234</v>
      </c>
      <c r="C16" s="855" t="inlineStr">
        <is>
          <t>PS-153 EDGE BOX</t>
        </is>
      </c>
      <c r="D16" s="460" t="inlineStr">
        <is>
          <t>PEU/HOODS (Staged Alarms)</t>
        </is>
      </c>
      <c r="E16" s="461" t="n"/>
      <c r="F16" s="895" t="n">
        <v>380</v>
      </c>
      <c r="G16" s="835" t="n">
        <v>300</v>
      </c>
      <c r="H16" s="896" t="n">
        <v>180</v>
      </c>
      <c r="I16" s="31" t="n"/>
      <c r="J16" s="380" t="n">
        <v>690.16</v>
      </c>
      <c r="K16" s="378">
        <f>SUM(J16*E16)</f>
        <v/>
      </c>
      <c r="L16" s="392" t="n">
        <v>0.35</v>
      </c>
      <c r="M16" s="311">
        <f>(K16/(1-L16))*(1+$D$9)</f>
        <v/>
      </c>
      <c r="N16" s="378">
        <f>(M16*VLOOKUP($C$9,'Base Costs'!$A$32:$B$37,2,FALSE))</f>
        <v/>
      </c>
      <c r="O16" s="379">
        <f>M16-K16</f>
        <v/>
      </c>
      <c r="U16" s="229" t="n"/>
      <c r="AA16" s="1070" t="n"/>
    </row>
    <row r="17" ht="15" customHeight="1" s="1085">
      <c r="C17" s="855" t="inlineStr">
        <is>
          <t>PS-154 EDGE BOX</t>
        </is>
      </c>
      <c r="D17" s="460" t="inlineStr">
        <is>
          <t>PEU/MRV/HOODS (Staged Alarms)</t>
        </is>
      </c>
      <c r="E17" s="448" t="n"/>
      <c r="F17" s="895" t="n">
        <v>380</v>
      </c>
      <c r="G17" s="895" t="n">
        <v>300</v>
      </c>
      <c r="H17" s="896" t="n">
        <v>180</v>
      </c>
      <c r="I17" s="31" t="n"/>
      <c r="J17" s="380" t="n">
        <v>894.01</v>
      </c>
      <c r="K17" s="378">
        <f>SUM(J17*E17)</f>
        <v/>
      </c>
      <c r="L17" s="392" t="n">
        <v>0.35</v>
      </c>
      <c r="M17" s="311">
        <f>(K17/(1-L17))*(1+$D$9)</f>
        <v/>
      </c>
      <c r="N17" s="378">
        <f>(M17*VLOOKUP($C$9,'Base Costs'!$A$32:$B$37,2,FALSE))</f>
        <v/>
      </c>
      <c r="O17" s="379">
        <f>M17-K17</f>
        <v/>
      </c>
      <c r="U17" s="229" t="n"/>
      <c r="AA17" s="1070" t="n"/>
    </row>
    <row r="18" ht="15" customHeight="1" s="1085">
      <c r="C18" s="855" t="inlineStr">
        <is>
          <t>PS-155 EDGE BOX</t>
        </is>
      </c>
      <c r="D18" s="460" t="inlineStr">
        <is>
          <t>PEU/AEU/ MRV/HOOD (No Staged Alarms)</t>
        </is>
      </c>
      <c r="E18" s="448" t="n"/>
      <c r="F18" s="895" t="n">
        <v>380</v>
      </c>
      <c r="G18" s="895" t="n">
        <v>300</v>
      </c>
      <c r="H18" s="896" t="n">
        <v>180</v>
      </c>
      <c r="I18" s="31" t="n"/>
      <c r="J18" s="380" t="n">
        <v>1039.58</v>
      </c>
      <c r="K18" s="378">
        <f>SUM(J18*E18)</f>
        <v/>
      </c>
      <c r="L18" s="392" t="n">
        <v>0.35</v>
      </c>
      <c r="M18" s="311">
        <f>(K18/(1-L18))*(1+$D$9)</f>
        <v/>
      </c>
      <c r="N18" s="378">
        <f>(M18*VLOOKUP($C$9,'Base Costs'!$A$32:$B$37,2,FALSE))</f>
        <v/>
      </c>
      <c r="O18" s="379">
        <f>M18-K18</f>
        <v/>
      </c>
      <c r="U18" s="229" t="n"/>
      <c r="AA18" s="1070" t="n"/>
    </row>
    <row r="19" ht="15" customHeight="1" s="1085">
      <c r="C19" s="855" t="n"/>
      <c r="D19" s="460" t="n"/>
      <c r="E19" s="448" t="n"/>
      <c r="F19" s="895" t="n"/>
      <c r="G19" s="895" t="n"/>
      <c r="H19" s="896" t="n"/>
      <c r="I19" s="31" t="n"/>
      <c r="J19" s="380" t="n"/>
      <c r="K19" s="378" t="n"/>
      <c r="L19" s="392" t="n"/>
      <c r="M19" s="311" t="n"/>
      <c r="N19" s="378" t="n"/>
      <c r="O19" s="379" t="n"/>
      <c r="U19" s="229" t="n"/>
      <c r="AA19" s="1070" t="n"/>
    </row>
    <row r="20" ht="15" customHeight="1" s="1085">
      <c r="C20" s="791" t="inlineStr">
        <is>
          <t>RCL-329 LPC-3 GOT.112 (CANOPY CONTROL)</t>
        </is>
      </c>
      <c r="D20" s="1065" t="inlineStr">
        <is>
          <t>GOT Panel Comp for UV-c (24 Sections Max)</t>
        </is>
      </c>
      <c r="E20" s="448" t="n"/>
      <c r="F20" s="895" t="n">
        <v>160</v>
      </c>
      <c r="G20" s="895" t="n">
        <v>34</v>
      </c>
      <c r="H20" s="896" t="n">
        <v>106</v>
      </c>
      <c r="I20" s="31" t="n"/>
      <c r="J20" s="380" t="n">
        <v>336.21</v>
      </c>
      <c r="K20" s="378">
        <f>SUM(J20*E20)</f>
        <v/>
      </c>
      <c r="L20" s="392" t="n">
        <v>0.35</v>
      </c>
      <c r="M20" s="311">
        <f>(K20/(1-L20))*(1+$D$9)</f>
        <v/>
      </c>
      <c r="N20" s="378">
        <f>(M20*VLOOKUP($C$9,'Base Costs'!$A$32:$B$37,2,FALSE))</f>
        <v/>
      </c>
      <c r="O20" s="379">
        <f>M20-K20</f>
        <v/>
      </c>
      <c r="U20" s="229" t="n"/>
      <c r="AA20" s="1070" t="n"/>
    </row>
    <row r="21" ht="15" customHeight="1" s="1085">
      <c r="C21" s="791" t="inlineStr">
        <is>
          <t>RCL-342 GOT-112 WALL BOX</t>
        </is>
      </c>
      <c r="D21" s="460" t="inlineStr">
        <is>
          <t>Remote Mounting box if Required</t>
        </is>
      </c>
      <c r="E21" s="448" t="n"/>
      <c r="F21" s="895" t="n">
        <v>270</v>
      </c>
      <c r="G21" s="895" t="n">
        <v>200</v>
      </c>
      <c r="H21" s="896" t="n">
        <v>150</v>
      </c>
      <c r="I21" s="31" t="n"/>
      <c r="J21" s="380" t="n">
        <v>82</v>
      </c>
      <c r="K21" s="378">
        <f>SUM(J21*E21)</f>
        <v/>
      </c>
      <c r="L21" s="392" t="n">
        <v>0.35</v>
      </c>
      <c r="M21" s="311">
        <f>(K21/(1-L21))*(1+$D$9)</f>
        <v/>
      </c>
      <c r="N21" s="378">
        <f>(M21*VLOOKUP($C$9,'Base Costs'!$A$32:$B$37,2,FALSE))</f>
        <v/>
      </c>
      <c r="O21" s="379">
        <f>M21-K21</f>
        <v/>
      </c>
      <c r="U21" s="229" t="n"/>
      <c r="AA21" s="1070" t="n"/>
    </row>
    <row r="22" ht="15" customHeight="1" s="1085">
      <c r="C22" s="270" t="inlineStr">
        <is>
          <t>RCL-280 STAGED ALARM BOX</t>
        </is>
      </c>
      <c r="D22" s="460" t="inlineStr">
        <is>
          <t>MU5 CONTROLLER BOX</t>
        </is>
      </c>
      <c r="E22" s="448" t="n"/>
      <c r="F22" s="895" t="n">
        <v>179</v>
      </c>
      <c r="G22" s="895" t="n">
        <v>129</v>
      </c>
      <c r="H22" s="896" t="n">
        <v>100</v>
      </c>
      <c r="I22" s="31" t="n"/>
      <c r="J22" s="380" t="n">
        <v>212.86</v>
      </c>
      <c r="K22" s="378">
        <f>SUM(J22*E22)</f>
        <v/>
      </c>
      <c r="L22" s="392" t="n">
        <v>0.35</v>
      </c>
      <c r="M22" s="311">
        <f>(K22/(1-L22))*(1+$D$9)</f>
        <v/>
      </c>
      <c r="N22" s="378">
        <f>(M22*VLOOKUP($C$9,'Base Costs'!$A$32:$B$37,2,FALSE))</f>
        <v/>
      </c>
      <c r="O22" s="379">
        <f>M22-K22</f>
        <v/>
      </c>
      <c r="P22" s="1064" t="inlineStr">
        <is>
          <t xml:space="preserve">Add if Alarms requested for a GOT panel </t>
        </is>
      </c>
      <c r="U22" s="229" t="n"/>
      <c r="AA22" s="1070" t="n"/>
    </row>
    <row r="23" ht="15" customHeight="1" s="1085">
      <c r="A23" s="215" t="n">
        <v>289</v>
      </c>
      <c r="C23" s="270" t="n"/>
      <c r="D23" s="460" t="n"/>
      <c r="E23" s="448" t="n"/>
      <c r="F23" s="895" t="n"/>
      <c r="G23" s="895" t="n"/>
      <c r="H23" s="896" t="n"/>
      <c r="I23" s="31" t="n"/>
      <c r="J23" s="380" t="n"/>
      <c r="K23" s="378">
        <f>SUM(J23*E23)</f>
        <v/>
      </c>
      <c r="L23" s="392" t="n"/>
      <c r="M23" s="311">
        <f>(K23/(1-L23))*(1+$D$9)</f>
        <v/>
      </c>
      <c r="N23" s="378">
        <f>(M23*VLOOKUP($C$9,'Base Costs'!$A$32:$B$37,2,FALSE))</f>
        <v/>
      </c>
      <c r="O23" s="379">
        <f>M23-K23</f>
        <v/>
      </c>
      <c r="U23" s="229" t="n"/>
      <c r="AA23" s="1070" t="n"/>
    </row>
    <row r="24" ht="15" customHeight="1" s="1085">
      <c r="A24" s="215" t="n">
        <v>242</v>
      </c>
      <c r="C24" s="270" t="inlineStr">
        <is>
          <t xml:space="preserve">PS-160 EXTERNAL AERIAL </t>
        </is>
      </c>
      <c r="D24" s="460" t="inlineStr">
        <is>
          <t>EXTERNAL AERIAL BOX</t>
        </is>
      </c>
      <c r="E24" s="448" t="n"/>
      <c r="F24" s="895" t="n">
        <v>250</v>
      </c>
      <c r="G24" s="895" t="n">
        <v>175</v>
      </c>
      <c r="H24" s="896" t="n">
        <v>100</v>
      </c>
      <c r="I24" s="31" t="n"/>
      <c r="J24" s="380" t="n">
        <v>100.91</v>
      </c>
      <c r="K24" s="378">
        <f>SUM(J24*E24)</f>
        <v/>
      </c>
      <c r="L24" s="392" t="n">
        <v>0.35</v>
      </c>
      <c r="M24" s="311">
        <f>(K24/(1-L24))*(1+$D$9)</f>
        <v/>
      </c>
      <c r="N24" s="378">
        <f>(M24*VLOOKUP($C$9,'Base Costs'!$A$32:$B$37,2,FALSE))</f>
        <v/>
      </c>
      <c r="O24" s="379">
        <f>M24-K24</f>
        <v/>
      </c>
      <c r="U24" s="229" t="n"/>
      <c r="AA24" s="1070" t="n"/>
    </row>
    <row r="25" ht="15" customHeight="1" s="1085">
      <c r="A25" s="215" t="n">
        <v>220</v>
      </c>
      <c r="C25" s="855" t="inlineStr">
        <is>
          <t xml:space="preserve">PS-156 EDGE BOX REMOTE ROUTER (UV-GOT)  </t>
        </is>
      </c>
      <c r="D25" s="1066" t="inlineStr">
        <is>
          <t>EXTERNAL ROUTER</t>
        </is>
      </c>
      <c r="E25" s="448" t="n"/>
      <c r="F25" s="837" t="n">
        <v>250</v>
      </c>
      <c r="G25" s="895" t="n">
        <v>175</v>
      </c>
      <c r="H25" s="896" t="n">
        <v>100</v>
      </c>
      <c r="I25" s="31" t="n"/>
      <c r="J25" s="380" t="n">
        <v>484.58</v>
      </c>
      <c r="K25" s="378">
        <f>SUM(J25*E25)</f>
        <v/>
      </c>
      <c r="L25" s="392" t="n">
        <v>0.35</v>
      </c>
      <c r="M25" s="311">
        <f>(K25/(1-L25))*(1+$D$9)</f>
        <v/>
      </c>
      <c r="N25" s="378">
        <f>(M25*VLOOKUP($C$9,'Base Costs'!$A$32:$B$37,2,FALSE))</f>
        <v/>
      </c>
      <c r="O25" s="379">
        <f>M25-K25</f>
        <v/>
      </c>
      <c r="U25" s="229" t="n"/>
      <c r="AA25" s="1070" t="n"/>
    </row>
    <row r="26" ht="15" customHeight="1" s="1085">
      <c r="A26" s="215" t="n">
        <v>103</v>
      </c>
      <c r="C26" s="855" t="n"/>
      <c r="D26" s="460" t="n"/>
      <c r="E26" s="448" t="n"/>
      <c r="F26" s="837" t="n"/>
      <c r="G26" s="895" t="n"/>
      <c r="H26" s="896" t="n"/>
      <c r="I26" s="31" t="n"/>
      <c r="J26" s="380" t="n"/>
      <c r="K26" s="378">
        <f>SUM(J26*E26)</f>
        <v/>
      </c>
      <c r="L26" s="392" t="n"/>
      <c r="M26" s="311">
        <f>(K26/(1-L26))*(1+$D$9)</f>
        <v/>
      </c>
      <c r="N26" s="378">
        <f>(M26*VLOOKUP($C$9,'Base Costs'!$A$32:$B$37,2,FALSE))</f>
        <v/>
      </c>
      <c r="O26" s="379">
        <f>M26-K26</f>
        <v/>
      </c>
      <c r="U26" s="229" t="n"/>
      <c r="AA26" s="1070" t="n"/>
    </row>
    <row r="27" ht="15" customHeight="1" s="1085">
      <c r="A27" s="215" t="n">
        <v>103</v>
      </c>
      <c r="C27" s="855" t="inlineStr">
        <is>
          <t>CONNECTIVITY PS-153/152/154/155</t>
        </is>
      </c>
      <c r="D27" s="921" t="inlineStr">
        <is>
          <t xml:space="preserve"> NOT INCLUDED IN THE ABOVE</t>
        </is>
      </c>
      <c r="E27" s="448" t="n"/>
      <c r="F27" s="837" t="n"/>
      <c r="G27" s="895" t="n"/>
      <c r="H27" s="896" t="n"/>
      <c r="I27" s="31" t="n"/>
      <c r="J27" s="380" t="n">
        <v>522.38</v>
      </c>
      <c r="K27" s="378">
        <f>SUM(J27*E27)</f>
        <v/>
      </c>
      <c r="L27" s="392" t="n">
        <v>0.35</v>
      </c>
      <c r="M27" s="311">
        <f>(K27/(1-L27))*(1+$D$9)</f>
        <v/>
      </c>
      <c r="N27" s="378">
        <f>(M27*VLOOKUP($C$9,'Base Costs'!$A$32:$B$37,2,FALSE))</f>
        <v/>
      </c>
      <c r="O27" s="379">
        <f>M27-K27</f>
        <v/>
      </c>
      <c r="P27" s="990" t="inlineStr">
        <is>
          <t>EDGE UP2 Plus First Year Connectivity Fee from Group</t>
        </is>
      </c>
      <c r="U27" s="229" t="n"/>
      <c r="AA27" s="1070" t="n"/>
    </row>
    <row r="28" ht="15" customHeight="1" s="1085">
      <c r="C28" s="855" t="inlineStr">
        <is>
          <t>CONNECTIVITY  (UV-GOT)</t>
        </is>
      </c>
      <c r="D28" s="1067" t="inlineStr">
        <is>
          <t xml:space="preserve"> NOT INCLUDED IN THE ABOVE</t>
        </is>
      </c>
      <c r="E28" s="448" t="n"/>
      <c r="F28" s="895" t="n"/>
      <c r="G28" s="895" t="n"/>
      <c r="H28" s="896" t="n"/>
      <c r="I28" s="31" t="n"/>
      <c r="J28" s="380" t="n">
        <v>130</v>
      </c>
      <c r="K28" s="378">
        <f>SUM(J28*E28)</f>
        <v/>
      </c>
      <c r="L28" s="392" t="n">
        <v>0.35</v>
      </c>
      <c r="M28" s="311">
        <f>(K28/(1-L28))*(1+$D$9)</f>
        <v/>
      </c>
      <c r="N28" s="378">
        <f>(M28*VLOOKUP($C$9,'Base Costs'!$A$32:$B$37,2,FALSE))</f>
        <v/>
      </c>
      <c r="O28" s="379">
        <f>M28-K28</f>
        <v/>
      </c>
      <c r="P28" s="990" t="inlineStr">
        <is>
          <t>First Year Connectivity Fee from Group</t>
        </is>
      </c>
      <c r="U28" s="229" t="n"/>
      <c r="AA28" s="1070" t="n"/>
    </row>
    <row r="29" ht="15" customHeight="1" s="1085">
      <c r="A29" s="215" t="n">
        <v>285</v>
      </c>
      <c r="C29" s="855" t="n"/>
      <c r="D29" s="460" t="n"/>
      <c r="E29" s="448" t="n"/>
      <c r="F29" s="898" t="n"/>
      <c r="G29" s="898" t="n"/>
      <c r="H29" s="899" t="n"/>
      <c r="I29" s="31" t="n"/>
      <c r="J29" s="380" t="n"/>
      <c r="K29" s="378">
        <f>SUM(J29*E29)</f>
        <v/>
      </c>
      <c r="L29" s="392" t="n"/>
      <c r="M29" s="311">
        <f>(K29/(1-L29))*(1+$D$9)</f>
        <v/>
      </c>
      <c r="N29" s="378">
        <f>(M29*VLOOKUP($C$9,'Base Costs'!$A$32:$B$37,2,FALSE))</f>
        <v/>
      </c>
      <c r="O29" s="379">
        <f>M29-K29</f>
        <v/>
      </c>
      <c r="U29" s="229" t="n"/>
      <c r="AA29" s="1070" t="n"/>
    </row>
    <row r="30" ht="15" customHeight="1" s="1085">
      <c r="C30" s="855" t="n"/>
      <c r="D30" s="460" t="n"/>
      <c r="E30" s="448" t="n"/>
      <c r="F30" s="898" t="n"/>
      <c r="G30" s="898" t="n"/>
      <c r="H30" s="899" t="n"/>
      <c r="I30" s="31" t="n"/>
      <c r="J30" s="380" t="n"/>
      <c r="K30" s="378">
        <f>SUM(J30*E30)</f>
        <v/>
      </c>
      <c r="L30" s="392" t="n"/>
      <c r="M30" s="311">
        <f>(K30/(1-L30))*(1+$D$9)</f>
        <v/>
      </c>
      <c r="N30" s="378">
        <f>(M30*VLOOKUP($C$9,'Base Costs'!$A$32:$B$37,2,FALSE))</f>
        <v/>
      </c>
      <c r="O30" s="379">
        <f>M30-K30</f>
        <v/>
      </c>
      <c r="U30" s="229" t="n"/>
      <c r="AA30" s="1070" t="n"/>
    </row>
    <row r="31" ht="15" customHeight="1" s="1085">
      <c r="C31" s="269" t="n"/>
      <c r="D31" s="460" t="n"/>
      <c r="E31" s="448" t="n"/>
      <c r="F31" s="895" t="n"/>
      <c r="G31" s="895" t="n"/>
      <c r="H31" s="896" t="n"/>
      <c r="I31" s="31" t="n"/>
      <c r="J31" s="380" t="n">
        <v>0</v>
      </c>
      <c r="K31" s="378">
        <f>SUM(J31*E31)</f>
        <v/>
      </c>
      <c r="L31" s="392" t="n"/>
      <c r="M31" s="311">
        <f>(K31/(1-L31))*(1+$D$9)</f>
        <v/>
      </c>
      <c r="N31" s="378">
        <f>(M31*VLOOKUP($C$9,'Base Costs'!$A$32:$B$37,2,FALSE))</f>
        <v/>
      </c>
      <c r="O31" s="379">
        <f>M31-K31</f>
        <v/>
      </c>
      <c r="U31" s="229" t="n"/>
      <c r="AA31" s="1070" t="n"/>
    </row>
    <row r="32" ht="15" customHeight="1" s="1085">
      <c r="A32" s="215" t="n">
        <v>286</v>
      </c>
      <c r="C32" s="270" t="n"/>
      <c r="D32" s="460" t="n"/>
      <c r="E32" s="448" t="n"/>
      <c r="F32" s="895" t="n"/>
      <c r="G32" s="895" t="n"/>
      <c r="H32" s="896" t="n"/>
      <c r="I32" s="31" t="n"/>
      <c r="J32" s="380" t="n">
        <v>0</v>
      </c>
      <c r="K32" s="378">
        <f>SUM(J32*E32)</f>
        <v/>
      </c>
      <c r="L32" s="392" t="n"/>
      <c r="M32" s="311">
        <f>(K32/(1-L32))*(1+$D$9)</f>
        <v/>
      </c>
      <c r="N32" s="378">
        <f>(M32*VLOOKUP($C$9,'Base Costs'!$A$32:$B$37,2,FALSE))</f>
        <v/>
      </c>
      <c r="O32" s="379">
        <f>M32-K32</f>
        <v/>
      </c>
      <c r="U32" s="229" t="n"/>
      <c r="AA32" s="1070" t="n"/>
    </row>
    <row r="33" ht="15" customHeight="1" s="1085">
      <c r="C33" s="269" t="n"/>
      <c r="D33" s="460" t="n"/>
      <c r="E33" s="448" t="n"/>
      <c r="F33" s="462" t="n"/>
      <c r="G33" s="32" t="n"/>
      <c r="H33" s="30" t="n"/>
      <c r="I33" s="31" t="n"/>
      <c r="J33" s="933" t="n"/>
      <c r="K33" s="378">
        <f>SUM(J33*E33)</f>
        <v/>
      </c>
      <c r="L33" s="392" t="n"/>
      <c r="M33" s="311">
        <f>(K33/(1-L33))*(1+$D$9)</f>
        <v/>
      </c>
      <c r="N33" s="378">
        <f>(M33*VLOOKUP($C$9,'Base Costs'!$A$32:$B$37,2,FALSE))</f>
        <v/>
      </c>
      <c r="O33" s="379">
        <f>M33-K33</f>
        <v/>
      </c>
      <c r="U33" s="229" t="n"/>
      <c r="AA33" s="1070" t="n"/>
    </row>
    <row r="34" ht="15" customHeight="1" s="1085">
      <c r="C34" s="855" t="n"/>
      <c r="D34" s="460" t="n"/>
      <c r="E34" s="448" t="n"/>
      <c r="F34" s="462" t="n"/>
      <c r="G34" s="32" t="n"/>
      <c r="H34" s="30" t="n"/>
      <c r="I34" s="31" t="n"/>
      <c r="J34" s="933" t="n"/>
      <c r="K34" s="378">
        <f>SUM(J34*E34)</f>
        <v/>
      </c>
      <c r="L34" s="392" t="n"/>
      <c r="M34" s="311">
        <f>(K34/(1-L34))*(1+$D$9)</f>
        <v/>
      </c>
      <c r="N34" s="378">
        <f>(M34*VLOOKUP($C$9,'Base Costs'!$A$32:$B$37,2,FALSE))</f>
        <v/>
      </c>
      <c r="O34" s="379">
        <f>M34-K34</f>
        <v/>
      </c>
      <c r="U34" s="229" t="n"/>
      <c r="AA34" s="1070" t="n"/>
    </row>
    <row r="35" ht="15" customHeight="1" s="1085">
      <c r="H35" s="34" t="inlineStr">
        <is>
          <t>SECTION UNDER 1000mm</t>
        </is>
      </c>
    </row>
    <row r="36" ht="15" customHeight="1" s="1085">
      <c r="C36" s="239" t="n"/>
      <c r="D36" s="239" t="n"/>
      <c r="E36" s="239" t="n"/>
      <c r="F36" s="239" t="n"/>
      <c r="G36" s="239" t="n"/>
      <c r="H36" s="239" t="n"/>
      <c r="I36" s="9" t="n"/>
      <c r="J36" s="11" t="n"/>
      <c r="K36" s="353" t="n"/>
      <c r="L36" s="240" t="n"/>
      <c r="M36" s="353" t="n"/>
      <c r="N36" s="353" t="n"/>
      <c r="U36" s="229" t="n"/>
      <c r="AA36" s="1070" t="n"/>
    </row>
    <row r="37" ht="15" customHeight="1" s="1085">
      <c r="C37" s="1089" t="inlineStr">
        <is>
          <t xml:space="preserve">DELIVERY &amp; INSTALLATION </t>
        </is>
      </c>
      <c r="I37" s="236" t="n"/>
      <c r="J37" s="330" t="n"/>
      <c r="K37" s="154">
        <f>SUBTOTAL(9,K38:K48)</f>
        <v/>
      </c>
      <c r="L37" s="15">
        <f>IF(K38=0,"-",O37/M37)</f>
        <v/>
      </c>
      <c r="M37" s="154">
        <f>SUBTOTAL(9,M38:M48)</f>
        <v/>
      </c>
      <c r="N37" s="464">
        <f>SUBTOTAL(9,N38:N48)</f>
        <v/>
      </c>
      <c r="O37" s="154">
        <f>SUBTOTAL(9,O39:O48)</f>
        <v/>
      </c>
      <c r="U37" s="229" t="n"/>
    </row>
    <row r="38" ht="15" customHeight="1" s="1085">
      <c r="A38" s="215" t="n">
        <v>222</v>
      </c>
      <c r="C38" s="269" t="inlineStr">
        <is>
          <t xml:space="preserve">DELIVERIES </t>
        </is>
      </c>
      <c r="D38" s="242" t="n"/>
      <c r="E38" s="309" t="inlineStr">
        <is>
          <t>SELECT LOCATION…</t>
        </is>
      </c>
      <c r="F38" s="28" t="n"/>
      <c r="G38" s="30" t="n"/>
      <c r="H38" s="28" t="n"/>
      <c r="I38" s="28" t="n"/>
      <c r="J38" s="385">
        <f>VLOOKUP(E38,'Base Costs'!E4:G213,2,FALSE)</f>
        <v/>
      </c>
      <c r="K38" s="378">
        <f>D38*J38</f>
        <v/>
      </c>
      <c r="L38" s="392" t="n">
        <v>0.33</v>
      </c>
      <c r="M38" s="311">
        <f>(K38/(1-L38))*(1+$D$9)</f>
        <v/>
      </c>
      <c r="N38" s="378">
        <f>(M38*VLOOKUP($C$9,'Base Costs'!$A$32:$B$37,2,FALSE))</f>
        <v/>
      </c>
      <c r="O38" s="379">
        <f>M38-K38</f>
        <v/>
      </c>
      <c r="U38" s="229" t="n"/>
    </row>
    <row r="39" ht="15" customHeight="1" s="1085">
      <c r="A39" s="215" t="n">
        <v>257</v>
      </c>
      <c r="C39" s="269" t="inlineStr">
        <is>
          <t>PLANT HIRE</t>
        </is>
      </c>
      <c r="D39" s="242" t="n"/>
      <c r="E39" s="309" t="inlineStr">
        <is>
          <t>PLANT SELECTION (weekly)</t>
        </is>
      </c>
      <c r="F39" s="28" t="n"/>
      <c r="G39" s="28" t="n"/>
      <c r="H39" s="28" t="n"/>
      <c r="I39" s="28" t="n"/>
      <c r="J39" s="385">
        <f>VLOOKUP(E39,'Base Costs'!$A$4:$B$16,2,FALSE)</f>
        <v/>
      </c>
      <c r="K39" s="378">
        <f>D39*J39</f>
        <v/>
      </c>
      <c r="L39" s="392" t="n">
        <v>0.33</v>
      </c>
      <c r="M39" s="311">
        <f>(K39/(1-L39))*(1+$D$9)</f>
        <v/>
      </c>
      <c r="N39" s="378">
        <f>(M39*VLOOKUP($C$9,'Base Costs'!$A$32:$B$37,2,FALSE))</f>
        <v/>
      </c>
      <c r="O39" s="379">
        <f>M39-K39</f>
        <v/>
      </c>
      <c r="U39" s="229" t="n"/>
    </row>
    <row r="40" ht="15" customHeight="1" s="1085">
      <c r="A40" s="215" t="n">
        <v>257</v>
      </c>
      <c r="C40" s="269" t="inlineStr">
        <is>
          <t>PLANT HIRE</t>
        </is>
      </c>
      <c r="D40" s="242" t="n"/>
      <c r="E40" s="309" t="inlineStr">
        <is>
          <t>PLANT SELECTION (weekly)</t>
        </is>
      </c>
      <c r="F40" s="28" t="n"/>
      <c r="G40" s="28" t="n"/>
      <c r="H40" s="28" t="n"/>
      <c r="I40" s="28" t="n"/>
      <c r="J40" s="385">
        <f>VLOOKUP(E40,'Base Costs'!$A$4:$B$16,2,FALSE)</f>
        <v/>
      </c>
      <c r="K40" s="378">
        <f>D40*J40</f>
        <v/>
      </c>
      <c r="L40" s="392" t="n">
        <v>0.33</v>
      </c>
      <c r="M40" s="311">
        <f>(K40/(1-L40))*(1+$D$9)</f>
        <v/>
      </c>
      <c r="N40" s="378">
        <f>(M40*VLOOKUP($C$9,'Base Costs'!$A$32:$B$37,2,FALSE))</f>
        <v/>
      </c>
      <c r="O40" s="379">
        <f>M40-K40</f>
        <v/>
      </c>
      <c r="U40" s="229" t="n"/>
    </row>
    <row r="41" ht="15" customHeight="1" s="1085">
      <c r="A41" s="215" t="n">
        <v>400</v>
      </c>
      <c r="C41" s="269" t="inlineStr">
        <is>
          <t>STRIP OUT</t>
        </is>
      </c>
      <c r="D41" s="242" t="n"/>
      <c r="E41" s="28" t="inlineStr">
        <is>
          <t>PER DAY</t>
        </is>
      </c>
      <c r="F41" s="28" t="n"/>
      <c r="G41" s="28" t="n"/>
      <c r="H41" s="28" t="n"/>
      <c r="I41" s="28" t="n"/>
      <c r="J41" s="385" t="n">
        <v>450</v>
      </c>
      <c r="K41" s="378">
        <f>D41*J41</f>
        <v/>
      </c>
      <c r="L41" s="392" t="n">
        <v>0.33</v>
      </c>
      <c r="M41" s="311">
        <f>(K41/(1-L41))*(1+$D$9)</f>
        <v/>
      </c>
      <c r="N41" s="378">
        <f>(M41*VLOOKUP($C$9,'Base Costs'!$A$32:$B$37,2,FALSE))</f>
        <v/>
      </c>
      <c r="O41" s="379">
        <f>M41-K41</f>
        <v/>
      </c>
      <c r="U41" s="229" t="n"/>
    </row>
    <row r="42" ht="15" customHeight="1" s="1085">
      <c r="A42" s="215" t="n">
        <v>102</v>
      </c>
      <c r="C42" s="269" t="inlineStr">
        <is>
          <t xml:space="preserve">CONSUMABLES </t>
        </is>
      </c>
      <c r="D42" s="242" t="n">
        <v>1</v>
      </c>
      <c r="E42" s="28" t="inlineStr">
        <is>
          <t>ON SITE FIXINGS</t>
        </is>
      </c>
      <c r="F42" s="28" t="n"/>
      <c r="G42" s="28" t="n"/>
      <c r="H42" s="28" t="n"/>
      <c r="I42" s="28" t="n"/>
      <c r="J42" s="385" t="n">
        <v>15</v>
      </c>
      <c r="K42" s="378">
        <f>D42*J42</f>
        <v/>
      </c>
      <c r="L42" s="392" t="n">
        <v>0.33</v>
      </c>
      <c r="M42" s="311">
        <f>(K42/(1-L42))*(1+$D$9)</f>
        <v/>
      </c>
      <c r="N42" s="378">
        <f>(M42*VLOOKUP($C$9,'Base Costs'!$A$32:$B$37,2,FALSE))</f>
        <v/>
      </c>
      <c r="O42" s="379">
        <f>M42-K42</f>
        <v/>
      </c>
      <c r="U42" s="229" t="n"/>
    </row>
    <row r="43" ht="15" customHeight="1" s="1085">
      <c r="A43" s="215" t="n">
        <v>400</v>
      </c>
      <c r="C43" s="269" t="inlineStr">
        <is>
          <t>INSTALLATION NORMAL HOURS</t>
        </is>
      </c>
      <c r="D43" s="242" t="n">
        <v>1</v>
      </c>
      <c r="E43" s="28" t="inlineStr">
        <is>
          <t>PER BOX</t>
        </is>
      </c>
      <c r="F43" s="28" t="n"/>
      <c r="G43" s="28" t="n"/>
      <c r="H43" s="28" t="n"/>
      <c r="I43" s="28" t="n"/>
      <c r="J43" s="385" t="n">
        <v>152.5</v>
      </c>
      <c r="K43" s="378">
        <f>D43*J43</f>
        <v/>
      </c>
      <c r="L43" s="392" t="n">
        <v>0.4</v>
      </c>
      <c r="M43" s="311">
        <f>(K43/(1-L43))*(1+$D$9)</f>
        <v/>
      </c>
      <c r="N43" s="378">
        <f>(M43*VLOOKUP($C$9,'Base Costs'!$A$32:$B$37,2,FALSE))</f>
        <v/>
      </c>
      <c r="O43" s="379">
        <f>M43-K43</f>
        <v/>
      </c>
      <c r="U43" s="229" t="n"/>
    </row>
    <row r="44" ht="15" customHeight="1" s="1085">
      <c r="A44" s="215" t="n">
        <v>400</v>
      </c>
      <c r="C44" s="269" t="inlineStr">
        <is>
          <t>INSTALLATION AFTER HOURS</t>
        </is>
      </c>
      <c r="D44" s="242" t="n"/>
      <c r="E44" s="28" t="inlineStr">
        <is>
          <t>PER BOX</t>
        </is>
      </c>
      <c r="F44" s="28" t="n"/>
      <c r="G44" s="28" t="n"/>
      <c r="H44" s="28" t="n"/>
      <c r="I44" s="28" t="n"/>
      <c r="J44" s="385" t="n">
        <v>861</v>
      </c>
      <c r="K44" s="378">
        <f>D44*J44</f>
        <v/>
      </c>
      <c r="L44" s="392" t="n">
        <v>0.4</v>
      </c>
      <c r="M44" s="311">
        <f>(K44/(1-L44))*(1+$D$9)</f>
        <v/>
      </c>
      <c r="N44" s="378">
        <f>(M44*VLOOKUP($C$9,'Base Costs'!$A$32:$B$37,2,FALSE))</f>
        <v/>
      </c>
      <c r="O44" s="379">
        <f>M44-K44</f>
        <v/>
      </c>
      <c r="U44" s="229" t="n"/>
    </row>
    <row r="45" ht="15" customHeight="1" s="1085">
      <c r="A45" s="215" t="n">
        <v>253</v>
      </c>
      <c r="C45" s="269" t="inlineStr">
        <is>
          <t>TRAVEL EXPENSES</t>
        </is>
      </c>
      <c r="D45" s="242" t="n"/>
      <c r="E45" s="28" t="inlineStr">
        <is>
          <t>PER NIGHT PER TEAM</t>
        </is>
      </c>
      <c r="F45" s="28" t="n"/>
      <c r="G45" s="28" t="n"/>
      <c r="H45" s="28" t="n"/>
      <c r="I45" s="28" t="n"/>
      <c r="J45" s="385" t="n"/>
      <c r="K45" s="378">
        <f>D45*J45</f>
        <v/>
      </c>
      <c r="L45" s="392" t="n">
        <v>0.33</v>
      </c>
      <c r="M45" s="311">
        <f>(K45/(1-L45))*(1+$D$9)</f>
        <v/>
      </c>
      <c r="N45" s="378">
        <f>(M45*VLOOKUP($C$9,'Base Costs'!$A$32:$B$37,2,FALSE))</f>
        <v/>
      </c>
      <c r="O45" s="379">
        <f>M45-K45</f>
        <v/>
      </c>
      <c r="U45" s="229" t="n"/>
    </row>
    <row r="46" ht="15" customHeight="1" s="1085">
      <c r="A46" s="215" t="n">
        <v>253</v>
      </c>
      <c r="C46" s="269" t="inlineStr">
        <is>
          <t>OVERNIGHT</t>
        </is>
      </c>
      <c r="D46" s="242" t="n"/>
      <c r="E46" s="28" t="inlineStr">
        <is>
          <t>PER NIGHT PER TEAM</t>
        </is>
      </c>
      <c r="F46" s="28" t="n"/>
      <c r="G46" s="28" t="n"/>
      <c r="H46" s="28" t="n"/>
      <c r="I46" s="28" t="n"/>
      <c r="J46" s="385" t="n">
        <v>170</v>
      </c>
      <c r="K46" s="378">
        <f>D46*J46</f>
        <v/>
      </c>
      <c r="L46" s="392" t="n">
        <v>0.33</v>
      </c>
      <c r="M46" s="311">
        <f>(K46/(1-L46))*(1+$D$9)</f>
        <v/>
      </c>
      <c r="N46" s="378">
        <f>(M46*VLOOKUP($C$9,'Base Costs'!$A$32:$B$37,2,FALSE))</f>
        <v/>
      </c>
      <c r="O46" s="379">
        <f>M46-K46</f>
        <v/>
      </c>
      <c r="U46" s="229" t="n"/>
    </row>
    <row r="47" ht="15" customHeight="1" s="1085">
      <c r="A47" s="215" t="n">
        <v>280</v>
      </c>
      <c r="C47" s="269" t="inlineStr">
        <is>
          <t>TEST &amp; COMMISSION</t>
        </is>
      </c>
      <c r="D47" s="242" t="n"/>
      <c r="E47" s="28" t="inlineStr">
        <is>
          <t>ONE ENGINEER</t>
        </is>
      </c>
      <c r="F47" s="28" t="n"/>
      <c r="G47" s="28" t="n"/>
      <c r="H47" s="28" t="n"/>
      <c r="I47" s="28" t="n"/>
      <c r="J47" s="385" t="n">
        <v>604</v>
      </c>
      <c r="K47" s="378">
        <f>D47*J47</f>
        <v/>
      </c>
      <c r="L47" s="392" t="n">
        <v>0.33</v>
      </c>
      <c r="M47" s="311">
        <f>(K47/(1-L47))*(1+$D$9)</f>
        <v/>
      </c>
      <c r="N47" s="378">
        <f>(M47*VLOOKUP($C$9,'Base Costs'!$A$32:$B$37,2,FALSE))</f>
        <v/>
      </c>
      <c r="O47" s="379">
        <f>M47-K47</f>
        <v/>
      </c>
      <c r="U47" s="229" t="n"/>
    </row>
    <row r="48" ht="15" customHeight="1" s="1085">
      <c r="A48" s="215" t="n">
        <v>284</v>
      </c>
      <c r="C48" s="269" t="n"/>
      <c r="D48" s="242" t="n"/>
      <c r="E48" s="28" t="inlineStr">
        <is>
          <t>OPTIONAL ITEM</t>
        </is>
      </c>
      <c r="F48" s="28" t="n"/>
      <c r="G48" s="28" t="n"/>
      <c r="H48" s="28" t="n"/>
      <c r="I48" s="28" t="n"/>
      <c r="J48" s="385" t="n">
        <v>200</v>
      </c>
      <c r="K48" s="378">
        <f>D48*J48</f>
        <v/>
      </c>
      <c r="L48" s="392" t="n">
        <v>0.33</v>
      </c>
      <c r="M48" s="311">
        <f>(K48/(1-L48))*(1+$D$9)</f>
        <v/>
      </c>
      <c r="N48" s="378">
        <f>(M48*VLOOKUP($C$9,'Base Costs'!$A$32:$B$37,2,FALSE))</f>
        <v/>
      </c>
      <c r="O48" s="379">
        <f>M48-K48</f>
        <v/>
      </c>
      <c r="U48" s="229" t="n"/>
    </row>
    <row r="49" ht="15" customHeight="1" s="1085">
      <c r="C49" s="239" t="n"/>
      <c r="D49" s="239" t="n"/>
      <c r="E49" s="239" t="n"/>
      <c r="F49" s="239" t="n"/>
      <c r="G49" s="239" t="n"/>
      <c r="H49" s="243" t="n"/>
      <c r="I49" s="244" t="n"/>
      <c r="J49" s="354" t="n"/>
      <c r="K49" s="353" t="n"/>
      <c r="L49" s="355" t="n"/>
      <c r="M49" s="353" t="n"/>
      <c r="N49" s="353" t="n"/>
      <c r="U49" s="229" t="n"/>
    </row>
    <row r="50" ht="15" customHeight="1" s="1085">
      <c r="C50" s="197" t="inlineStr">
        <is>
          <t>Office Use Only</t>
        </is>
      </c>
      <c r="D50" s="198" t="n"/>
      <c r="E50" s="199" t="n"/>
      <c r="F50" s="199" t="n"/>
      <c r="G50" s="198" t="n"/>
      <c r="H50" s="200" t="n"/>
      <c r="I50" s="198" t="n"/>
      <c r="J50" s="198" t="n"/>
      <c r="K50" s="198" t="n"/>
      <c r="L50" s="198" t="n"/>
      <c r="M50" s="198" t="n"/>
      <c r="N50" s="198" t="n"/>
      <c r="O50" s="198" t="n"/>
      <c r="U50" s="229" t="n"/>
    </row>
    <row r="51" ht="15" customHeight="1" s="1085">
      <c r="C51" s="202" t="n"/>
      <c r="D51" s="203" t="n"/>
      <c r="E51" s="202" t="n"/>
      <c r="F51" s="204" t="n"/>
      <c r="G51" s="202" t="n"/>
      <c r="H51" s="209" t="n"/>
      <c r="I51" s="203" t="n"/>
      <c r="J51" s="203" t="n"/>
      <c r="K51" s="205" t="n"/>
      <c r="L51" s="205" t="n"/>
      <c r="M51" s="205" t="n"/>
      <c r="N51" s="205" t="n"/>
      <c r="O51" s="205" t="n"/>
      <c r="U51" s="229" t="n"/>
    </row>
    <row r="52" ht="15" customHeight="1" s="1085">
      <c r="C52" s="202" t="n"/>
      <c r="D52" s="203" t="n"/>
      <c r="E52" s="202" t="n"/>
      <c r="F52" s="204" t="n"/>
      <c r="G52" s="202" t="n"/>
      <c r="H52" s="209" t="n"/>
      <c r="I52" s="203" t="n"/>
      <c r="J52" s="203" t="n"/>
      <c r="K52" s="205" t="n"/>
      <c r="L52" s="205" t="n"/>
      <c r="M52" s="205" t="n"/>
      <c r="N52" s="205" t="n"/>
      <c r="O52" s="205" t="n"/>
      <c r="U52" s="229" t="n"/>
    </row>
    <row r="53" ht="15" customHeight="1" s="1085">
      <c r="C53" s="202" t="n"/>
      <c r="D53" s="203" t="n"/>
      <c r="E53" s="202" t="n"/>
      <c r="F53" s="204" t="n"/>
      <c r="G53" s="202" t="n"/>
      <c r="H53" s="209" t="n"/>
      <c r="I53" s="203" t="n"/>
      <c r="J53" s="203" t="n"/>
      <c r="K53" s="209" t="n"/>
      <c r="L53" s="209" t="n"/>
      <c r="M53" s="209" t="n"/>
      <c r="N53" s="209" t="n"/>
      <c r="O53" s="209" t="n"/>
      <c r="U53" s="229" t="n"/>
    </row>
    <row r="54" ht="15" customHeight="1" s="1085">
      <c r="C54" s="202" t="n"/>
      <c r="D54" s="203" t="n"/>
      <c r="E54" s="202" t="n"/>
      <c r="F54" s="204" t="n"/>
      <c r="G54" s="202" t="n"/>
      <c r="H54" s="209" t="n"/>
      <c r="I54" s="206" t="n"/>
      <c r="J54" s="203" t="n"/>
      <c r="K54" s="209" t="n"/>
      <c r="L54" s="209" t="n"/>
      <c r="M54" s="209" t="n"/>
      <c r="N54" s="209" t="n"/>
      <c r="O54" s="209" t="n"/>
      <c r="U54" s="229" t="n"/>
    </row>
    <row r="55" ht="15" customHeight="1" s="1085">
      <c r="C55" s="202" t="n"/>
      <c r="D55" s="203" t="n"/>
      <c r="E55" s="202" t="n"/>
      <c r="F55" s="202" t="n"/>
      <c r="G55" s="202" t="n"/>
      <c r="H55" s="207" t="n"/>
      <c r="I55" s="209" t="n"/>
      <c r="J55" s="203" t="n"/>
      <c r="K55" s="205" t="n"/>
      <c r="L55" s="205" t="n"/>
      <c r="M55" s="205" t="n"/>
      <c r="N55" s="205" t="n"/>
      <c r="O55" s="205" t="n"/>
      <c r="U55" s="229" t="n"/>
    </row>
    <row r="56" ht="15" customHeight="1" s="1085">
      <c r="C56" s="202" t="n"/>
      <c r="D56" s="202" t="n"/>
      <c r="E56" s="202" t="n"/>
      <c r="F56" s="202" t="n"/>
      <c r="G56" s="202" t="n"/>
      <c r="H56" s="207" t="n"/>
      <c r="I56" s="209" t="n"/>
      <c r="J56" s="203" t="n"/>
      <c r="K56" s="205" t="n"/>
      <c r="L56" s="205" t="n"/>
      <c r="M56" s="205" t="n"/>
      <c r="N56" s="205" t="n"/>
      <c r="O56" s="205" t="n"/>
      <c r="U56" s="229" t="n"/>
    </row>
    <row r="57" ht="15" customHeight="1" s="1085">
      <c r="J57" s="228" t="n"/>
      <c r="M57" s="228" t="n"/>
      <c r="O57" s="228" t="n"/>
      <c r="U57" s="229" t="n"/>
    </row>
    <row r="58" ht="15" customHeight="1" s="1085">
      <c r="J58" s="228" t="n"/>
      <c r="M58" s="228" t="n"/>
      <c r="O58" s="228" t="n"/>
      <c r="U58" s="229" t="n"/>
    </row>
    <row r="59" ht="15" customHeight="1" s="1085">
      <c r="H59" s="219" t="n"/>
      <c r="U59" s="229" t="n"/>
    </row>
    <row r="60" ht="15" customHeight="1" s="1085">
      <c r="H60" s="219" t="n"/>
      <c r="U60" s="229" t="n"/>
    </row>
    <row r="61" ht="15" customHeight="1" s="1085">
      <c r="H61" s="219" t="n"/>
      <c r="U61" s="229" t="n"/>
    </row>
    <row r="62" ht="15" customHeight="1" s="1085">
      <c r="H62" s="219" t="n"/>
      <c r="U62" s="229" t="n"/>
    </row>
    <row r="63" ht="15" customHeight="1" s="1085">
      <c r="H63" s="219" t="n"/>
      <c r="U63" s="229" t="n"/>
    </row>
    <row r="64" ht="15" customHeight="1" s="1085">
      <c r="H64" s="219" t="n"/>
      <c r="U64" s="229" t="n"/>
    </row>
    <row r="65" ht="15" customHeight="1" s="1085">
      <c r="H65" s="219" t="n"/>
      <c r="U65" s="229" t="n"/>
    </row>
    <row r="66" ht="15" customHeight="1" s="1085">
      <c r="H66" s="219" t="n"/>
      <c r="U66" s="229" t="n"/>
    </row>
    <row r="67" ht="15" customHeight="1" s="1085">
      <c r="H67" s="219" t="n"/>
      <c r="U67" s="229" t="n"/>
    </row>
    <row r="68" ht="15" customHeight="1" s="1085">
      <c r="C68" s="245" t="n"/>
      <c r="D68" s="245" t="n"/>
      <c r="E68" s="245" t="n"/>
      <c r="F68" s="245" t="n"/>
      <c r="G68" s="245" t="n"/>
      <c r="H68" s="245" t="n"/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3" ht="15" customHeight="1" s="1085">
      <c r="U103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2" ht="15" customHeight="1" s="1085">
      <c r="U112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1" ht="15" customHeight="1" s="1085">
      <c r="U121" s="229" t="n"/>
    </row>
    <row r="122" ht="15" customHeight="1" s="1085">
      <c r="U122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  <row r="142" ht="15" customHeight="1" s="1085">
      <c r="U142" s="229" t="n"/>
    </row>
    <row r="143" ht="15" customHeight="1" s="1085">
      <c r="U143" s="229" t="n"/>
    </row>
    <row r="144" ht="15" customHeight="1" s="1085">
      <c r="U144" s="229" t="n"/>
    </row>
    <row r="145" ht="15" customHeight="1" s="1085">
      <c r="U145" s="229" t="n"/>
    </row>
    <row r="146" ht="15" customHeight="1" s="1085">
      <c r="U146" s="229" t="n"/>
    </row>
    <row r="147" ht="15" customHeight="1" s="1085">
      <c r="U147" s="229" t="n"/>
    </row>
    <row r="148" ht="15" customHeight="1" s="1085">
      <c r="U148" s="229" t="n"/>
    </row>
    <row r="149" ht="15" customHeight="1" s="1085">
      <c r="U149" s="229" t="n"/>
    </row>
    <row r="150" ht="15" customHeight="1" s="1085">
      <c r="U150" s="229" t="n"/>
    </row>
    <row r="151" ht="15" customHeight="1" s="1085">
      <c r="U151" s="229" t="n"/>
    </row>
    <row r="152" ht="15" customHeight="1" s="1085">
      <c r="U152" s="229" t="n"/>
    </row>
    <row r="153" ht="15" customHeight="1" s="1085">
      <c r="U153" s="229" t="n"/>
    </row>
    <row r="154" ht="15" customHeight="1" s="1085">
      <c r="U154" s="229" t="n"/>
    </row>
    <row r="155" ht="15" customHeight="1" s="1085">
      <c r="U155" s="229" t="n"/>
    </row>
    <row r="156" ht="15" customHeight="1" s="1085">
      <c r="U156" s="229" t="n"/>
    </row>
    <row r="157" ht="15" customHeight="1" s="1085">
      <c r="U157" s="229" t="n"/>
    </row>
    <row r="158" ht="15" customHeight="1" s="1085">
      <c r="U158" s="229" t="n"/>
    </row>
    <row r="159" ht="15" customHeight="1" s="1085">
      <c r="U159" s="229" t="n"/>
    </row>
    <row r="160" ht="15" customHeight="1" s="1085">
      <c r="U160" s="229" t="n"/>
    </row>
    <row r="161" ht="15" customHeight="1" s="1085">
      <c r="U161" s="229" t="n"/>
    </row>
  </sheetData>
  <mergeCells count="9">
    <mergeCell ref="P7:R7"/>
    <mergeCell ref="D7:E7"/>
    <mergeCell ref="C1:D1"/>
    <mergeCell ref="H5:J5"/>
    <mergeCell ref="C37:H37"/>
    <mergeCell ref="D5:E5"/>
    <mergeCell ref="H3:J3"/>
    <mergeCell ref="D3:E3"/>
    <mergeCell ref="H7:J7"/>
  </mergeCells>
  <conditionalFormatting sqref="C9">
    <cfRule type="containsText" priority="35" operator="containsText" dxfId="680" text="SELECT">
      <formula>NOT(ISERROR(SEARCH("SELECT",C9)))</formula>
    </cfRule>
    <cfRule type="expression" priority="36" dxfId="680">
      <formula>C9="CURRENCY"</formula>
    </cfRule>
  </conditionalFormatting>
  <conditionalFormatting sqref="C14:C34">
    <cfRule type="expression" priority="1" dxfId="633">
      <formula>$J14&gt;0</formula>
    </cfRule>
  </conditionalFormatting>
  <conditionalFormatting sqref="C38:C48">
    <cfRule type="expression" priority="12" dxfId="633">
      <formula>$D38&gt;0</formula>
    </cfRule>
  </conditionalFormatting>
  <conditionalFormatting sqref="D38:D39 D41:D48">
    <cfRule type="cellIs" priority="37" operator="lessThan" dxfId="554">
      <formula>1</formula>
    </cfRule>
  </conditionalFormatting>
  <conditionalFormatting sqref="D40">
    <cfRule type="cellIs" priority="32" operator="lessThan" dxfId="164">
      <formula>1</formula>
    </cfRule>
  </conditionalFormatting>
  <conditionalFormatting sqref="D9:E9">
    <cfRule type="cellIs" priority="33" operator="lessThan" dxfId="207">
      <formula>0</formula>
    </cfRule>
    <cfRule type="cellIs" priority="34" operator="greaterThan" dxfId="552">
      <formula>0</formula>
    </cfRule>
  </conditionalFormatting>
  <conditionalFormatting sqref="F12">
    <cfRule type="expression" priority="42" dxfId="386">
      <formula>AND((ISNUMBER(SEARCH("I-MUAP",$E$14))),F12&lt;2500)</formula>
    </cfRule>
    <cfRule type="expression" priority="43" dxfId="387">
      <formula>ISNUMBER(SEARCH("I-MUAP",$E$14))</formula>
    </cfRule>
    <cfRule type="cellIs" priority="44" operator="greaterThan" dxfId="204">
      <formula>2000</formula>
    </cfRule>
  </conditionalFormatting>
  <conditionalFormatting sqref="F12:G12">
    <cfRule type="cellIs" priority="38" operator="lessThan" dxfId="204">
      <formula>1000</formula>
    </cfRule>
  </conditionalFormatting>
  <conditionalFormatting sqref="F14:G28">
    <cfRule type="cellIs" priority="5" operator="lessThan" dxfId="164">
      <formula>1000</formula>
    </cfRule>
  </conditionalFormatting>
  <conditionalFormatting sqref="F31:G32">
    <cfRule type="cellIs" priority="2" operator="lessThan" dxfId="164">
      <formula>1000</formula>
    </cfRule>
  </conditionalFormatting>
  <conditionalFormatting sqref="G12">
    <cfRule type="cellIs" priority="39" operator="greaterThan" dxfId="204">
      <formula>3001</formula>
    </cfRule>
  </conditionalFormatting>
  <conditionalFormatting sqref="H11">
    <cfRule type="expression" priority="41" dxfId="176">
      <formula>((G14-50)/I14)&lt;950</formula>
    </cfRule>
  </conditionalFormatting>
  <conditionalFormatting sqref="H12">
    <cfRule type="expression" priority="40" dxfId="175">
      <formula>((G14-50)/I14)&lt;950</formula>
    </cfRule>
  </conditionalFormatting>
  <conditionalFormatting sqref="H14:H28">
    <cfRule type="cellIs" priority="6" operator="lessThan" dxfId="164">
      <formula>400</formula>
    </cfRule>
  </conditionalFormatting>
  <conditionalFormatting sqref="H31:H32">
    <cfRule type="cellIs" priority="3" operator="lessThan" dxfId="164">
      <formula>400</formula>
    </cfRule>
  </conditionalFormatting>
  <conditionalFormatting sqref="H35">
    <cfRule type="expression" priority="49" dxfId="176">
      <formula>((#REF!-50)/#REF!)&lt;950</formula>
    </cfRule>
  </conditionalFormatting>
  <conditionalFormatting sqref="J14:J32">
    <cfRule type="cellIs" priority="17" operator="greaterThan" dxfId="153">
      <formula>0</formula>
    </cfRule>
  </conditionalFormatting>
  <conditionalFormatting sqref="J38:J48">
    <cfRule type="expression" priority="25" dxfId="153">
      <formula>D38&gt;0</formula>
    </cfRule>
  </conditionalFormatting>
  <conditionalFormatting sqref="J50:J56">
    <cfRule type="expression" priority="30" dxfId="2">
      <formula>#REF!="EURO"</formula>
    </cfRule>
  </conditionalFormatting>
  <conditionalFormatting sqref="K14:K34">
    <cfRule type="cellIs" priority="4" operator="greaterThan" dxfId="141">
      <formula>0</formula>
    </cfRule>
  </conditionalFormatting>
  <conditionalFormatting sqref="K38:K48">
    <cfRule type="cellIs" priority="31" operator="greaterThan" dxfId="141">
      <formula>0</formula>
    </cfRule>
  </conditionalFormatting>
  <conditionalFormatting sqref="K50:K56">
    <cfRule type="expression" priority="26" dxfId="4">
      <formula>$C$9="PLN"</formula>
    </cfRule>
    <cfRule type="expression" priority="27" dxfId="0">
      <formula>$C$9="CZK"</formula>
    </cfRule>
    <cfRule type="expression" priority="28" dxfId="3">
      <formula>$C$9="USD"</formula>
    </cfRule>
    <cfRule type="expression" priority="29" dxfId="2">
      <formula>$C$9="EURO"</formula>
    </cfRule>
  </conditionalFormatting>
  <conditionalFormatting sqref="L14:L34">
    <cfRule type="expression" priority="15" dxfId="116">
      <formula>$D$9&lt;0</formula>
    </cfRule>
    <cfRule type="expression" priority="16" dxfId="115">
      <formula>$D$9&gt;0</formula>
    </cfRule>
  </conditionalFormatting>
  <conditionalFormatting sqref="L38:L48">
    <cfRule type="expression" priority="13" dxfId="116">
      <formula>$D$9&lt;0</formula>
    </cfRule>
    <cfRule type="expression" priority="14" dxfId="115">
      <formula>$D$9&gt;0</formula>
    </cfRule>
  </conditionalFormatting>
  <conditionalFormatting sqref="N9 N12">
    <cfRule type="expression" priority="45" dxfId="4">
      <formula>$C$9="PLN"</formula>
    </cfRule>
    <cfRule type="expression" priority="46" dxfId="0">
      <formula>$C$9="CZK"</formula>
    </cfRule>
    <cfRule type="expression" priority="47" dxfId="3">
      <formula>$C$9="USD"</formula>
    </cfRule>
    <cfRule type="expression" priority="48" dxfId="2">
      <formula>$C$9="EURO"</formula>
    </cfRule>
  </conditionalFormatting>
  <conditionalFormatting sqref="N14:N34">
    <cfRule type="expression" priority="19" dxfId="4">
      <formula>$C$9="PLN"</formula>
    </cfRule>
    <cfRule type="expression" priority="20" dxfId="0">
      <formula>$C$9="CZK"</formula>
    </cfRule>
    <cfRule type="expression" priority="21" dxfId="3">
      <formula>$C$9="USD"</formula>
    </cfRule>
    <cfRule type="expression" priority="22" dxfId="2">
      <formula>$C$9="EURO"</formula>
    </cfRule>
  </conditionalFormatting>
  <conditionalFormatting sqref="N18:N22">
    <cfRule type="cellIs" priority="23" operator="greaterThan" dxfId="5">
      <formula>0</formula>
    </cfRule>
  </conditionalFormatting>
  <conditionalFormatting sqref="N37:N48">
    <cfRule type="expression" priority="8" dxfId="4">
      <formula>$C$9="PLN"</formula>
    </cfRule>
    <cfRule type="expression" priority="9" dxfId="0">
      <formula>$C$9="CZK"</formula>
    </cfRule>
    <cfRule type="expression" priority="10" dxfId="3">
      <formula>$C$9="USD"</formula>
    </cfRule>
    <cfRule type="expression" priority="11" dxfId="2">
      <formula>$C$9="EURO"</formula>
    </cfRule>
  </conditionalFormatting>
  <conditionalFormatting sqref="N14:O34">
    <cfRule type="cellIs" priority="18" operator="greaterThan" dxfId="5">
      <formula>0</formula>
    </cfRule>
  </conditionalFormatting>
  <conditionalFormatting sqref="N38:O48">
    <cfRule type="cellIs" priority="7" operator="greaterThan" dxfId="141">
      <formula>0</formula>
    </cfRule>
  </conditionalFormatting>
  <conditionalFormatting sqref="O14:O22">
    <cfRule type="cellIs" priority="24" operator="greaterThan" dxfId="5">
      <formula>0</formula>
    </cfRule>
  </conditionalFormatting>
  <dataValidations count="3">
    <dataValidation sqref="E14:E34" showDropDown="0" showInputMessage="1" showErrorMessage="1" allowBlank="1" type="list">
      <formula1>"0,1,2,3,4,5,6,7,8,9,10,11,12,13,14,15,16,17,18,19,20"</formula1>
    </dataValidation>
    <dataValidation sqref="F14:F28 F31:F32" showDropDown="0" showInputMessage="1" showErrorMessage="1" allowBlank="1" operator="greaterThan"/>
    <dataValidation sqref="H36" showDropDown="0" showInputMessage="1" showErrorMessage="1" allowBlank="1" type="list">
      <formula1>#REF!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61"/>
  <drawing xmlns:r="http://schemas.openxmlformats.org/officeDocument/2006/relationships" r:id="rId1"/>
</worksheet>
</file>

<file path=xl/worksheets/sheet46.xml><?xml version="1.0" encoding="utf-8"?>
<worksheet xmlns="http://schemas.openxmlformats.org/spreadsheetml/2006/main">
  <sheetPr>
    <tabColor theme="8" tint="0.7999816888943144"/>
    <outlinePr summaryBelow="1" summaryRight="1"/>
    <pageSetUpPr fitToPage="1"/>
  </sheetPr>
  <dimension ref="A1:AB161"/>
  <sheetViews>
    <sheetView showGridLines="0" zoomScale="70" zoomScaleNormal="70" zoomScaleSheetLayoutView="50" workbookViewId="0">
      <selection activeCell="Q35" sqref="Q35"/>
    </sheetView>
  </sheetViews>
  <sheetFormatPr baseColWidth="10" defaultColWidth="8.83203125" defaultRowHeight="15" customHeight="1"/>
  <cols>
    <col width="2" customWidth="1" style="215" min="1" max="2"/>
    <col width="39.5" customWidth="1" style="1070" min="3" max="3"/>
    <col width="39.83203125" customWidth="1" style="1070" min="4" max="4"/>
    <col width="27.1640625" customWidth="1" style="1070" min="5" max="5"/>
    <col width="16.83203125" customWidth="1" style="1070" min="6" max="6"/>
    <col width="15.5" customWidth="1" style="1070" min="7" max="7"/>
    <col width="19.6640625" customWidth="1" style="1070" min="8" max="8"/>
    <col width="10" bestFit="1" customWidth="1" style="1072" min="9" max="9"/>
    <col width="14.83203125" bestFit="1" customWidth="1" style="1073" min="10" max="10"/>
    <col width="17.5" customWidth="1" style="228" min="11" max="11"/>
    <col width="10.5" customWidth="1" style="228" min="12" max="12"/>
    <col hidden="1" width="10.6640625" customWidth="1" style="346" min="13" max="13"/>
    <col width="14.5" bestFit="1" customWidth="1" style="1073" min="14" max="14"/>
    <col width="13.6640625" bestFit="1" customWidth="1" style="14" min="15" max="15"/>
    <col width="8.83203125" customWidth="1" style="1070" min="16" max="17"/>
    <col width="18.6640625" customWidth="1" style="1070" min="18" max="18"/>
    <col width="8.83203125" customWidth="1" style="1070" min="19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0"/>
    <col width="8.83203125" customWidth="1" style="1070" min="101" max="16384"/>
  </cols>
  <sheetData>
    <row r="1" ht="15" customHeight="1" s="1085">
      <c r="C1" s="1148" t="inlineStr">
        <is>
          <t xml:space="preserve">F24-19    EDGE BOX COST SHEET </t>
        </is>
      </c>
      <c r="E1" s="216" t="n"/>
      <c r="F1" s="216" t="n"/>
      <c r="G1" s="216" t="n"/>
      <c r="H1" s="216" t="n"/>
      <c r="I1" s="29" t="n"/>
      <c r="J1" s="336" t="n"/>
      <c r="K1" s="337" t="n"/>
      <c r="L1" s="338" t="n"/>
      <c r="M1" s="339" t="n"/>
      <c r="N1" s="336" t="n"/>
      <c r="O1" s="975" t="inlineStr">
        <is>
          <t>JAN25-19</t>
        </is>
      </c>
      <c r="S1" s="80" t="n"/>
      <c r="T1" s="218" t="n"/>
    </row>
    <row r="2" ht="15" customHeight="1" s="1085">
      <c r="C2" s="79" t="n"/>
      <c r="D2" s="221" t="n"/>
      <c r="E2" s="221" t="n"/>
      <c r="G2" s="79" t="n"/>
      <c r="H2" s="77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C3" s="78" t="inlineStr">
        <is>
          <t>Job No.</t>
        </is>
      </c>
      <c r="D3" s="1130">
        <f>IF(CANOPY!C3="","",CANOPY!C3)</f>
        <v/>
      </c>
      <c r="G3" s="76" t="inlineStr">
        <is>
          <t>Project Name</t>
        </is>
      </c>
      <c r="H3" s="1071">
        <f>IF(CANOPY!G3="","",CANOPY!G3)</f>
        <v/>
      </c>
      <c r="L3" s="342" t="n"/>
      <c r="M3" s="343" t="n"/>
      <c r="N3" s="344" t="n"/>
      <c r="T3" s="225" t="n"/>
    </row>
    <row r="4" ht="15" customHeight="1" s="1085">
      <c r="C4" s="79" t="n"/>
      <c r="D4" s="223" t="n"/>
      <c r="E4" s="223" t="n"/>
      <c r="G4" s="77" t="n"/>
      <c r="H4" s="222" t="n"/>
      <c r="I4" s="227" t="n"/>
      <c r="J4" s="341" t="n"/>
      <c r="L4" s="342" t="n"/>
      <c r="M4" s="343" t="n"/>
      <c r="N4" s="344" t="n"/>
      <c r="T4" s="225" t="n"/>
    </row>
    <row r="5" ht="15" customHeight="1" s="1085">
      <c r="C5" s="78" t="inlineStr">
        <is>
          <t>Customer</t>
        </is>
      </c>
      <c r="D5" s="1074">
        <f>IF(CANOPY!C5="","",CANOPY!C5)</f>
        <v/>
      </c>
      <c r="G5" s="76" t="inlineStr">
        <is>
          <t>Location</t>
        </is>
      </c>
      <c r="H5" s="1071">
        <f>IF(CANOPY!G5="","",CANOPY!G5)</f>
        <v/>
      </c>
      <c r="M5" s="343" t="n"/>
      <c r="N5" s="344" t="n"/>
      <c r="Q5" s="229" t="n"/>
      <c r="R5" s="229" t="n"/>
      <c r="T5" s="225" t="n"/>
      <c r="U5" s="226" t="n"/>
    </row>
    <row r="6" ht="15" customHeight="1" s="1085">
      <c r="C6" s="78" t="n"/>
      <c r="D6" s="230" t="n"/>
      <c r="E6" s="230" t="n"/>
      <c r="G6" s="76" t="n"/>
      <c r="H6" s="222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C7" s="80" t="inlineStr">
        <is>
          <t>Sales Manager / Estimator initials</t>
        </is>
      </c>
      <c r="D7" s="1074">
        <f>IF(CANOPY!C7="","",CANOPY!C7)</f>
        <v/>
      </c>
      <c r="G7" s="76" t="inlineStr">
        <is>
          <t>Date</t>
        </is>
      </c>
      <c r="H7" s="1075">
        <f>IF(CANOPY!G7="","",CANOPY!G7)</f>
        <v/>
      </c>
      <c r="N7" s="347" t="inlineStr">
        <is>
          <t>Revision No</t>
        </is>
      </c>
      <c r="O7" s="900">
        <f>IF(CANOPY!O7="","",CANOPY!O7)</f>
        <v/>
      </c>
      <c r="P7" s="1157" t="inlineStr">
        <is>
          <t>GP SHOULD BE MINIMUM 44%</t>
        </is>
      </c>
      <c r="T7" s="225" t="n"/>
      <c r="U7" s="226" t="n"/>
      <c r="AA7" s="231" t="n"/>
    </row>
    <row r="8" ht="15" customHeight="1" s="1085">
      <c r="E8" s="219" t="n"/>
      <c r="F8" s="219" t="n"/>
      <c r="H8" s="219" t="n"/>
      <c r="J8" s="346" t="n"/>
      <c r="K8" s="14" t="n"/>
      <c r="T8" s="225" t="n"/>
      <c r="AA8" s="231" t="n"/>
    </row>
    <row r="9" ht="15" customFormat="1" customHeight="1" s="80">
      <c r="A9" s="215" t="n"/>
      <c r="B9" s="215" t="n"/>
      <c r="C9" s="38" t="inlineStr">
        <is>
          <t>CURRENCY</t>
        </is>
      </c>
      <c r="D9" s="951" t="n">
        <v>0</v>
      </c>
      <c r="E9" s="377">
        <f>IF(D9=0,0,(SUBTOTAL(9,M14:M48)/(1-D9))-M9)</f>
        <v/>
      </c>
      <c r="I9" s="234" t="n"/>
      <c r="K9" s="25">
        <f>SUBTOTAL(9,K12:K48)</f>
        <v/>
      </c>
      <c r="L9" s="970">
        <f>IF(O9=0,"-",O9/M9)</f>
        <v/>
      </c>
      <c r="M9" s="25">
        <f>SUBTOTAL(9,M12:M48)</f>
        <v/>
      </c>
      <c r="N9" s="464">
        <f>SUBTOTAL(9,N12:N48)</f>
        <v/>
      </c>
      <c r="O9" s="25">
        <f>SUBTOTAL(9,O12:O48)</f>
        <v/>
      </c>
      <c r="P9" s="1070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215" t="n"/>
      <c r="C12" s="1089" t="inlineStr">
        <is>
          <t xml:space="preserve">ITEM </t>
        </is>
      </c>
      <c r="D12" s="236" t="n"/>
      <c r="E12" s="237">
        <f>E14</f>
        <v/>
      </c>
      <c r="F12" s="838" t="n">
        <v>0</v>
      </c>
      <c r="G12" s="838">
        <f>IF(I12&lt;1,0,CEILING((G14-100)/I14,250))</f>
        <v/>
      </c>
      <c r="H12" s="237">
        <f>E12&amp;G12&amp;F12</f>
        <v/>
      </c>
      <c r="I12" s="236">
        <f>IF(F14=0,0,IF(G14=0,0,(F14/(IF(D14="WALL",F14,(F14/2)))*I14)))</f>
        <v/>
      </c>
      <c r="J12" s="238" t="n"/>
      <c r="K12" s="154">
        <f>SUBTOTAL(9,K14:K34)</f>
        <v/>
      </c>
      <c r="L12" s="15">
        <f>IF(K14=0,"-",O12/M12)</f>
        <v/>
      </c>
      <c r="M12" s="154">
        <f>SUBTOTAL(9,M14:M34)</f>
        <v/>
      </c>
      <c r="N12" s="464">
        <f>SUBTOTAL(9,N14:N34)</f>
        <v/>
      </c>
      <c r="O12" s="154">
        <f>SUBTOTAL(9,O14:O34)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LENGTH</t>
        </is>
      </c>
      <c r="G13" s="10" t="inlineStr">
        <is>
          <t>WIDTH</t>
        </is>
      </c>
      <c r="H13" s="10" t="inlineStr">
        <is>
          <t>HEIGHT</t>
        </is>
      </c>
      <c r="I13" s="10" t="inlineStr">
        <is>
          <t>SECTIONS</t>
        </is>
      </c>
      <c r="J13" s="349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A14" s="215" t="n">
        <v>210</v>
      </c>
      <c r="C14" s="791" t="inlineStr">
        <is>
          <t xml:space="preserve">PS-150 TOUCH SCREEN </t>
        </is>
      </c>
      <c r="D14" s="460" t="inlineStr">
        <is>
          <t>TOUCH SCREEN REMOTE BOX - METAL</t>
        </is>
      </c>
      <c r="E14" s="448" t="n"/>
      <c r="F14" s="837" t="n">
        <v>300</v>
      </c>
      <c r="G14" s="835" t="n">
        <v>95</v>
      </c>
      <c r="H14" s="896" t="n">
        <v>250</v>
      </c>
      <c r="I14" s="31" t="n"/>
      <c r="J14" s="380" t="n">
        <v>419.97</v>
      </c>
      <c r="K14" s="378">
        <f>SUM(J14*E14)</f>
        <v/>
      </c>
      <c r="L14" s="392" t="n">
        <v>0.35</v>
      </c>
      <c r="M14" s="311">
        <f>(K14/(1-L14))*(1+$D$9)</f>
        <v/>
      </c>
      <c r="N14" s="378">
        <f>(M14*VLOOKUP($C$9,'Base Costs'!$A$32:$B$37,2,FALSE))</f>
        <v/>
      </c>
      <c r="O14" s="379">
        <f>M14-K14</f>
        <v/>
      </c>
      <c r="U14" s="229" t="n"/>
      <c r="AA14" s="1070" t="n"/>
    </row>
    <row r="15" ht="15" customHeight="1" s="1085">
      <c r="A15" s="215" t="n">
        <v>104</v>
      </c>
      <c r="C15" s="855" t="inlineStr">
        <is>
          <t>PS-152 EDGE BOX</t>
        </is>
      </c>
      <c r="D15" s="460" t="inlineStr">
        <is>
          <t>PEU/AEU/HOODS (Staged Alarms)</t>
        </is>
      </c>
      <c r="E15" s="448" t="n"/>
      <c r="F15" s="895" t="n">
        <v>380</v>
      </c>
      <c r="G15" s="835" t="n">
        <v>300</v>
      </c>
      <c r="H15" s="896" t="n">
        <v>180</v>
      </c>
      <c r="I15" s="31" t="n"/>
      <c r="J15" s="380" t="n">
        <v>1030.52</v>
      </c>
      <c r="K15" s="378">
        <f>SUM(J15*E15)</f>
        <v/>
      </c>
      <c r="L15" s="392" t="n">
        <v>0.35</v>
      </c>
      <c r="M15" s="311">
        <f>(K15/(1-L15))*(1+$D$9)</f>
        <v/>
      </c>
      <c r="N15" s="378">
        <f>(M15*VLOOKUP($C$9,'Base Costs'!$A$32:$B$37,2,FALSE))</f>
        <v/>
      </c>
      <c r="O15" s="379">
        <f>M15-K15</f>
        <v/>
      </c>
      <c r="U15" s="229" t="n"/>
      <c r="AA15" s="1070" t="n"/>
    </row>
    <row r="16" ht="15" customHeight="1" s="1085">
      <c r="A16" s="215" t="n">
        <v>234</v>
      </c>
      <c r="C16" s="855" t="inlineStr">
        <is>
          <t>PS-153 EDGE BOX</t>
        </is>
      </c>
      <c r="D16" s="460" t="inlineStr">
        <is>
          <t>PEU/HOODS (Staged Alarms)</t>
        </is>
      </c>
      <c r="E16" s="461" t="n"/>
      <c r="F16" s="895" t="n">
        <v>380</v>
      </c>
      <c r="G16" s="835" t="n">
        <v>300</v>
      </c>
      <c r="H16" s="896" t="n">
        <v>180</v>
      </c>
      <c r="I16" s="31" t="n"/>
      <c r="J16" s="380" t="n">
        <v>690.16</v>
      </c>
      <c r="K16" s="378">
        <f>SUM(J16*E16)</f>
        <v/>
      </c>
      <c r="L16" s="392" t="n">
        <v>0.35</v>
      </c>
      <c r="M16" s="311">
        <f>(K16/(1-L16))*(1+$D$9)</f>
        <v/>
      </c>
      <c r="N16" s="378">
        <f>(M16*VLOOKUP($C$9,'Base Costs'!$A$32:$B$37,2,FALSE))</f>
        <v/>
      </c>
      <c r="O16" s="379">
        <f>M16-K16</f>
        <v/>
      </c>
      <c r="U16" s="229" t="n"/>
      <c r="AA16" s="1070" t="n"/>
    </row>
    <row r="17" ht="15" customHeight="1" s="1085">
      <c r="C17" s="855" t="inlineStr">
        <is>
          <t>PS-154 EDGE BOX</t>
        </is>
      </c>
      <c r="D17" s="460" t="inlineStr">
        <is>
          <t>PEU/MRV/HOODS (Staged Alarms)</t>
        </is>
      </c>
      <c r="E17" s="448" t="n"/>
      <c r="F17" s="895" t="n">
        <v>380</v>
      </c>
      <c r="G17" s="895" t="n">
        <v>300</v>
      </c>
      <c r="H17" s="896" t="n">
        <v>180</v>
      </c>
      <c r="I17" s="31" t="n"/>
      <c r="J17" s="380" t="n">
        <v>894.01</v>
      </c>
      <c r="K17" s="378">
        <f>SUM(J17*E17)</f>
        <v/>
      </c>
      <c r="L17" s="392" t="n">
        <v>0.35</v>
      </c>
      <c r="M17" s="311">
        <f>(K17/(1-L17))*(1+$D$9)</f>
        <v/>
      </c>
      <c r="N17" s="378">
        <f>(M17*VLOOKUP($C$9,'Base Costs'!$A$32:$B$37,2,FALSE))</f>
        <v/>
      </c>
      <c r="O17" s="379">
        <f>M17-K17</f>
        <v/>
      </c>
      <c r="U17" s="229" t="n"/>
      <c r="AA17" s="1070" t="n"/>
    </row>
    <row r="18" ht="15" customHeight="1" s="1085">
      <c r="C18" s="855" t="inlineStr">
        <is>
          <t>PS-155 EDGE BOX</t>
        </is>
      </c>
      <c r="D18" s="460" t="inlineStr">
        <is>
          <t>PEU/AEU/ MRV/HOOD (No Staged Alarms)</t>
        </is>
      </c>
      <c r="E18" s="448" t="n"/>
      <c r="F18" s="895" t="n">
        <v>380</v>
      </c>
      <c r="G18" s="895" t="n">
        <v>300</v>
      </c>
      <c r="H18" s="896" t="n">
        <v>180</v>
      </c>
      <c r="I18" s="31" t="n"/>
      <c r="J18" s="380" t="n">
        <v>1039.58</v>
      </c>
      <c r="K18" s="378">
        <f>SUM(J18*E18)</f>
        <v/>
      </c>
      <c r="L18" s="392" t="n">
        <v>0.35</v>
      </c>
      <c r="M18" s="311">
        <f>(K18/(1-L18))*(1+$D$9)</f>
        <v/>
      </c>
      <c r="N18" s="378">
        <f>(M18*VLOOKUP($C$9,'Base Costs'!$A$32:$B$37,2,FALSE))</f>
        <v/>
      </c>
      <c r="O18" s="379">
        <f>M18-K18</f>
        <v/>
      </c>
      <c r="U18" s="229" t="n"/>
      <c r="AA18" s="1070" t="n"/>
    </row>
    <row r="19" ht="15" customHeight="1" s="1085">
      <c r="C19" s="855" t="n"/>
      <c r="D19" s="460" t="n"/>
      <c r="E19" s="448" t="n"/>
      <c r="F19" s="895" t="n"/>
      <c r="G19" s="895" t="n"/>
      <c r="H19" s="896" t="n"/>
      <c r="I19" s="31" t="n"/>
      <c r="J19" s="380" t="n"/>
      <c r="K19" s="378" t="n"/>
      <c r="L19" s="392" t="n"/>
      <c r="M19" s="311" t="n"/>
      <c r="N19" s="378" t="n"/>
      <c r="O19" s="379" t="n"/>
      <c r="U19" s="229" t="n"/>
      <c r="AA19" s="1070" t="n"/>
    </row>
    <row r="20" ht="15" customHeight="1" s="1085">
      <c r="C20" s="791" t="inlineStr">
        <is>
          <t>RCL-329 LPC-3 GOT.112 (CANOPY CONTROL)</t>
        </is>
      </c>
      <c r="D20" s="1065" t="inlineStr">
        <is>
          <t>GOT Panel Comp for UV-c (24 Sections Max)</t>
        </is>
      </c>
      <c r="E20" s="448" t="n"/>
      <c r="F20" s="895" t="n">
        <v>160</v>
      </c>
      <c r="G20" s="895" t="n">
        <v>34</v>
      </c>
      <c r="H20" s="896" t="n">
        <v>106</v>
      </c>
      <c r="I20" s="31" t="n"/>
      <c r="J20" s="380" t="n">
        <v>336.21</v>
      </c>
      <c r="K20" s="378">
        <f>SUM(J20*E20)</f>
        <v/>
      </c>
      <c r="L20" s="392" t="n">
        <v>0.35</v>
      </c>
      <c r="M20" s="311">
        <f>(K20/(1-L20))*(1+$D$9)</f>
        <v/>
      </c>
      <c r="N20" s="378">
        <f>(M20*VLOOKUP($C$9,'Base Costs'!$A$32:$B$37,2,FALSE))</f>
        <v/>
      </c>
      <c r="O20" s="379">
        <f>M20-K20</f>
        <v/>
      </c>
      <c r="U20" s="229" t="n"/>
      <c r="AA20" s="1070" t="n"/>
    </row>
    <row r="21" ht="15" customHeight="1" s="1085">
      <c r="C21" s="791" t="inlineStr">
        <is>
          <t>RCL-342 GOT-112 WALL BOX</t>
        </is>
      </c>
      <c r="D21" s="460" t="inlineStr">
        <is>
          <t>Remote Mounting box if Required</t>
        </is>
      </c>
      <c r="E21" s="448" t="n"/>
      <c r="F21" s="895" t="n">
        <v>270</v>
      </c>
      <c r="G21" s="895" t="n">
        <v>200</v>
      </c>
      <c r="H21" s="896" t="n">
        <v>150</v>
      </c>
      <c r="I21" s="31" t="n"/>
      <c r="J21" s="380" t="n">
        <v>82</v>
      </c>
      <c r="K21" s="378">
        <f>SUM(J21*E21)</f>
        <v/>
      </c>
      <c r="L21" s="392" t="n">
        <v>0.35</v>
      </c>
      <c r="M21" s="311">
        <f>(K21/(1-L21))*(1+$D$9)</f>
        <v/>
      </c>
      <c r="N21" s="378">
        <f>(M21*VLOOKUP($C$9,'Base Costs'!$A$32:$B$37,2,FALSE))</f>
        <v/>
      </c>
      <c r="O21" s="379">
        <f>M21-K21</f>
        <v/>
      </c>
      <c r="U21" s="229" t="n"/>
      <c r="AA21" s="1070" t="n"/>
    </row>
    <row r="22" ht="15" customHeight="1" s="1085">
      <c r="C22" s="270" t="inlineStr">
        <is>
          <t>RCL-280 STAGED ALARM BOX</t>
        </is>
      </c>
      <c r="D22" s="460" t="inlineStr">
        <is>
          <t>MU5 CONTROLLER BOX</t>
        </is>
      </c>
      <c r="E22" s="448" t="n"/>
      <c r="F22" s="895" t="n">
        <v>179</v>
      </c>
      <c r="G22" s="895" t="n">
        <v>129</v>
      </c>
      <c r="H22" s="896" t="n">
        <v>100</v>
      </c>
      <c r="I22" s="31" t="n"/>
      <c r="J22" s="380" t="n">
        <v>212.86</v>
      </c>
      <c r="K22" s="378">
        <f>SUM(J22*E22)</f>
        <v/>
      </c>
      <c r="L22" s="392" t="n">
        <v>0.35</v>
      </c>
      <c r="M22" s="311">
        <f>(K22/(1-L22))*(1+$D$9)</f>
        <v/>
      </c>
      <c r="N22" s="378">
        <f>(M22*VLOOKUP($C$9,'Base Costs'!$A$32:$B$37,2,FALSE))</f>
        <v/>
      </c>
      <c r="O22" s="379">
        <f>M22-K22</f>
        <v/>
      </c>
      <c r="P22" s="1064" t="inlineStr">
        <is>
          <t xml:space="preserve">Add if Alarms requested for a GOT panel </t>
        </is>
      </c>
      <c r="U22" s="229" t="n"/>
      <c r="AA22" s="1070" t="n"/>
    </row>
    <row r="23" ht="15" customHeight="1" s="1085">
      <c r="A23" s="215" t="n">
        <v>289</v>
      </c>
      <c r="C23" s="270" t="n"/>
      <c r="D23" s="460" t="n"/>
      <c r="E23" s="448" t="n"/>
      <c r="F23" s="895" t="n"/>
      <c r="G23" s="895" t="n"/>
      <c r="H23" s="896" t="n"/>
      <c r="I23" s="31" t="n"/>
      <c r="J23" s="380" t="n"/>
      <c r="K23" s="378">
        <f>SUM(J23*E23)</f>
        <v/>
      </c>
      <c r="L23" s="392" t="n"/>
      <c r="M23" s="311">
        <f>(K23/(1-L23))*(1+$D$9)</f>
        <v/>
      </c>
      <c r="N23" s="378">
        <f>(M23*VLOOKUP($C$9,'Base Costs'!$A$32:$B$37,2,FALSE))</f>
        <v/>
      </c>
      <c r="O23" s="379">
        <f>M23-K23</f>
        <v/>
      </c>
      <c r="U23" s="229" t="n"/>
      <c r="AA23" s="1070" t="n"/>
    </row>
    <row r="24" ht="15" customHeight="1" s="1085">
      <c r="A24" s="215" t="n">
        <v>242</v>
      </c>
      <c r="C24" s="270" t="inlineStr">
        <is>
          <t xml:space="preserve">PS-160 EXTERNAL AERIAL </t>
        </is>
      </c>
      <c r="D24" s="460" t="inlineStr">
        <is>
          <t>EXTERNAL AERIAL BOX</t>
        </is>
      </c>
      <c r="E24" s="448" t="n"/>
      <c r="F24" s="895" t="n">
        <v>250</v>
      </c>
      <c r="G24" s="895" t="n">
        <v>175</v>
      </c>
      <c r="H24" s="896" t="n">
        <v>100</v>
      </c>
      <c r="I24" s="31" t="n"/>
      <c r="J24" s="380" t="n">
        <v>100.91</v>
      </c>
      <c r="K24" s="378">
        <f>SUM(J24*E24)</f>
        <v/>
      </c>
      <c r="L24" s="392" t="n">
        <v>0.35</v>
      </c>
      <c r="M24" s="311">
        <f>(K24/(1-L24))*(1+$D$9)</f>
        <v/>
      </c>
      <c r="N24" s="378">
        <f>(M24*VLOOKUP($C$9,'Base Costs'!$A$32:$B$37,2,FALSE))</f>
        <v/>
      </c>
      <c r="O24" s="379">
        <f>M24-K24</f>
        <v/>
      </c>
      <c r="U24" s="229" t="n"/>
      <c r="AA24" s="1070" t="n"/>
    </row>
    <row r="25" ht="15" customHeight="1" s="1085">
      <c r="A25" s="215" t="n">
        <v>220</v>
      </c>
      <c r="C25" s="855" t="inlineStr">
        <is>
          <t xml:space="preserve">PS-156 EDGE BOX REMOTE ROUTER (UV-GOT)  </t>
        </is>
      </c>
      <c r="D25" s="1066" t="inlineStr">
        <is>
          <t>EXTERNAL ROUTER</t>
        </is>
      </c>
      <c r="E25" s="448" t="n"/>
      <c r="F25" s="837" t="n">
        <v>250</v>
      </c>
      <c r="G25" s="895" t="n">
        <v>175</v>
      </c>
      <c r="H25" s="896" t="n">
        <v>100</v>
      </c>
      <c r="I25" s="31" t="n"/>
      <c r="J25" s="380" t="n">
        <v>484.58</v>
      </c>
      <c r="K25" s="378">
        <f>SUM(J25*E25)</f>
        <v/>
      </c>
      <c r="L25" s="392" t="n">
        <v>0.35</v>
      </c>
      <c r="M25" s="311">
        <f>(K25/(1-L25))*(1+$D$9)</f>
        <v/>
      </c>
      <c r="N25" s="378">
        <f>(M25*VLOOKUP($C$9,'Base Costs'!$A$32:$B$37,2,FALSE))</f>
        <v/>
      </c>
      <c r="O25" s="379">
        <f>M25-K25</f>
        <v/>
      </c>
      <c r="U25" s="229" t="n"/>
      <c r="AA25" s="1070" t="n"/>
    </row>
    <row r="26" ht="15" customHeight="1" s="1085">
      <c r="A26" s="215" t="n">
        <v>103</v>
      </c>
      <c r="C26" s="855" t="n"/>
      <c r="D26" s="460" t="n"/>
      <c r="E26" s="448" t="n"/>
      <c r="F26" s="837" t="n"/>
      <c r="G26" s="895" t="n"/>
      <c r="H26" s="896" t="n"/>
      <c r="I26" s="31" t="n"/>
      <c r="J26" s="380" t="n"/>
      <c r="K26" s="378">
        <f>SUM(J26*E26)</f>
        <v/>
      </c>
      <c r="L26" s="392" t="n"/>
      <c r="M26" s="311">
        <f>(K26/(1-L26))*(1+$D$9)</f>
        <v/>
      </c>
      <c r="N26" s="378">
        <f>(M26*VLOOKUP($C$9,'Base Costs'!$A$32:$B$37,2,FALSE))</f>
        <v/>
      </c>
      <c r="O26" s="379">
        <f>M26-K26</f>
        <v/>
      </c>
      <c r="U26" s="229" t="n"/>
      <c r="AA26" s="1070" t="n"/>
    </row>
    <row r="27" ht="15" customHeight="1" s="1085">
      <c r="A27" s="215" t="n">
        <v>103</v>
      </c>
      <c r="C27" s="855" t="inlineStr">
        <is>
          <t>CONNECTIVITY PS-153/152/154/155</t>
        </is>
      </c>
      <c r="D27" s="921" t="inlineStr">
        <is>
          <t xml:space="preserve"> NOT INCLUDED IN THE ABOVE</t>
        </is>
      </c>
      <c r="E27" s="448" t="n"/>
      <c r="F27" s="837" t="n"/>
      <c r="G27" s="895" t="n"/>
      <c r="H27" s="896" t="n"/>
      <c r="I27" s="31" t="n"/>
      <c r="J27" s="380" t="n">
        <v>522.38</v>
      </c>
      <c r="K27" s="378">
        <f>SUM(J27*E27)</f>
        <v/>
      </c>
      <c r="L27" s="392" t="n">
        <v>0.35</v>
      </c>
      <c r="M27" s="311">
        <f>(K27/(1-L27))*(1+$D$9)</f>
        <v/>
      </c>
      <c r="N27" s="378">
        <f>(M27*VLOOKUP($C$9,'Base Costs'!$A$32:$B$37,2,FALSE))</f>
        <v/>
      </c>
      <c r="O27" s="379">
        <f>M27-K27</f>
        <v/>
      </c>
      <c r="P27" s="990" t="inlineStr">
        <is>
          <t>EDGE UP2 Plus First Year Connectivity Fee from Group</t>
        </is>
      </c>
      <c r="U27" s="229" t="n"/>
      <c r="AA27" s="1070" t="n"/>
    </row>
    <row r="28" ht="15" customHeight="1" s="1085">
      <c r="C28" s="855" t="inlineStr">
        <is>
          <t>CONNECTIVITY  (UV-GOT)</t>
        </is>
      </c>
      <c r="D28" s="1067" t="inlineStr">
        <is>
          <t xml:space="preserve"> NOT INCLUDED IN THE ABOVE</t>
        </is>
      </c>
      <c r="E28" s="448" t="n"/>
      <c r="F28" s="895" t="n"/>
      <c r="G28" s="895" t="n"/>
      <c r="H28" s="896" t="n"/>
      <c r="I28" s="31" t="n"/>
      <c r="J28" s="380" t="n">
        <v>130</v>
      </c>
      <c r="K28" s="378">
        <f>SUM(J28*E28)</f>
        <v/>
      </c>
      <c r="L28" s="392" t="n">
        <v>0.35</v>
      </c>
      <c r="M28" s="311">
        <f>(K28/(1-L28))*(1+$D$9)</f>
        <v/>
      </c>
      <c r="N28" s="378">
        <f>(M28*VLOOKUP($C$9,'Base Costs'!$A$32:$B$37,2,FALSE))</f>
        <v/>
      </c>
      <c r="O28" s="379">
        <f>M28-K28</f>
        <v/>
      </c>
      <c r="P28" s="990" t="inlineStr">
        <is>
          <t>First Year Connectivity Fee from Group</t>
        </is>
      </c>
      <c r="U28" s="229" t="n"/>
      <c r="AA28" s="1070" t="n"/>
    </row>
    <row r="29" ht="15" customHeight="1" s="1085">
      <c r="A29" s="215" t="n">
        <v>285</v>
      </c>
      <c r="C29" s="855" t="n"/>
      <c r="D29" s="460" t="n"/>
      <c r="E29" s="448" t="n"/>
      <c r="F29" s="898" t="n"/>
      <c r="G29" s="898" t="n"/>
      <c r="H29" s="899" t="n"/>
      <c r="I29" s="31" t="n"/>
      <c r="J29" s="380" t="n"/>
      <c r="K29" s="378">
        <f>SUM(J29*E29)</f>
        <v/>
      </c>
      <c r="L29" s="392" t="n"/>
      <c r="M29" s="311">
        <f>(K29/(1-L29))*(1+$D$9)</f>
        <v/>
      </c>
      <c r="N29" s="378">
        <f>(M29*VLOOKUP($C$9,'Base Costs'!$A$32:$B$37,2,FALSE))</f>
        <v/>
      </c>
      <c r="O29" s="379">
        <f>M29-K29</f>
        <v/>
      </c>
      <c r="U29" s="229" t="n"/>
      <c r="AA29" s="1070" t="n"/>
    </row>
    <row r="30" ht="15" customHeight="1" s="1085">
      <c r="C30" s="855" t="n"/>
      <c r="D30" s="460" t="n"/>
      <c r="E30" s="448" t="n"/>
      <c r="F30" s="898" t="n"/>
      <c r="G30" s="898" t="n"/>
      <c r="H30" s="899" t="n"/>
      <c r="I30" s="31" t="n"/>
      <c r="J30" s="380" t="n"/>
      <c r="K30" s="378">
        <f>SUM(J30*E30)</f>
        <v/>
      </c>
      <c r="L30" s="392" t="n"/>
      <c r="M30" s="311">
        <f>(K30/(1-L30))*(1+$D$9)</f>
        <v/>
      </c>
      <c r="N30" s="378">
        <f>(M30*VLOOKUP($C$9,'Base Costs'!$A$32:$B$37,2,FALSE))</f>
        <v/>
      </c>
      <c r="O30" s="379">
        <f>M30-K30</f>
        <v/>
      </c>
      <c r="U30" s="229" t="n"/>
      <c r="AA30" s="1070" t="n"/>
    </row>
    <row r="31" ht="15" customHeight="1" s="1085">
      <c r="C31" s="269" t="n"/>
      <c r="D31" s="460" t="n"/>
      <c r="E31" s="448" t="n"/>
      <c r="F31" s="895" t="n"/>
      <c r="G31" s="895" t="n"/>
      <c r="H31" s="896" t="n"/>
      <c r="I31" s="31" t="n"/>
      <c r="J31" s="380" t="n">
        <v>0</v>
      </c>
      <c r="K31" s="378">
        <f>SUM(J31*E31)</f>
        <v/>
      </c>
      <c r="L31" s="392" t="n"/>
      <c r="M31" s="311">
        <f>(K31/(1-L31))*(1+$D$9)</f>
        <v/>
      </c>
      <c r="N31" s="378">
        <f>(M31*VLOOKUP($C$9,'Base Costs'!$A$32:$B$37,2,FALSE))</f>
        <v/>
      </c>
      <c r="O31" s="379">
        <f>M31-K31</f>
        <v/>
      </c>
      <c r="U31" s="229" t="n"/>
      <c r="AA31" s="1070" t="n"/>
    </row>
    <row r="32" ht="15" customHeight="1" s="1085">
      <c r="A32" s="215" t="n">
        <v>286</v>
      </c>
      <c r="C32" s="270" t="n"/>
      <c r="D32" s="460" t="n"/>
      <c r="E32" s="448" t="n"/>
      <c r="F32" s="895" t="n"/>
      <c r="G32" s="895" t="n"/>
      <c r="H32" s="896" t="n"/>
      <c r="I32" s="31" t="n"/>
      <c r="J32" s="380" t="n">
        <v>0</v>
      </c>
      <c r="K32" s="378">
        <f>SUM(J32*E32)</f>
        <v/>
      </c>
      <c r="L32" s="392" t="n"/>
      <c r="M32" s="311">
        <f>(K32/(1-L32))*(1+$D$9)</f>
        <v/>
      </c>
      <c r="N32" s="378">
        <f>(M32*VLOOKUP($C$9,'Base Costs'!$A$32:$B$37,2,FALSE))</f>
        <v/>
      </c>
      <c r="O32" s="379">
        <f>M32-K32</f>
        <v/>
      </c>
      <c r="U32" s="229" t="n"/>
      <c r="AA32" s="1070" t="n"/>
    </row>
    <row r="33" ht="15" customHeight="1" s="1085">
      <c r="C33" s="269" t="n"/>
      <c r="D33" s="460" t="n"/>
      <c r="E33" s="448" t="n"/>
      <c r="F33" s="462" t="n"/>
      <c r="G33" s="32" t="n"/>
      <c r="H33" s="30" t="n"/>
      <c r="I33" s="31" t="n"/>
      <c r="J33" s="933" t="n"/>
      <c r="K33" s="378">
        <f>SUM(J33*E33)</f>
        <v/>
      </c>
      <c r="L33" s="392" t="n"/>
      <c r="M33" s="311">
        <f>(K33/(1-L33))*(1+$D$9)</f>
        <v/>
      </c>
      <c r="N33" s="378">
        <f>(M33*VLOOKUP($C$9,'Base Costs'!$A$32:$B$37,2,FALSE))</f>
        <v/>
      </c>
      <c r="O33" s="379">
        <f>M33-K33</f>
        <v/>
      </c>
      <c r="U33" s="229" t="n"/>
      <c r="AA33" s="1070" t="n"/>
    </row>
    <row r="34" ht="15" customHeight="1" s="1085">
      <c r="C34" s="855" t="n"/>
      <c r="D34" s="460" t="n"/>
      <c r="E34" s="448" t="n"/>
      <c r="F34" s="462" t="n"/>
      <c r="G34" s="32" t="n"/>
      <c r="H34" s="30" t="n"/>
      <c r="I34" s="31" t="n"/>
      <c r="J34" s="933" t="n"/>
      <c r="K34" s="378">
        <f>SUM(J34*E34)</f>
        <v/>
      </c>
      <c r="L34" s="392" t="n"/>
      <c r="M34" s="311">
        <f>(K34/(1-L34))*(1+$D$9)</f>
        <v/>
      </c>
      <c r="N34" s="378">
        <f>(M34*VLOOKUP($C$9,'Base Costs'!$A$32:$B$37,2,FALSE))</f>
        <v/>
      </c>
      <c r="O34" s="379">
        <f>M34-K34</f>
        <v/>
      </c>
      <c r="U34" s="229" t="n"/>
      <c r="AA34" s="1070" t="n"/>
    </row>
    <row r="35" ht="15" customHeight="1" s="1085">
      <c r="H35" s="34" t="inlineStr">
        <is>
          <t>SECTION UNDER 1000mm</t>
        </is>
      </c>
    </row>
    <row r="36" ht="15" customHeight="1" s="1085">
      <c r="C36" s="239" t="n"/>
      <c r="D36" s="239" t="n"/>
      <c r="E36" s="239" t="n"/>
      <c r="F36" s="239" t="n"/>
      <c r="G36" s="239" t="n"/>
      <c r="H36" s="239" t="n"/>
      <c r="I36" s="9" t="n"/>
      <c r="J36" s="11" t="n"/>
      <c r="K36" s="353" t="n"/>
      <c r="L36" s="240" t="n"/>
      <c r="M36" s="353" t="n"/>
      <c r="N36" s="353" t="n"/>
      <c r="U36" s="229" t="n"/>
      <c r="AA36" s="1070" t="n"/>
    </row>
    <row r="37" ht="15" customHeight="1" s="1085">
      <c r="C37" s="1089" t="inlineStr">
        <is>
          <t xml:space="preserve">DELIVERY &amp; INSTALLATION </t>
        </is>
      </c>
      <c r="I37" s="236" t="n"/>
      <c r="J37" s="330" t="n"/>
      <c r="K37" s="154">
        <f>SUBTOTAL(9,K38:K48)</f>
        <v/>
      </c>
      <c r="L37" s="15">
        <f>IF(K38=0,"-",O37/M37)</f>
        <v/>
      </c>
      <c r="M37" s="154">
        <f>SUBTOTAL(9,M38:M48)</f>
        <v/>
      </c>
      <c r="N37" s="464">
        <f>SUBTOTAL(9,N38:N48)</f>
        <v/>
      </c>
      <c r="O37" s="154">
        <f>SUBTOTAL(9,O39:O48)</f>
        <v/>
      </c>
      <c r="U37" s="229" t="n"/>
    </row>
    <row r="38" ht="15" customHeight="1" s="1085">
      <c r="A38" s="215" t="n">
        <v>222</v>
      </c>
      <c r="C38" s="269" t="inlineStr">
        <is>
          <t xml:space="preserve">DELIVERIES </t>
        </is>
      </c>
      <c r="D38" s="242" t="n"/>
      <c r="E38" s="309" t="inlineStr">
        <is>
          <t>SELECT LOCATION…</t>
        </is>
      </c>
      <c r="F38" s="28" t="n"/>
      <c r="G38" s="30" t="n"/>
      <c r="H38" s="28" t="n"/>
      <c r="I38" s="28" t="n"/>
      <c r="J38" s="385">
        <f>VLOOKUP(E38,'Base Costs'!E4:G213,2,FALSE)</f>
        <v/>
      </c>
      <c r="K38" s="378">
        <f>D38*J38</f>
        <v/>
      </c>
      <c r="L38" s="392" t="n">
        <v>0.33</v>
      </c>
      <c r="M38" s="311">
        <f>(K38/(1-L38))*(1+$D$9)</f>
        <v/>
      </c>
      <c r="N38" s="378">
        <f>(M38*VLOOKUP($C$9,'Base Costs'!$A$32:$B$37,2,FALSE))</f>
        <v/>
      </c>
      <c r="O38" s="379">
        <f>M38-K38</f>
        <v/>
      </c>
      <c r="U38" s="229" t="n"/>
    </row>
    <row r="39" ht="15" customHeight="1" s="1085">
      <c r="A39" s="215" t="n">
        <v>257</v>
      </c>
      <c r="C39" s="269" t="inlineStr">
        <is>
          <t>PLANT HIRE</t>
        </is>
      </c>
      <c r="D39" s="242" t="n"/>
      <c r="E39" s="309" t="inlineStr">
        <is>
          <t>PLANT SELECTION (weekly)</t>
        </is>
      </c>
      <c r="F39" s="28" t="n"/>
      <c r="G39" s="28" t="n"/>
      <c r="H39" s="28" t="n"/>
      <c r="I39" s="28" t="n"/>
      <c r="J39" s="385">
        <f>VLOOKUP(E39,'Base Costs'!$A$4:$B$16,2,FALSE)</f>
        <v/>
      </c>
      <c r="K39" s="378">
        <f>D39*J39</f>
        <v/>
      </c>
      <c r="L39" s="392" t="n">
        <v>0.33</v>
      </c>
      <c r="M39" s="311">
        <f>(K39/(1-L39))*(1+$D$9)</f>
        <v/>
      </c>
      <c r="N39" s="378">
        <f>(M39*VLOOKUP($C$9,'Base Costs'!$A$32:$B$37,2,FALSE))</f>
        <v/>
      </c>
      <c r="O39" s="379">
        <f>M39-K39</f>
        <v/>
      </c>
      <c r="U39" s="229" t="n"/>
    </row>
    <row r="40" ht="15" customHeight="1" s="1085">
      <c r="A40" s="215" t="n">
        <v>257</v>
      </c>
      <c r="C40" s="269" t="inlineStr">
        <is>
          <t>PLANT HIRE</t>
        </is>
      </c>
      <c r="D40" s="242" t="n"/>
      <c r="E40" s="309" t="inlineStr">
        <is>
          <t>PLANT SELECTION (weekly)</t>
        </is>
      </c>
      <c r="F40" s="28" t="n"/>
      <c r="G40" s="28" t="n"/>
      <c r="H40" s="28" t="n"/>
      <c r="I40" s="28" t="n"/>
      <c r="J40" s="385">
        <f>VLOOKUP(E40,'Base Costs'!$A$4:$B$16,2,FALSE)</f>
        <v/>
      </c>
      <c r="K40" s="378">
        <f>D40*J40</f>
        <v/>
      </c>
      <c r="L40" s="392" t="n">
        <v>0.33</v>
      </c>
      <c r="M40" s="311">
        <f>(K40/(1-L40))*(1+$D$9)</f>
        <v/>
      </c>
      <c r="N40" s="378">
        <f>(M40*VLOOKUP($C$9,'Base Costs'!$A$32:$B$37,2,FALSE))</f>
        <v/>
      </c>
      <c r="O40" s="379">
        <f>M40-K40</f>
        <v/>
      </c>
      <c r="U40" s="229" t="n"/>
    </row>
    <row r="41" ht="15" customHeight="1" s="1085">
      <c r="A41" s="215" t="n">
        <v>400</v>
      </c>
      <c r="C41" s="269" t="inlineStr">
        <is>
          <t>STRIP OUT</t>
        </is>
      </c>
      <c r="D41" s="242" t="n"/>
      <c r="E41" s="28" t="inlineStr">
        <is>
          <t>PER DAY</t>
        </is>
      </c>
      <c r="F41" s="28" t="n"/>
      <c r="G41" s="28" t="n"/>
      <c r="H41" s="28" t="n"/>
      <c r="I41" s="28" t="n"/>
      <c r="J41" s="385" t="n">
        <v>450</v>
      </c>
      <c r="K41" s="378">
        <f>D41*J41</f>
        <v/>
      </c>
      <c r="L41" s="392" t="n">
        <v>0.33</v>
      </c>
      <c r="M41" s="311">
        <f>(K41/(1-L41))*(1+$D$9)</f>
        <v/>
      </c>
      <c r="N41" s="378">
        <f>(M41*VLOOKUP($C$9,'Base Costs'!$A$32:$B$37,2,FALSE))</f>
        <v/>
      </c>
      <c r="O41" s="379">
        <f>M41-K41</f>
        <v/>
      </c>
      <c r="U41" s="229" t="n"/>
    </row>
    <row r="42" ht="15" customHeight="1" s="1085">
      <c r="A42" s="215" t="n">
        <v>102</v>
      </c>
      <c r="C42" s="269" t="inlineStr">
        <is>
          <t xml:space="preserve">CONSUMABLES </t>
        </is>
      </c>
      <c r="D42" s="242" t="n">
        <v>1</v>
      </c>
      <c r="E42" s="28" t="inlineStr">
        <is>
          <t>ON SITE FIXINGS</t>
        </is>
      </c>
      <c r="F42" s="28" t="n"/>
      <c r="G42" s="28" t="n"/>
      <c r="H42" s="28" t="n"/>
      <c r="I42" s="28" t="n"/>
      <c r="J42" s="385" t="n">
        <v>15</v>
      </c>
      <c r="K42" s="378">
        <f>D42*J42</f>
        <v/>
      </c>
      <c r="L42" s="392" t="n">
        <v>0.33</v>
      </c>
      <c r="M42" s="311">
        <f>(K42/(1-L42))*(1+$D$9)</f>
        <v/>
      </c>
      <c r="N42" s="378">
        <f>(M42*VLOOKUP($C$9,'Base Costs'!$A$32:$B$37,2,FALSE))</f>
        <v/>
      </c>
      <c r="O42" s="379">
        <f>M42-K42</f>
        <v/>
      </c>
      <c r="U42" s="229" t="n"/>
    </row>
    <row r="43" ht="15" customHeight="1" s="1085">
      <c r="A43" s="215" t="n">
        <v>400</v>
      </c>
      <c r="C43" s="269" t="inlineStr">
        <is>
          <t>INSTALLATION NORMAL HOURS</t>
        </is>
      </c>
      <c r="D43" s="242" t="n">
        <v>1</v>
      </c>
      <c r="E43" s="28" t="inlineStr">
        <is>
          <t>PER BOX</t>
        </is>
      </c>
      <c r="F43" s="28" t="n"/>
      <c r="G43" s="28" t="n"/>
      <c r="H43" s="28" t="n"/>
      <c r="I43" s="28" t="n"/>
      <c r="J43" s="385" t="n">
        <v>152.5</v>
      </c>
      <c r="K43" s="378">
        <f>D43*J43</f>
        <v/>
      </c>
      <c r="L43" s="392" t="n">
        <v>0.4</v>
      </c>
      <c r="M43" s="311">
        <f>(K43/(1-L43))*(1+$D$9)</f>
        <v/>
      </c>
      <c r="N43" s="378">
        <f>(M43*VLOOKUP($C$9,'Base Costs'!$A$32:$B$37,2,FALSE))</f>
        <v/>
      </c>
      <c r="O43" s="379">
        <f>M43-K43</f>
        <v/>
      </c>
      <c r="U43" s="229" t="n"/>
    </row>
    <row r="44" ht="15" customHeight="1" s="1085">
      <c r="A44" s="215" t="n">
        <v>400</v>
      </c>
      <c r="C44" s="269" t="inlineStr">
        <is>
          <t>INSTALLATION AFTER HOURS</t>
        </is>
      </c>
      <c r="D44" s="242" t="n"/>
      <c r="E44" s="28" t="inlineStr">
        <is>
          <t>PER BOX</t>
        </is>
      </c>
      <c r="F44" s="28" t="n"/>
      <c r="G44" s="28" t="n"/>
      <c r="H44" s="28" t="n"/>
      <c r="I44" s="28" t="n"/>
      <c r="J44" s="385" t="n">
        <v>861</v>
      </c>
      <c r="K44" s="378">
        <f>D44*J44</f>
        <v/>
      </c>
      <c r="L44" s="392" t="n">
        <v>0.4</v>
      </c>
      <c r="M44" s="311">
        <f>(K44/(1-L44))*(1+$D$9)</f>
        <v/>
      </c>
      <c r="N44" s="378">
        <f>(M44*VLOOKUP($C$9,'Base Costs'!$A$32:$B$37,2,FALSE))</f>
        <v/>
      </c>
      <c r="O44" s="379">
        <f>M44-K44</f>
        <v/>
      </c>
      <c r="U44" s="229" t="n"/>
    </row>
    <row r="45" ht="15" customHeight="1" s="1085">
      <c r="A45" s="215" t="n">
        <v>253</v>
      </c>
      <c r="C45" s="269" t="inlineStr">
        <is>
          <t>TRAVEL EXPENSES</t>
        </is>
      </c>
      <c r="D45" s="242" t="n"/>
      <c r="E45" s="28" t="inlineStr">
        <is>
          <t>PER NIGHT PER TEAM</t>
        </is>
      </c>
      <c r="F45" s="28" t="n"/>
      <c r="G45" s="28" t="n"/>
      <c r="H45" s="28" t="n"/>
      <c r="I45" s="28" t="n"/>
      <c r="J45" s="385" t="n"/>
      <c r="K45" s="378">
        <f>D45*J45</f>
        <v/>
      </c>
      <c r="L45" s="392" t="n">
        <v>0.33</v>
      </c>
      <c r="M45" s="311">
        <f>(K45/(1-L45))*(1+$D$9)</f>
        <v/>
      </c>
      <c r="N45" s="378">
        <f>(M45*VLOOKUP($C$9,'Base Costs'!$A$32:$B$37,2,FALSE))</f>
        <v/>
      </c>
      <c r="O45" s="379">
        <f>M45-K45</f>
        <v/>
      </c>
      <c r="U45" s="229" t="n"/>
    </row>
    <row r="46" ht="15" customHeight="1" s="1085">
      <c r="A46" s="215" t="n">
        <v>253</v>
      </c>
      <c r="C46" s="269" t="inlineStr">
        <is>
          <t>OVERNIGHT</t>
        </is>
      </c>
      <c r="D46" s="242" t="n"/>
      <c r="E46" s="28" t="inlineStr">
        <is>
          <t>PER NIGHT PER TEAM</t>
        </is>
      </c>
      <c r="F46" s="28" t="n"/>
      <c r="G46" s="28" t="n"/>
      <c r="H46" s="28" t="n"/>
      <c r="I46" s="28" t="n"/>
      <c r="J46" s="385" t="n">
        <v>170</v>
      </c>
      <c r="K46" s="378">
        <f>D46*J46</f>
        <v/>
      </c>
      <c r="L46" s="392" t="n">
        <v>0.33</v>
      </c>
      <c r="M46" s="311">
        <f>(K46/(1-L46))*(1+$D$9)</f>
        <v/>
      </c>
      <c r="N46" s="378">
        <f>(M46*VLOOKUP($C$9,'Base Costs'!$A$32:$B$37,2,FALSE))</f>
        <v/>
      </c>
      <c r="O46" s="379">
        <f>M46-K46</f>
        <v/>
      </c>
      <c r="U46" s="229" t="n"/>
    </row>
    <row r="47" ht="15" customHeight="1" s="1085">
      <c r="A47" s="215" t="n">
        <v>280</v>
      </c>
      <c r="C47" s="269" t="inlineStr">
        <is>
          <t>TEST &amp; COMMISSION</t>
        </is>
      </c>
      <c r="D47" s="242" t="n"/>
      <c r="E47" s="28" t="inlineStr">
        <is>
          <t>ONE ENGINEER</t>
        </is>
      </c>
      <c r="F47" s="28" t="n"/>
      <c r="G47" s="28" t="n"/>
      <c r="H47" s="28" t="n"/>
      <c r="I47" s="28" t="n"/>
      <c r="J47" s="385" t="n">
        <v>604</v>
      </c>
      <c r="K47" s="378">
        <f>D47*J47</f>
        <v/>
      </c>
      <c r="L47" s="392" t="n">
        <v>0.33</v>
      </c>
      <c r="M47" s="311">
        <f>(K47/(1-L47))*(1+$D$9)</f>
        <v/>
      </c>
      <c r="N47" s="378">
        <f>(M47*VLOOKUP($C$9,'Base Costs'!$A$32:$B$37,2,FALSE))</f>
        <v/>
      </c>
      <c r="O47" s="379">
        <f>M47-K47</f>
        <v/>
      </c>
      <c r="U47" s="229" t="n"/>
    </row>
    <row r="48" ht="15" customHeight="1" s="1085">
      <c r="A48" s="215" t="n">
        <v>284</v>
      </c>
      <c r="C48" s="269" t="n"/>
      <c r="D48" s="242" t="n"/>
      <c r="E48" s="28" t="inlineStr">
        <is>
          <t>OPTIONAL ITEM</t>
        </is>
      </c>
      <c r="F48" s="28" t="n"/>
      <c r="G48" s="28" t="n"/>
      <c r="H48" s="28" t="n"/>
      <c r="I48" s="28" t="n"/>
      <c r="J48" s="385" t="n">
        <v>200</v>
      </c>
      <c r="K48" s="378">
        <f>D48*J48</f>
        <v/>
      </c>
      <c r="L48" s="392" t="n">
        <v>0.33</v>
      </c>
      <c r="M48" s="311">
        <f>(K48/(1-L48))*(1+$D$9)</f>
        <v/>
      </c>
      <c r="N48" s="378">
        <f>(M48*VLOOKUP($C$9,'Base Costs'!$A$32:$B$37,2,FALSE))</f>
        <v/>
      </c>
      <c r="O48" s="379">
        <f>M48-K48</f>
        <v/>
      </c>
      <c r="U48" s="229" t="n"/>
    </row>
    <row r="49" ht="15" customHeight="1" s="1085">
      <c r="C49" s="239" t="n"/>
      <c r="D49" s="239" t="n"/>
      <c r="E49" s="239" t="n"/>
      <c r="F49" s="239" t="n"/>
      <c r="G49" s="239" t="n"/>
      <c r="H49" s="243" t="n"/>
      <c r="I49" s="244" t="n"/>
      <c r="J49" s="354" t="n"/>
      <c r="K49" s="353" t="n"/>
      <c r="L49" s="355" t="n"/>
      <c r="M49" s="353" t="n"/>
      <c r="N49" s="353" t="n"/>
      <c r="U49" s="229" t="n"/>
    </row>
    <row r="50" ht="15" customHeight="1" s="1085">
      <c r="C50" s="197" t="inlineStr">
        <is>
          <t>Office Use Only</t>
        </is>
      </c>
      <c r="D50" s="198" t="n"/>
      <c r="E50" s="199" t="n"/>
      <c r="F50" s="199" t="n"/>
      <c r="G50" s="198" t="n"/>
      <c r="H50" s="200" t="n"/>
      <c r="I50" s="198" t="n"/>
      <c r="J50" s="198" t="n"/>
      <c r="K50" s="198" t="n"/>
      <c r="L50" s="198" t="n"/>
      <c r="M50" s="198" t="n"/>
      <c r="N50" s="198" t="n"/>
      <c r="O50" s="198" t="n"/>
      <c r="U50" s="229" t="n"/>
    </row>
    <row r="51" ht="15" customHeight="1" s="1085">
      <c r="C51" s="202" t="n"/>
      <c r="D51" s="203" t="n"/>
      <c r="E51" s="202" t="n"/>
      <c r="F51" s="204" t="n"/>
      <c r="G51" s="202" t="n"/>
      <c r="H51" s="209" t="n"/>
      <c r="I51" s="203" t="n"/>
      <c r="J51" s="203" t="n"/>
      <c r="K51" s="205" t="n"/>
      <c r="L51" s="205" t="n"/>
      <c r="M51" s="205" t="n"/>
      <c r="N51" s="205" t="n"/>
      <c r="O51" s="205" t="n"/>
      <c r="U51" s="229" t="n"/>
    </row>
    <row r="52" ht="15" customHeight="1" s="1085">
      <c r="C52" s="202" t="n"/>
      <c r="D52" s="203" t="n"/>
      <c r="E52" s="202" t="n"/>
      <c r="F52" s="204" t="n"/>
      <c r="G52" s="202" t="n"/>
      <c r="H52" s="209" t="n"/>
      <c r="I52" s="203" t="n"/>
      <c r="J52" s="203" t="n"/>
      <c r="K52" s="205" t="n"/>
      <c r="L52" s="205" t="n"/>
      <c r="M52" s="205" t="n"/>
      <c r="N52" s="205" t="n"/>
      <c r="O52" s="205" t="n"/>
      <c r="U52" s="229" t="n"/>
    </row>
    <row r="53" ht="15" customHeight="1" s="1085">
      <c r="C53" s="202" t="n"/>
      <c r="D53" s="203" t="n"/>
      <c r="E53" s="202" t="n"/>
      <c r="F53" s="204" t="n"/>
      <c r="G53" s="202" t="n"/>
      <c r="H53" s="209" t="n"/>
      <c r="I53" s="203" t="n"/>
      <c r="J53" s="203" t="n"/>
      <c r="K53" s="209" t="n"/>
      <c r="L53" s="209" t="n"/>
      <c r="M53" s="209" t="n"/>
      <c r="N53" s="209" t="n"/>
      <c r="O53" s="209" t="n"/>
      <c r="U53" s="229" t="n"/>
    </row>
    <row r="54" ht="15" customHeight="1" s="1085">
      <c r="C54" s="202" t="n"/>
      <c r="D54" s="203" t="n"/>
      <c r="E54" s="202" t="n"/>
      <c r="F54" s="204" t="n"/>
      <c r="G54" s="202" t="n"/>
      <c r="H54" s="209" t="n"/>
      <c r="I54" s="206" t="n"/>
      <c r="J54" s="203" t="n"/>
      <c r="K54" s="209" t="n"/>
      <c r="L54" s="209" t="n"/>
      <c r="M54" s="209" t="n"/>
      <c r="N54" s="209" t="n"/>
      <c r="O54" s="209" t="n"/>
      <c r="U54" s="229" t="n"/>
    </row>
    <row r="55" ht="15" customHeight="1" s="1085">
      <c r="C55" s="202" t="n"/>
      <c r="D55" s="203" t="n"/>
      <c r="E55" s="202" t="n"/>
      <c r="F55" s="202" t="n"/>
      <c r="G55" s="202" t="n"/>
      <c r="H55" s="207" t="n"/>
      <c r="I55" s="209" t="n"/>
      <c r="J55" s="203" t="n"/>
      <c r="K55" s="205" t="n"/>
      <c r="L55" s="205" t="n"/>
      <c r="M55" s="205" t="n"/>
      <c r="N55" s="205" t="n"/>
      <c r="O55" s="205" t="n"/>
      <c r="U55" s="229" t="n"/>
    </row>
    <row r="56" ht="15" customHeight="1" s="1085">
      <c r="C56" s="202" t="n"/>
      <c r="D56" s="202" t="n"/>
      <c r="E56" s="202" t="n"/>
      <c r="F56" s="202" t="n"/>
      <c r="G56" s="202" t="n"/>
      <c r="H56" s="207" t="n"/>
      <c r="I56" s="209" t="n"/>
      <c r="J56" s="203" t="n"/>
      <c r="K56" s="205" t="n"/>
      <c r="L56" s="205" t="n"/>
      <c r="M56" s="205" t="n"/>
      <c r="N56" s="205" t="n"/>
      <c r="O56" s="205" t="n"/>
      <c r="U56" s="229" t="n"/>
    </row>
    <row r="57" ht="15" customHeight="1" s="1085">
      <c r="J57" s="228" t="n"/>
      <c r="M57" s="228" t="n"/>
      <c r="O57" s="228" t="n"/>
      <c r="U57" s="229" t="n"/>
    </row>
    <row r="58" ht="15" customHeight="1" s="1085">
      <c r="J58" s="228" t="n"/>
      <c r="M58" s="228" t="n"/>
      <c r="O58" s="228" t="n"/>
      <c r="U58" s="229" t="n"/>
    </row>
    <row r="59" ht="15" customHeight="1" s="1085">
      <c r="H59" s="219" t="n"/>
      <c r="U59" s="229" t="n"/>
    </row>
    <row r="60" ht="15" customHeight="1" s="1085">
      <c r="H60" s="219" t="n"/>
      <c r="U60" s="229" t="n"/>
    </row>
    <row r="61" ht="15" customHeight="1" s="1085">
      <c r="H61" s="219" t="n"/>
      <c r="U61" s="229" t="n"/>
    </row>
    <row r="62" ht="15" customHeight="1" s="1085">
      <c r="H62" s="219" t="n"/>
      <c r="U62" s="229" t="n"/>
    </row>
    <row r="63" ht="15" customHeight="1" s="1085">
      <c r="H63" s="219" t="n"/>
      <c r="U63" s="229" t="n"/>
    </row>
    <row r="64" ht="15" customHeight="1" s="1085">
      <c r="H64" s="219" t="n"/>
      <c r="U64" s="229" t="n"/>
    </row>
    <row r="65" ht="15" customHeight="1" s="1085">
      <c r="H65" s="219" t="n"/>
      <c r="U65" s="229" t="n"/>
    </row>
    <row r="66" ht="15" customHeight="1" s="1085">
      <c r="H66" s="219" t="n"/>
      <c r="U66" s="229" t="n"/>
    </row>
    <row r="67" ht="15" customHeight="1" s="1085">
      <c r="H67" s="219" t="n"/>
      <c r="U67" s="229" t="n"/>
    </row>
    <row r="68" ht="15" customHeight="1" s="1085">
      <c r="C68" s="245" t="n"/>
      <c r="D68" s="245" t="n"/>
      <c r="E68" s="245" t="n"/>
      <c r="F68" s="245" t="n"/>
      <c r="G68" s="245" t="n"/>
      <c r="H68" s="245" t="n"/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3" ht="15" customHeight="1" s="1085">
      <c r="U103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2" ht="15" customHeight="1" s="1085">
      <c r="U112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1" ht="15" customHeight="1" s="1085">
      <c r="U121" s="229" t="n"/>
    </row>
    <row r="122" ht="15" customHeight="1" s="1085">
      <c r="U122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  <row r="142" ht="15" customHeight="1" s="1085">
      <c r="U142" s="229" t="n"/>
    </row>
    <row r="143" ht="15" customHeight="1" s="1085">
      <c r="U143" s="229" t="n"/>
    </row>
    <row r="144" ht="15" customHeight="1" s="1085">
      <c r="U144" s="229" t="n"/>
    </row>
    <row r="145" ht="15" customHeight="1" s="1085">
      <c r="U145" s="229" t="n"/>
    </row>
    <row r="146" ht="15" customHeight="1" s="1085">
      <c r="U146" s="229" t="n"/>
    </row>
    <row r="147" ht="15" customHeight="1" s="1085">
      <c r="U147" s="229" t="n"/>
    </row>
    <row r="148" ht="15" customHeight="1" s="1085">
      <c r="U148" s="229" t="n"/>
    </row>
    <row r="149" ht="15" customHeight="1" s="1085">
      <c r="U149" s="229" t="n"/>
    </row>
    <row r="150" ht="15" customHeight="1" s="1085">
      <c r="U150" s="229" t="n"/>
    </row>
    <row r="151" ht="15" customHeight="1" s="1085">
      <c r="U151" s="229" t="n"/>
    </row>
    <row r="152" ht="15" customHeight="1" s="1085">
      <c r="U152" s="229" t="n"/>
    </row>
    <row r="153" ht="15" customHeight="1" s="1085">
      <c r="U153" s="229" t="n"/>
    </row>
    <row r="154" ht="15" customHeight="1" s="1085">
      <c r="U154" s="229" t="n"/>
    </row>
    <row r="155" ht="15" customHeight="1" s="1085">
      <c r="U155" s="229" t="n"/>
    </row>
    <row r="156" ht="15" customHeight="1" s="1085">
      <c r="U156" s="229" t="n"/>
    </row>
    <row r="157" ht="15" customHeight="1" s="1085">
      <c r="U157" s="229" t="n"/>
    </row>
    <row r="158" ht="15" customHeight="1" s="1085">
      <c r="U158" s="229" t="n"/>
    </row>
    <row r="159" ht="15" customHeight="1" s="1085">
      <c r="U159" s="229" t="n"/>
    </row>
    <row r="160" ht="15" customHeight="1" s="1085">
      <c r="U160" s="229" t="n"/>
    </row>
    <row r="161" ht="15" customHeight="1" s="1085">
      <c r="U161" s="229" t="n"/>
    </row>
  </sheetData>
  <mergeCells count="9">
    <mergeCell ref="P7:R7"/>
    <mergeCell ref="D7:E7"/>
    <mergeCell ref="C1:D1"/>
    <mergeCell ref="H5:J5"/>
    <mergeCell ref="C37:H37"/>
    <mergeCell ref="D5:E5"/>
    <mergeCell ref="H3:J3"/>
    <mergeCell ref="D3:E3"/>
    <mergeCell ref="H7:J7"/>
  </mergeCells>
  <conditionalFormatting sqref="C9">
    <cfRule type="containsText" priority="35" operator="containsText" dxfId="680" text="SELECT">
      <formula>NOT(ISERROR(SEARCH("SELECT",C9)))</formula>
    </cfRule>
    <cfRule type="expression" priority="36" dxfId="680">
      <formula>C9="CURRENCY"</formula>
    </cfRule>
  </conditionalFormatting>
  <conditionalFormatting sqref="C14:C34">
    <cfRule type="expression" priority="1" dxfId="633">
      <formula>$J14&gt;0</formula>
    </cfRule>
  </conditionalFormatting>
  <conditionalFormatting sqref="C38:C48">
    <cfRule type="expression" priority="12" dxfId="633">
      <formula>$D38&gt;0</formula>
    </cfRule>
  </conditionalFormatting>
  <conditionalFormatting sqref="D38:D39 D41:D48">
    <cfRule type="cellIs" priority="37" operator="lessThan" dxfId="554">
      <formula>1</formula>
    </cfRule>
  </conditionalFormatting>
  <conditionalFormatting sqref="D40">
    <cfRule type="cellIs" priority="32" operator="lessThan" dxfId="164">
      <formula>1</formula>
    </cfRule>
  </conditionalFormatting>
  <conditionalFormatting sqref="D9:E9">
    <cfRule type="cellIs" priority="33" operator="lessThan" dxfId="207">
      <formula>0</formula>
    </cfRule>
    <cfRule type="cellIs" priority="34" operator="greaterThan" dxfId="552">
      <formula>0</formula>
    </cfRule>
  </conditionalFormatting>
  <conditionalFormatting sqref="F12">
    <cfRule type="expression" priority="42" dxfId="386">
      <formula>AND((ISNUMBER(SEARCH("I-MUAP",$E$14))),F12&lt;2500)</formula>
    </cfRule>
    <cfRule type="expression" priority="43" dxfId="387">
      <formula>ISNUMBER(SEARCH("I-MUAP",$E$14))</formula>
    </cfRule>
    <cfRule type="cellIs" priority="44" operator="greaterThan" dxfId="204">
      <formula>2000</formula>
    </cfRule>
  </conditionalFormatting>
  <conditionalFormatting sqref="F12:G12">
    <cfRule type="cellIs" priority="38" operator="lessThan" dxfId="204">
      <formula>1000</formula>
    </cfRule>
  </conditionalFormatting>
  <conditionalFormatting sqref="F14:G28">
    <cfRule type="cellIs" priority="5" operator="lessThan" dxfId="164">
      <formula>1000</formula>
    </cfRule>
  </conditionalFormatting>
  <conditionalFormatting sqref="F31:G32">
    <cfRule type="cellIs" priority="2" operator="lessThan" dxfId="164">
      <formula>1000</formula>
    </cfRule>
  </conditionalFormatting>
  <conditionalFormatting sqref="G12">
    <cfRule type="cellIs" priority="39" operator="greaterThan" dxfId="204">
      <formula>3001</formula>
    </cfRule>
  </conditionalFormatting>
  <conditionalFormatting sqref="H11">
    <cfRule type="expression" priority="41" dxfId="176">
      <formula>((G14-50)/I14)&lt;950</formula>
    </cfRule>
  </conditionalFormatting>
  <conditionalFormatting sqref="H12">
    <cfRule type="expression" priority="40" dxfId="175">
      <formula>((G14-50)/I14)&lt;950</formula>
    </cfRule>
  </conditionalFormatting>
  <conditionalFormatting sqref="H14:H28">
    <cfRule type="cellIs" priority="6" operator="lessThan" dxfId="164">
      <formula>400</formula>
    </cfRule>
  </conditionalFormatting>
  <conditionalFormatting sqref="H31:H32">
    <cfRule type="cellIs" priority="3" operator="lessThan" dxfId="164">
      <formula>400</formula>
    </cfRule>
  </conditionalFormatting>
  <conditionalFormatting sqref="H35">
    <cfRule type="expression" priority="49" dxfId="176">
      <formula>((#REF!-50)/#REF!)&lt;950</formula>
    </cfRule>
  </conditionalFormatting>
  <conditionalFormatting sqref="J14:J32">
    <cfRule type="cellIs" priority="17" operator="greaterThan" dxfId="153">
      <formula>0</formula>
    </cfRule>
  </conditionalFormatting>
  <conditionalFormatting sqref="J38:J48">
    <cfRule type="expression" priority="25" dxfId="153">
      <formula>D38&gt;0</formula>
    </cfRule>
  </conditionalFormatting>
  <conditionalFormatting sqref="J50:J56">
    <cfRule type="expression" priority="30" dxfId="2">
      <formula>#REF!="EURO"</formula>
    </cfRule>
  </conditionalFormatting>
  <conditionalFormatting sqref="K14:K34">
    <cfRule type="cellIs" priority="4" operator="greaterThan" dxfId="141">
      <formula>0</formula>
    </cfRule>
  </conditionalFormatting>
  <conditionalFormatting sqref="K38:K48">
    <cfRule type="cellIs" priority="31" operator="greaterThan" dxfId="141">
      <formula>0</formula>
    </cfRule>
  </conditionalFormatting>
  <conditionalFormatting sqref="K50:K56">
    <cfRule type="expression" priority="26" dxfId="4">
      <formula>$C$9="PLN"</formula>
    </cfRule>
    <cfRule type="expression" priority="27" dxfId="0">
      <formula>$C$9="CZK"</formula>
    </cfRule>
    <cfRule type="expression" priority="28" dxfId="3">
      <formula>$C$9="USD"</formula>
    </cfRule>
    <cfRule type="expression" priority="29" dxfId="2">
      <formula>$C$9="EURO"</formula>
    </cfRule>
  </conditionalFormatting>
  <conditionalFormatting sqref="L14:L34">
    <cfRule type="expression" priority="15" dxfId="116">
      <formula>$D$9&lt;0</formula>
    </cfRule>
    <cfRule type="expression" priority="16" dxfId="115">
      <formula>$D$9&gt;0</formula>
    </cfRule>
  </conditionalFormatting>
  <conditionalFormatting sqref="L38:L48">
    <cfRule type="expression" priority="13" dxfId="116">
      <formula>$D$9&lt;0</formula>
    </cfRule>
    <cfRule type="expression" priority="14" dxfId="115">
      <formula>$D$9&gt;0</formula>
    </cfRule>
  </conditionalFormatting>
  <conditionalFormatting sqref="N9 N12">
    <cfRule type="expression" priority="45" dxfId="4">
      <formula>$C$9="PLN"</formula>
    </cfRule>
    <cfRule type="expression" priority="46" dxfId="0">
      <formula>$C$9="CZK"</formula>
    </cfRule>
    <cfRule type="expression" priority="47" dxfId="3">
      <formula>$C$9="USD"</formula>
    </cfRule>
    <cfRule type="expression" priority="48" dxfId="2">
      <formula>$C$9="EURO"</formula>
    </cfRule>
  </conditionalFormatting>
  <conditionalFormatting sqref="N14:N34">
    <cfRule type="expression" priority="19" dxfId="4">
      <formula>$C$9="PLN"</formula>
    </cfRule>
    <cfRule type="expression" priority="20" dxfId="0">
      <formula>$C$9="CZK"</formula>
    </cfRule>
    <cfRule type="expression" priority="21" dxfId="3">
      <formula>$C$9="USD"</formula>
    </cfRule>
    <cfRule type="expression" priority="22" dxfId="2">
      <formula>$C$9="EURO"</formula>
    </cfRule>
  </conditionalFormatting>
  <conditionalFormatting sqref="N18:N22">
    <cfRule type="cellIs" priority="23" operator="greaterThan" dxfId="5">
      <formula>0</formula>
    </cfRule>
  </conditionalFormatting>
  <conditionalFormatting sqref="N37:N48">
    <cfRule type="expression" priority="8" dxfId="4">
      <formula>$C$9="PLN"</formula>
    </cfRule>
    <cfRule type="expression" priority="9" dxfId="0">
      <formula>$C$9="CZK"</formula>
    </cfRule>
    <cfRule type="expression" priority="10" dxfId="3">
      <formula>$C$9="USD"</formula>
    </cfRule>
    <cfRule type="expression" priority="11" dxfId="2">
      <formula>$C$9="EURO"</formula>
    </cfRule>
  </conditionalFormatting>
  <conditionalFormatting sqref="N14:O34">
    <cfRule type="cellIs" priority="18" operator="greaterThan" dxfId="5">
      <formula>0</formula>
    </cfRule>
  </conditionalFormatting>
  <conditionalFormatting sqref="N38:O48">
    <cfRule type="cellIs" priority="7" operator="greaterThan" dxfId="141">
      <formula>0</formula>
    </cfRule>
  </conditionalFormatting>
  <conditionalFormatting sqref="O14:O22">
    <cfRule type="cellIs" priority="24" operator="greaterThan" dxfId="5">
      <formula>0</formula>
    </cfRule>
  </conditionalFormatting>
  <dataValidations count="3">
    <dataValidation sqref="H36" showDropDown="0" showInputMessage="1" showErrorMessage="1" allowBlank="1" type="list">
      <formula1>#REF!</formula1>
    </dataValidation>
    <dataValidation sqref="F14:F28 F31:F32" showDropDown="0" showInputMessage="1" showErrorMessage="1" allowBlank="1" operator="greaterThan"/>
    <dataValidation sqref="E14:E34" showDropDown="0" showInputMessage="1" showErrorMessage="1" allowBlank="1" type="list">
      <formula1>"0,1,2,3,4,5,6,7,8,9,10,11,12,13,14,15,16,17,18,19,20"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61"/>
  <drawing xmlns:r="http://schemas.openxmlformats.org/officeDocument/2006/relationships" r:id="rId1"/>
</worksheet>
</file>

<file path=xl/worksheets/sheet47.xml><?xml version="1.0" encoding="utf-8"?>
<worksheet xmlns="http://schemas.openxmlformats.org/spreadsheetml/2006/main">
  <sheetPr>
    <tabColor theme="8" tint="0.7999816888943144"/>
    <outlinePr summaryBelow="1" summaryRight="1"/>
    <pageSetUpPr fitToPage="1"/>
  </sheetPr>
  <dimension ref="A1:AB161"/>
  <sheetViews>
    <sheetView showGridLines="0" zoomScale="70" zoomScaleNormal="70" zoomScaleSheetLayoutView="50" workbookViewId="0">
      <selection activeCell="Q35" sqref="Q35"/>
    </sheetView>
  </sheetViews>
  <sheetFormatPr baseColWidth="10" defaultColWidth="8.83203125" defaultRowHeight="15" customHeight="1"/>
  <cols>
    <col width="2" customWidth="1" style="215" min="1" max="2"/>
    <col width="39.5" customWidth="1" style="1070" min="3" max="3"/>
    <col width="39.83203125" customWidth="1" style="1070" min="4" max="4"/>
    <col width="27.1640625" customWidth="1" style="1070" min="5" max="5"/>
    <col width="16.83203125" customWidth="1" style="1070" min="6" max="6"/>
    <col width="15.5" customWidth="1" style="1070" min="7" max="7"/>
    <col width="19.6640625" customWidth="1" style="1070" min="8" max="8"/>
    <col width="10" bestFit="1" customWidth="1" style="1072" min="9" max="9"/>
    <col width="14.83203125" bestFit="1" customWidth="1" style="1073" min="10" max="10"/>
    <col width="17.5" customWidth="1" style="228" min="11" max="11"/>
    <col width="10.5" customWidth="1" style="228" min="12" max="12"/>
    <col hidden="1" width="10.6640625" customWidth="1" style="346" min="13" max="13"/>
    <col width="14.5" bestFit="1" customWidth="1" style="1073" min="14" max="14"/>
    <col width="13.6640625" bestFit="1" customWidth="1" style="14" min="15" max="15"/>
    <col width="8.83203125" customWidth="1" style="1070" min="16" max="17"/>
    <col width="18.6640625" customWidth="1" style="1070" min="18" max="18"/>
    <col width="8.83203125" customWidth="1" style="1070" min="19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0"/>
    <col width="8.83203125" customWidth="1" style="1070" min="101" max="16384"/>
  </cols>
  <sheetData>
    <row r="1" ht="15" customHeight="1" s="1085">
      <c r="C1" s="1148" t="inlineStr">
        <is>
          <t xml:space="preserve">F24-19    EDGE BOX COST SHEET </t>
        </is>
      </c>
      <c r="E1" s="216" t="n"/>
      <c r="F1" s="216" t="n"/>
      <c r="G1" s="216" t="n"/>
      <c r="H1" s="216" t="n"/>
      <c r="I1" s="29" t="n"/>
      <c r="J1" s="336" t="n"/>
      <c r="K1" s="337" t="n"/>
      <c r="L1" s="338" t="n"/>
      <c r="M1" s="339" t="n"/>
      <c r="N1" s="336" t="n"/>
      <c r="O1" s="975" t="inlineStr">
        <is>
          <t>JAN25-19</t>
        </is>
      </c>
      <c r="S1" s="80" t="n"/>
      <c r="T1" s="218" t="n"/>
    </row>
    <row r="2" ht="15" customHeight="1" s="1085">
      <c r="C2" s="79" t="n"/>
      <c r="D2" s="221" t="n"/>
      <c r="E2" s="221" t="n"/>
      <c r="G2" s="79" t="n"/>
      <c r="H2" s="77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C3" s="78" t="inlineStr">
        <is>
          <t>Job No.</t>
        </is>
      </c>
      <c r="D3" s="1130">
        <f>IF(CANOPY!C3="","",CANOPY!C3)</f>
        <v/>
      </c>
      <c r="G3" s="76" t="inlineStr">
        <is>
          <t>Project Name</t>
        </is>
      </c>
      <c r="H3" s="1071">
        <f>IF(CANOPY!G3="","",CANOPY!G3)</f>
        <v/>
      </c>
      <c r="L3" s="342" t="n"/>
      <c r="M3" s="343" t="n"/>
      <c r="N3" s="344" t="n"/>
      <c r="T3" s="225" t="n"/>
    </row>
    <row r="4" ht="15" customHeight="1" s="1085">
      <c r="C4" s="79" t="n"/>
      <c r="D4" s="223" t="n"/>
      <c r="E4" s="223" t="n"/>
      <c r="G4" s="77" t="n"/>
      <c r="H4" s="222" t="n"/>
      <c r="I4" s="227" t="n"/>
      <c r="J4" s="341" t="n"/>
      <c r="L4" s="342" t="n"/>
      <c r="M4" s="343" t="n"/>
      <c r="N4" s="344" t="n"/>
      <c r="T4" s="225" t="n"/>
    </row>
    <row r="5" ht="15" customHeight="1" s="1085">
      <c r="C5" s="78" t="inlineStr">
        <is>
          <t>Customer</t>
        </is>
      </c>
      <c r="D5" s="1074">
        <f>IF(CANOPY!C5="","",CANOPY!C5)</f>
        <v/>
      </c>
      <c r="G5" s="76" t="inlineStr">
        <is>
          <t>Location</t>
        </is>
      </c>
      <c r="H5" s="1071">
        <f>IF(CANOPY!G5="","",CANOPY!G5)</f>
        <v/>
      </c>
      <c r="M5" s="343" t="n"/>
      <c r="N5" s="344" t="n"/>
      <c r="Q5" s="229" t="n"/>
      <c r="R5" s="229" t="n"/>
      <c r="T5" s="225" t="n"/>
      <c r="U5" s="226" t="n"/>
    </row>
    <row r="6" ht="15" customHeight="1" s="1085">
      <c r="C6" s="78" t="n"/>
      <c r="D6" s="230" t="n"/>
      <c r="E6" s="230" t="n"/>
      <c r="G6" s="76" t="n"/>
      <c r="H6" s="222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C7" s="80" t="inlineStr">
        <is>
          <t>Sales Manager / Estimator initials</t>
        </is>
      </c>
      <c r="D7" s="1074">
        <f>IF(CANOPY!C7="","",CANOPY!C7)</f>
        <v/>
      </c>
      <c r="G7" s="76" t="inlineStr">
        <is>
          <t>Date</t>
        </is>
      </c>
      <c r="H7" s="1075">
        <f>IF(CANOPY!G7="","",CANOPY!G7)</f>
        <v/>
      </c>
      <c r="N7" s="347" t="inlineStr">
        <is>
          <t>Revision No</t>
        </is>
      </c>
      <c r="O7" s="900">
        <f>IF(CANOPY!O7="","",CANOPY!O7)</f>
        <v/>
      </c>
      <c r="P7" s="1157" t="inlineStr">
        <is>
          <t>GP SHOULD BE MINIMUM 44%</t>
        </is>
      </c>
      <c r="T7" s="225" t="n"/>
      <c r="U7" s="226" t="n"/>
      <c r="AA7" s="231" t="n"/>
    </row>
    <row r="8" ht="15" customHeight="1" s="1085">
      <c r="E8" s="219" t="n"/>
      <c r="F8" s="219" t="n"/>
      <c r="H8" s="219" t="n"/>
      <c r="J8" s="346" t="n"/>
      <c r="K8" s="14" t="n"/>
      <c r="T8" s="225" t="n"/>
      <c r="AA8" s="231" t="n"/>
    </row>
    <row r="9" ht="15" customFormat="1" customHeight="1" s="80">
      <c r="A9" s="215" t="n"/>
      <c r="B9" s="215" t="n"/>
      <c r="C9" s="38" t="inlineStr">
        <is>
          <t>CURRENCY</t>
        </is>
      </c>
      <c r="D9" s="951" t="n">
        <v>0</v>
      </c>
      <c r="E9" s="377">
        <f>IF(D9=0,0,(SUBTOTAL(9,M14:M48)/(1-D9))-M9)</f>
        <v/>
      </c>
      <c r="I9" s="234" t="n"/>
      <c r="K9" s="25">
        <f>SUBTOTAL(9,K12:K48)</f>
        <v/>
      </c>
      <c r="L9" s="970">
        <f>IF(O9=0,"-",O9/M9)</f>
        <v/>
      </c>
      <c r="M9" s="25">
        <f>SUBTOTAL(9,M12:M48)</f>
        <v/>
      </c>
      <c r="N9" s="464">
        <f>SUBTOTAL(9,N12:N48)</f>
        <v/>
      </c>
      <c r="O9" s="25">
        <f>SUBTOTAL(9,O12:O48)</f>
        <v/>
      </c>
      <c r="P9" s="1070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215" t="n"/>
      <c r="C12" s="1089" t="inlineStr">
        <is>
          <t xml:space="preserve">ITEM </t>
        </is>
      </c>
      <c r="D12" s="236" t="n"/>
      <c r="E12" s="237">
        <f>E14</f>
        <v/>
      </c>
      <c r="F12" s="838" t="n">
        <v>0</v>
      </c>
      <c r="G12" s="838">
        <f>IF(I12&lt;1,0,CEILING((G14-100)/I14,250))</f>
        <v/>
      </c>
      <c r="H12" s="237">
        <f>E12&amp;G12&amp;F12</f>
        <v/>
      </c>
      <c r="I12" s="236">
        <f>IF(F14=0,0,IF(G14=0,0,(F14/(IF(D14="WALL",F14,(F14/2)))*I14)))</f>
        <v/>
      </c>
      <c r="J12" s="238" t="n"/>
      <c r="K12" s="154">
        <f>SUBTOTAL(9,K14:K34)</f>
        <v/>
      </c>
      <c r="L12" s="15">
        <f>IF(K14=0,"-",O12/M12)</f>
        <v/>
      </c>
      <c r="M12" s="154">
        <f>SUBTOTAL(9,M14:M34)</f>
        <v/>
      </c>
      <c r="N12" s="464">
        <f>SUBTOTAL(9,N14:N34)</f>
        <v/>
      </c>
      <c r="O12" s="154">
        <f>SUBTOTAL(9,O14:O34)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LENGTH</t>
        </is>
      </c>
      <c r="G13" s="10" t="inlineStr">
        <is>
          <t>WIDTH</t>
        </is>
      </c>
      <c r="H13" s="10" t="inlineStr">
        <is>
          <t>HEIGHT</t>
        </is>
      </c>
      <c r="I13" s="10" t="inlineStr">
        <is>
          <t>SECTIONS</t>
        </is>
      </c>
      <c r="J13" s="349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A14" s="215" t="n">
        <v>210</v>
      </c>
      <c r="C14" s="791" t="inlineStr">
        <is>
          <t xml:space="preserve">PS-150 TOUCH SCREEN </t>
        </is>
      </c>
      <c r="D14" s="460" t="inlineStr">
        <is>
          <t>TOUCH SCREEN REMOTE BOX - METAL</t>
        </is>
      </c>
      <c r="E14" s="448" t="n"/>
      <c r="F14" s="837" t="n">
        <v>300</v>
      </c>
      <c r="G14" s="835" t="n">
        <v>95</v>
      </c>
      <c r="H14" s="896" t="n">
        <v>250</v>
      </c>
      <c r="I14" s="31" t="n"/>
      <c r="J14" s="380" t="n">
        <v>419.97</v>
      </c>
      <c r="K14" s="378">
        <f>SUM(J14*E14)</f>
        <v/>
      </c>
      <c r="L14" s="392" t="n">
        <v>0.35</v>
      </c>
      <c r="M14" s="311">
        <f>(K14/(1-L14))*(1+$D$9)</f>
        <v/>
      </c>
      <c r="N14" s="378">
        <f>(M14*VLOOKUP($C$9,'Base Costs'!$A$32:$B$37,2,FALSE))</f>
        <v/>
      </c>
      <c r="O14" s="379">
        <f>M14-K14</f>
        <v/>
      </c>
      <c r="U14" s="229" t="n"/>
      <c r="AA14" s="1070" t="n"/>
    </row>
    <row r="15" ht="15" customHeight="1" s="1085">
      <c r="A15" s="215" t="n">
        <v>104</v>
      </c>
      <c r="C15" s="855" t="inlineStr">
        <is>
          <t>PS-152 EDGE BOX</t>
        </is>
      </c>
      <c r="D15" s="460" t="inlineStr">
        <is>
          <t>PEU/AEU/HOODS (Staged Alarms)</t>
        </is>
      </c>
      <c r="E15" s="448" t="n"/>
      <c r="F15" s="895" t="n">
        <v>380</v>
      </c>
      <c r="G15" s="835" t="n">
        <v>300</v>
      </c>
      <c r="H15" s="896" t="n">
        <v>180</v>
      </c>
      <c r="I15" s="31" t="n"/>
      <c r="J15" s="380" t="n">
        <v>1030.52</v>
      </c>
      <c r="K15" s="378">
        <f>SUM(J15*E15)</f>
        <v/>
      </c>
      <c r="L15" s="392" t="n">
        <v>0.35</v>
      </c>
      <c r="M15" s="311">
        <f>(K15/(1-L15))*(1+$D$9)</f>
        <v/>
      </c>
      <c r="N15" s="378">
        <f>(M15*VLOOKUP($C$9,'Base Costs'!$A$32:$B$37,2,FALSE))</f>
        <v/>
      </c>
      <c r="O15" s="379">
        <f>M15-K15</f>
        <v/>
      </c>
      <c r="U15" s="229" t="n"/>
      <c r="AA15" s="1070" t="n"/>
    </row>
    <row r="16" ht="15" customHeight="1" s="1085">
      <c r="A16" s="215" t="n">
        <v>234</v>
      </c>
      <c r="C16" s="855" t="inlineStr">
        <is>
          <t>PS-153 EDGE BOX</t>
        </is>
      </c>
      <c r="D16" s="460" t="inlineStr">
        <is>
          <t>PEU/HOODS (Staged Alarms)</t>
        </is>
      </c>
      <c r="E16" s="461" t="n"/>
      <c r="F16" s="895" t="n">
        <v>380</v>
      </c>
      <c r="G16" s="835" t="n">
        <v>300</v>
      </c>
      <c r="H16" s="896" t="n">
        <v>180</v>
      </c>
      <c r="I16" s="31" t="n"/>
      <c r="J16" s="380" t="n">
        <v>690.16</v>
      </c>
      <c r="K16" s="378">
        <f>SUM(J16*E16)</f>
        <v/>
      </c>
      <c r="L16" s="392" t="n">
        <v>0.35</v>
      </c>
      <c r="M16" s="311">
        <f>(K16/(1-L16))*(1+$D$9)</f>
        <v/>
      </c>
      <c r="N16" s="378">
        <f>(M16*VLOOKUP($C$9,'Base Costs'!$A$32:$B$37,2,FALSE))</f>
        <v/>
      </c>
      <c r="O16" s="379">
        <f>M16-K16</f>
        <v/>
      </c>
      <c r="U16" s="229" t="n"/>
      <c r="AA16" s="1070" t="n"/>
    </row>
    <row r="17" ht="15" customHeight="1" s="1085">
      <c r="C17" s="855" t="inlineStr">
        <is>
          <t>PS-154 EDGE BOX</t>
        </is>
      </c>
      <c r="D17" s="460" t="inlineStr">
        <is>
          <t>PEU/MRV/HOODS (Staged Alarms)</t>
        </is>
      </c>
      <c r="E17" s="448" t="n"/>
      <c r="F17" s="895" t="n">
        <v>380</v>
      </c>
      <c r="G17" s="895" t="n">
        <v>300</v>
      </c>
      <c r="H17" s="896" t="n">
        <v>180</v>
      </c>
      <c r="I17" s="31" t="n"/>
      <c r="J17" s="380" t="n">
        <v>894.01</v>
      </c>
      <c r="K17" s="378">
        <f>SUM(J17*E17)</f>
        <v/>
      </c>
      <c r="L17" s="392" t="n">
        <v>0.35</v>
      </c>
      <c r="M17" s="311">
        <f>(K17/(1-L17))*(1+$D$9)</f>
        <v/>
      </c>
      <c r="N17" s="378">
        <f>(M17*VLOOKUP($C$9,'Base Costs'!$A$32:$B$37,2,FALSE))</f>
        <v/>
      </c>
      <c r="O17" s="379">
        <f>M17-K17</f>
        <v/>
      </c>
      <c r="U17" s="229" t="n"/>
      <c r="AA17" s="1070" t="n"/>
    </row>
    <row r="18" ht="15" customHeight="1" s="1085">
      <c r="C18" s="855" t="inlineStr">
        <is>
          <t>PS-155 EDGE BOX</t>
        </is>
      </c>
      <c r="D18" s="460" t="inlineStr">
        <is>
          <t>PEU/AEU/ MRV/HOOD (No Staged Alarms)</t>
        </is>
      </c>
      <c r="E18" s="448" t="n"/>
      <c r="F18" s="895" t="n">
        <v>380</v>
      </c>
      <c r="G18" s="895" t="n">
        <v>300</v>
      </c>
      <c r="H18" s="896" t="n">
        <v>180</v>
      </c>
      <c r="I18" s="31" t="n"/>
      <c r="J18" s="380" t="n">
        <v>1039.58</v>
      </c>
      <c r="K18" s="378">
        <f>SUM(J18*E18)</f>
        <v/>
      </c>
      <c r="L18" s="392" t="n">
        <v>0.35</v>
      </c>
      <c r="M18" s="311">
        <f>(K18/(1-L18))*(1+$D$9)</f>
        <v/>
      </c>
      <c r="N18" s="378">
        <f>(M18*VLOOKUP($C$9,'Base Costs'!$A$32:$B$37,2,FALSE))</f>
        <v/>
      </c>
      <c r="O18" s="379">
        <f>M18-K18</f>
        <v/>
      </c>
      <c r="U18" s="229" t="n"/>
      <c r="AA18" s="1070" t="n"/>
    </row>
    <row r="19" ht="15" customHeight="1" s="1085">
      <c r="C19" s="855" t="n"/>
      <c r="D19" s="460" t="n"/>
      <c r="E19" s="448" t="n"/>
      <c r="F19" s="895" t="n"/>
      <c r="G19" s="895" t="n"/>
      <c r="H19" s="896" t="n"/>
      <c r="I19" s="31" t="n"/>
      <c r="J19" s="380" t="n"/>
      <c r="K19" s="378" t="n"/>
      <c r="L19" s="392" t="n"/>
      <c r="M19" s="311" t="n"/>
      <c r="N19" s="378" t="n"/>
      <c r="O19" s="379" t="n"/>
      <c r="U19" s="229" t="n"/>
      <c r="AA19" s="1070" t="n"/>
    </row>
    <row r="20" ht="15" customHeight="1" s="1085">
      <c r="C20" s="791" t="inlineStr">
        <is>
          <t>RCL-329 LPC-3 GOT.112 (CANOPY CONTROL)</t>
        </is>
      </c>
      <c r="D20" s="1065" t="inlineStr">
        <is>
          <t>GOT Panel Comp for UV-c (24 Sections Max)</t>
        </is>
      </c>
      <c r="E20" s="448" t="n"/>
      <c r="F20" s="895" t="n">
        <v>160</v>
      </c>
      <c r="G20" s="895" t="n">
        <v>34</v>
      </c>
      <c r="H20" s="896" t="n">
        <v>106</v>
      </c>
      <c r="I20" s="31" t="n"/>
      <c r="J20" s="380" t="n">
        <v>336.21</v>
      </c>
      <c r="K20" s="378">
        <f>SUM(J20*E20)</f>
        <v/>
      </c>
      <c r="L20" s="392" t="n">
        <v>0.35</v>
      </c>
      <c r="M20" s="311">
        <f>(K20/(1-L20))*(1+$D$9)</f>
        <v/>
      </c>
      <c r="N20" s="378">
        <f>(M20*VLOOKUP($C$9,'Base Costs'!$A$32:$B$37,2,FALSE))</f>
        <v/>
      </c>
      <c r="O20" s="379">
        <f>M20-K20</f>
        <v/>
      </c>
      <c r="U20" s="229" t="n"/>
      <c r="AA20" s="1070" t="n"/>
    </row>
    <row r="21" ht="15" customHeight="1" s="1085">
      <c r="C21" s="791" t="inlineStr">
        <is>
          <t>RCL-342 GOT-112 WALL BOX</t>
        </is>
      </c>
      <c r="D21" s="460" t="inlineStr">
        <is>
          <t>Remote Mounting box if Required</t>
        </is>
      </c>
      <c r="E21" s="448" t="n"/>
      <c r="F21" s="895" t="n">
        <v>270</v>
      </c>
      <c r="G21" s="895" t="n">
        <v>200</v>
      </c>
      <c r="H21" s="896" t="n">
        <v>150</v>
      </c>
      <c r="I21" s="31" t="n"/>
      <c r="J21" s="380" t="n">
        <v>82</v>
      </c>
      <c r="K21" s="378">
        <f>SUM(J21*E21)</f>
        <v/>
      </c>
      <c r="L21" s="392" t="n">
        <v>0.35</v>
      </c>
      <c r="M21" s="311">
        <f>(K21/(1-L21))*(1+$D$9)</f>
        <v/>
      </c>
      <c r="N21" s="378">
        <f>(M21*VLOOKUP($C$9,'Base Costs'!$A$32:$B$37,2,FALSE))</f>
        <v/>
      </c>
      <c r="O21" s="379">
        <f>M21-K21</f>
        <v/>
      </c>
      <c r="U21" s="229" t="n"/>
      <c r="AA21" s="1070" t="n"/>
    </row>
    <row r="22" ht="15" customHeight="1" s="1085">
      <c r="C22" s="270" t="inlineStr">
        <is>
          <t>RCL-280 STAGED ALARM BOX</t>
        </is>
      </c>
      <c r="D22" s="460" t="inlineStr">
        <is>
          <t>MU5 CONTROLLER BOX</t>
        </is>
      </c>
      <c r="E22" s="448" t="n"/>
      <c r="F22" s="895" t="n">
        <v>179</v>
      </c>
      <c r="G22" s="895" t="n">
        <v>129</v>
      </c>
      <c r="H22" s="896" t="n">
        <v>100</v>
      </c>
      <c r="I22" s="31" t="n"/>
      <c r="J22" s="380" t="n">
        <v>212.86</v>
      </c>
      <c r="K22" s="378">
        <f>SUM(J22*E22)</f>
        <v/>
      </c>
      <c r="L22" s="392" t="n">
        <v>0.35</v>
      </c>
      <c r="M22" s="311">
        <f>(K22/(1-L22))*(1+$D$9)</f>
        <v/>
      </c>
      <c r="N22" s="378">
        <f>(M22*VLOOKUP($C$9,'Base Costs'!$A$32:$B$37,2,FALSE))</f>
        <v/>
      </c>
      <c r="O22" s="379">
        <f>M22-K22</f>
        <v/>
      </c>
      <c r="P22" s="1064" t="inlineStr">
        <is>
          <t xml:space="preserve">Add if Alarms requested for a GOT panel </t>
        </is>
      </c>
      <c r="U22" s="229" t="n"/>
      <c r="AA22" s="1070" t="n"/>
    </row>
    <row r="23" ht="15" customHeight="1" s="1085">
      <c r="A23" s="215" t="n">
        <v>289</v>
      </c>
      <c r="C23" s="270" t="n"/>
      <c r="D23" s="460" t="n"/>
      <c r="E23" s="448" t="n"/>
      <c r="F23" s="895" t="n"/>
      <c r="G23" s="895" t="n"/>
      <c r="H23" s="896" t="n"/>
      <c r="I23" s="31" t="n"/>
      <c r="J23" s="380" t="n"/>
      <c r="K23" s="378">
        <f>SUM(J23*E23)</f>
        <v/>
      </c>
      <c r="L23" s="392" t="n"/>
      <c r="M23" s="311">
        <f>(K23/(1-L23))*(1+$D$9)</f>
        <v/>
      </c>
      <c r="N23" s="378">
        <f>(M23*VLOOKUP($C$9,'Base Costs'!$A$32:$B$37,2,FALSE))</f>
        <v/>
      </c>
      <c r="O23" s="379">
        <f>M23-K23</f>
        <v/>
      </c>
      <c r="U23" s="229" t="n"/>
      <c r="AA23" s="1070" t="n"/>
    </row>
    <row r="24" ht="15" customHeight="1" s="1085">
      <c r="A24" s="215" t="n">
        <v>242</v>
      </c>
      <c r="C24" s="270" t="inlineStr">
        <is>
          <t xml:space="preserve">PS-160 EXTERNAL AERIAL </t>
        </is>
      </c>
      <c r="D24" s="460" t="inlineStr">
        <is>
          <t>EXTERNAL AERIAL BOX</t>
        </is>
      </c>
      <c r="E24" s="448" t="n"/>
      <c r="F24" s="895" t="n">
        <v>250</v>
      </c>
      <c r="G24" s="895" t="n">
        <v>175</v>
      </c>
      <c r="H24" s="896" t="n">
        <v>100</v>
      </c>
      <c r="I24" s="31" t="n"/>
      <c r="J24" s="380" t="n">
        <v>100.91</v>
      </c>
      <c r="K24" s="378">
        <f>SUM(J24*E24)</f>
        <v/>
      </c>
      <c r="L24" s="392" t="n">
        <v>0.35</v>
      </c>
      <c r="M24" s="311">
        <f>(K24/(1-L24))*(1+$D$9)</f>
        <v/>
      </c>
      <c r="N24" s="378">
        <f>(M24*VLOOKUP($C$9,'Base Costs'!$A$32:$B$37,2,FALSE))</f>
        <v/>
      </c>
      <c r="O24" s="379">
        <f>M24-K24</f>
        <v/>
      </c>
      <c r="U24" s="229" t="n"/>
      <c r="AA24" s="1070" t="n"/>
    </row>
    <row r="25" ht="15" customHeight="1" s="1085">
      <c r="A25" s="215" t="n">
        <v>220</v>
      </c>
      <c r="C25" s="855" t="inlineStr">
        <is>
          <t xml:space="preserve">PS-156 EDGE BOX REMOTE ROUTER (UV-GOT)  </t>
        </is>
      </c>
      <c r="D25" s="1066" t="inlineStr">
        <is>
          <t>EXTERNAL ROUTER</t>
        </is>
      </c>
      <c r="E25" s="448" t="n"/>
      <c r="F25" s="837" t="n">
        <v>250</v>
      </c>
      <c r="G25" s="895" t="n">
        <v>175</v>
      </c>
      <c r="H25" s="896" t="n">
        <v>100</v>
      </c>
      <c r="I25" s="31" t="n"/>
      <c r="J25" s="380" t="n">
        <v>484.58</v>
      </c>
      <c r="K25" s="378">
        <f>SUM(J25*E25)</f>
        <v/>
      </c>
      <c r="L25" s="392" t="n">
        <v>0.35</v>
      </c>
      <c r="M25" s="311">
        <f>(K25/(1-L25))*(1+$D$9)</f>
        <v/>
      </c>
      <c r="N25" s="378">
        <f>(M25*VLOOKUP($C$9,'Base Costs'!$A$32:$B$37,2,FALSE))</f>
        <v/>
      </c>
      <c r="O25" s="379">
        <f>M25-K25</f>
        <v/>
      </c>
      <c r="U25" s="229" t="n"/>
      <c r="AA25" s="1070" t="n"/>
    </row>
    <row r="26" ht="15" customHeight="1" s="1085">
      <c r="A26" s="215" t="n">
        <v>103</v>
      </c>
      <c r="C26" s="855" t="n"/>
      <c r="D26" s="460" t="n"/>
      <c r="E26" s="448" t="n"/>
      <c r="F26" s="837" t="n"/>
      <c r="G26" s="895" t="n"/>
      <c r="H26" s="896" t="n"/>
      <c r="I26" s="31" t="n"/>
      <c r="J26" s="380" t="n"/>
      <c r="K26" s="378">
        <f>SUM(J26*E26)</f>
        <v/>
      </c>
      <c r="L26" s="392" t="n"/>
      <c r="M26" s="311">
        <f>(K26/(1-L26))*(1+$D$9)</f>
        <v/>
      </c>
      <c r="N26" s="378">
        <f>(M26*VLOOKUP($C$9,'Base Costs'!$A$32:$B$37,2,FALSE))</f>
        <v/>
      </c>
      <c r="O26" s="379">
        <f>M26-K26</f>
        <v/>
      </c>
      <c r="U26" s="229" t="n"/>
      <c r="AA26" s="1070" t="n"/>
    </row>
    <row r="27" ht="15" customHeight="1" s="1085">
      <c r="A27" s="215" t="n">
        <v>103</v>
      </c>
      <c r="C27" s="855" t="inlineStr">
        <is>
          <t>CONNECTIVITY PS-153/152/154/155</t>
        </is>
      </c>
      <c r="D27" s="921" t="inlineStr">
        <is>
          <t xml:space="preserve"> NOT INCLUDED IN THE ABOVE</t>
        </is>
      </c>
      <c r="E27" s="448" t="n"/>
      <c r="F27" s="837" t="n"/>
      <c r="G27" s="895" t="n"/>
      <c r="H27" s="896" t="n"/>
      <c r="I27" s="31" t="n"/>
      <c r="J27" s="380" t="n">
        <v>522.38</v>
      </c>
      <c r="K27" s="378">
        <f>SUM(J27*E27)</f>
        <v/>
      </c>
      <c r="L27" s="392" t="n">
        <v>0.35</v>
      </c>
      <c r="M27" s="311">
        <f>(K27/(1-L27))*(1+$D$9)</f>
        <v/>
      </c>
      <c r="N27" s="378">
        <f>(M27*VLOOKUP($C$9,'Base Costs'!$A$32:$B$37,2,FALSE))</f>
        <v/>
      </c>
      <c r="O27" s="379">
        <f>M27-K27</f>
        <v/>
      </c>
      <c r="P27" s="990" t="inlineStr">
        <is>
          <t>EDGE UP2 Plus First Year Connectivity Fee from Group</t>
        </is>
      </c>
      <c r="U27" s="229" t="n"/>
      <c r="AA27" s="1070" t="n"/>
    </row>
    <row r="28" ht="15" customHeight="1" s="1085">
      <c r="C28" s="855" t="inlineStr">
        <is>
          <t>CONNECTIVITY  (UV-GOT)</t>
        </is>
      </c>
      <c r="D28" s="1067" t="inlineStr">
        <is>
          <t xml:space="preserve"> NOT INCLUDED IN THE ABOVE</t>
        </is>
      </c>
      <c r="E28" s="448" t="n"/>
      <c r="F28" s="895" t="n"/>
      <c r="G28" s="895" t="n"/>
      <c r="H28" s="896" t="n"/>
      <c r="I28" s="31" t="n"/>
      <c r="J28" s="380" t="n">
        <v>130</v>
      </c>
      <c r="K28" s="378">
        <f>SUM(J28*E28)</f>
        <v/>
      </c>
      <c r="L28" s="392" t="n">
        <v>0.35</v>
      </c>
      <c r="M28" s="311">
        <f>(K28/(1-L28))*(1+$D$9)</f>
        <v/>
      </c>
      <c r="N28" s="378">
        <f>(M28*VLOOKUP($C$9,'Base Costs'!$A$32:$B$37,2,FALSE))</f>
        <v/>
      </c>
      <c r="O28" s="379">
        <f>M28-K28</f>
        <v/>
      </c>
      <c r="P28" s="990" t="inlineStr">
        <is>
          <t>First Year Connectivity Fee from Group</t>
        </is>
      </c>
      <c r="U28" s="229" t="n"/>
      <c r="AA28" s="1070" t="n"/>
    </row>
    <row r="29" ht="15" customHeight="1" s="1085">
      <c r="A29" s="215" t="n">
        <v>285</v>
      </c>
      <c r="C29" s="855" t="n"/>
      <c r="D29" s="460" t="n"/>
      <c r="E29" s="448" t="n"/>
      <c r="F29" s="898" t="n"/>
      <c r="G29" s="898" t="n"/>
      <c r="H29" s="899" t="n"/>
      <c r="I29" s="31" t="n"/>
      <c r="J29" s="380" t="n"/>
      <c r="K29" s="378">
        <f>SUM(J29*E29)</f>
        <v/>
      </c>
      <c r="L29" s="392" t="n"/>
      <c r="M29" s="311">
        <f>(K29/(1-L29))*(1+$D$9)</f>
        <v/>
      </c>
      <c r="N29" s="378">
        <f>(M29*VLOOKUP($C$9,'Base Costs'!$A$32:$B$37,2,FALSE))</f>
        <v/>
      </c>
      <c r="O29" s="379">
        <f>M29-K29</f>
        <v/>
      </c>
      <c r="U29" s="229" t="n"/>
      <c r="AA29" s="1070" t="n"/>
    </row>
    <row r="30" ht="15" customHeight="1" s="1085">
      <c r="C30" s="855" t="n"/>
      <c r="D30" s="460" t="n"/>
      <c r="E30" s="448" t="n"/>
      <c r="F30" s="898" t="n"/>
      <c r="G30" s="898" t="n"/>
      <c r="H30" s="899" t="n"/>
      <c r="I30" s="31" t="n"/>
      <c r="J30" s="380" t="n"/>
      <c r="K30" s="378">
        <f>SUM(J30*E30)</f>
        <v/>
      </c>
      <c r="L30" s="392" t="n"/>
      <c r="M30" s="311">
        <f>(K30/(1-L30))*(1+$D$9)</f>
        <v/>
      </c>
      <c r="N30" s="378">
        <f>(M30*VLOOKUP($C$9,'Base Costs'!$A$32:$B$37,2,FALSE))</f>
        <v/>
      </c>
      <c r="O30" s="379">
        <f>M30-K30</f>
        <v/>
      </c>
      <c r="U30" s="229" t="n"/>
      <c r="AA30" s="1070" t="n"/>
    </row>
    <row r="31" ht="15" customHeight="1" s="1085">
      <c r="C31" s="269" t="n"/>
      <c r="D31" s="460" t="n"/>
      <c r="E31" s="448" t="n"/>
      <c r="F31" s="895" t="n"/>
      <c r="G31" s="895" t="n"/>
      <c r="H31" s="896" t="n"/>
      <c r="I31" s="31" t="n"/>
      <c r="J31" s="380" t="n">
        <v>0</v>
      </c>
      <c r="K31" s="378">
        <f>SUM(J31*E31)</f>
        <v/>
      </c>
      <c r="L31" s="392" t="n"/>
      <c r="M31" s="311">
        <f>(K31/(1-L31))*(1+$D$9)</f>
        <v/>
      </c>
      <c r="N31" s="378">
        <f>(M31*VLOOKUP($C$9,'Base Costs'!$A$32:$B$37,2,FALSE))</f>
        <v/>
      </c>
      <c r="O31" s="379">
        <f>M31-K31</f>
        <v/>
      </c>
      <c r="U31" s="229" t="n"/>
      <c r="AA31" s="1070" t="n"/>
    </row>
    <row r="32" ht="15" customHeight="1" s="1085">
      <c r="A32" s="215" t="n">
        <v>286</v>
      </c>
      <c r="C32" s="270" t="n"/>
      <c r="D32" s="460" t="n"/>
      <c r="E32" s="448" t="n"/>
      <c r="F32" s="895" t="n"/>
      <c r="G32" s="895" t="n"/>
      <c r="H32" s="896" t="n"/>
      <c r="I32" s="31" t="n"/>
      <c r="J32" s="380" t="n">
        <v>0</v>
      </c>
      <c r="K32" s="378">
        <f>SUM(J32*E32)</f>
        <v/>
      </c>
      <c r="L32" s="392" t="n"/>
      <c r="M32" s="311">
        <f>(K32/(1-L32))*(1+$D$9)</f>
        <v/>
      </c>
      <c r="N32" s="378">
        <f>(M32*VLOOKUP($C$9,'Base Costs'!$A$32:$B$37,2,FALSE))</f>
        <v/>
      </c>
      <c r="O32" s="379">
        <f>M32-K32</f>
        <v/>
      </c>
      <c r="U32" s="229" t="n"/>
      <c r="AA32" s="1070" t="n"/>
    </row>
    <row r="33" ht="15" customHeight="1" s="1085">
      <c r="C33" s="269" t="n"/>
      <c r="D33" s="460" t="n"/>
      <c r="E33" s="448" t="n"/>
      <c r="F33" s="462" t="n"/>
      <c r="G33" s="32" t="n"/>
      <c r="H33" s="30" t="n"/>
      <c r="I33" s="31" t="n"/>
      <c r="J33" s="933" t="n"/>
      <c r="K33" s="378">
        <f>SUM(J33*E33)</f>
        <v/>
      </c>
      <c r="L33" s="392" t="n"/>
      <c r="M33" s="311">
        <f>(K33/(1-L33))*(1+$D$9)</f>
        <v/>
      </c>
      <c r="N33" s="378">
        <f>(M33*VLOOKUP($C$9,'Base Costs'!$A$32:$B$37,2,FALSE))</f>
        <v/>
      </c>
      <c r="O33" s="379">
        <f>M33-K33</f>
        <v/>
      </c>
      <c r="U33" s="229" t="n"/>
      <c r="AA33" s="1070" t="n"/>
    </row>
    <row r="34" ht="15" customHeight="1" s="1085">
      <c r="C34" s="855" t="n"/>
      <c r="D34" s="460" t="n"/>
      <c r="E34" s="448" t="n"/>
      <c r="F34" s="462" t="n"/>
      <c r="G34" s="32" t="n"/>
      <c r="H34" s="30" t="n"/>
      <c r="I34" s="31" t="n"/>
      <c r="J34" s="933" t="n"/>
      <c r="K34" s="378">
        <f>SUM(J34*E34)</f>
        <v/>
      </c>
      <c r="L34" s="392" t="n"/>
      <c r="M34" s="311">
        <f>(K34/(1-L34))*(1+$D$9)</f>
        <v/>
      </c>
      <c r="N34" s="378">
        <f>(M34*VLOOKUP($C$9,'Base Costs'!$A$32:$B$37,2,FALSE))</f>
        <v/>
      </c>
      <c r="O34" s="379">
        <f>M34-K34</f>
        <v/>
      </c>
      <c r="U34" s="229" t="n"/>
      <c r="AA34" s="1070" t="n"/>
    </row>
    <row r="35" ht="15" customHeight="1" s="1085">
      <c r="H35" s="34" t="inlineStr">
        <is>
          <t>SECTION UNDER 1000mm</t>
        </is>
      </c>
    </row>
    <row r="36" ht="15" customHeight="1" s="1085">
      <c r="C36" s="239" t="n"/>
      <c r="D36" s="239" t="n"/>
      <c r="E36" s="239" t="n"/>
      <c r="F36" s="239" t="n"/>
      <c r="G36" s="239" t="n"/>
      <c r="H36" s="239" t="n"/>
      <c r="I36" s="9" t="n"/>
      <c r="J36" s="11" t="n"/>
      <c r="K36" s="353" t="n"/>
      <c r="L36" s="240" t="n"/>
      <c r="M36" s="353" t="n"/>
      <c r="N36" s="353" t="n"/>
      <c r="U36" s="229" t="n"/>
      <c r="AA36" s="1070" t="n"/>
    </row>
    <row r="37" ht="15" customHeight="1" s="1085">
      <c r="C37" s="1089" t="inlineStr">
        <is>
          <t xml:space="preserve">DELIVERY &amp; INSTALLATION </t>
        </is>
      </c>
      <c r="I37" s="236" t="n"/>
      <c r="J37" s="330" t="n"/>
      <c r="K37" s="154">
        <f>SUBTOTAL(9,K38:K48)</f>
        <v/>
      </c>
      <c r="L37" s="15">
        <f>IF(K38=0,"-",O37/M37)</f>
        <v/>
      </c>
      <c r="M37" s="154">
        <f>SUBTOTAL(9,M38:M48)</f>
        <v/>
      </c>
      <c r="N37" s="464">
        <f>SUBTOTAL(9,N38:N48)</f>
        <v/>
      </c>
      <c r="O37" s="154">
        <f>SUBTOTAL(9,O39:O48)</f>
        <v/>
      </c>
      <c r="U37" s="229" t="n"/>
    </row>
    <row r="38" ht="15" customHeight="1" s="1085">
      <c r="A38" s="215" t="n">
        <v>222</v>
      </c>
      <c r="C38" s="269" t="inlineStr">
        <is>
          <t xml:space="preserve">DELIVERIES </t>
        </is>
      </c>
      <c r="D38" s="242" t="n"/>
      <c r="E38" s="309" t="inlineStr">
        <is>
          <t>SELECT LOCATION…</t>
        </is>
      </c>
      <c r="F38" s="28" t="n"/>
      <c r="G38" s="30" t="n"/>
      <c r="H38" s="28" t="n"/>
      <c r="I38" s="28" t="n"/>
      <c r="J38" s="385">
        <f>VLOOKUP(E38,'Base Costs'!E4:G213,2,FALSE)</f>
        <v/>
      </c>
      <c r="K38" s="378">
        <f>D38*J38</f>
        <v/>
      </c>
      <c r="L38" s="392" t="n">
        <v>0.33</v>
      </c>
      <c r="M38" s="311">
        <f>(K38/(1-L38))*(1+$D$9)</f>
        <v/>
      </c>
      <c r="N38" s="378">
        <f>(M38*VLOOKUP($C$9,'Base Costs'!$A$32:$B$37,2,FALSE))</f>
        <v/>
      </c>
      <c r="O38" s="379">
        <f>M38-K38</f>
        <v/>
      </c>
      <c r="U38" s="229" t="n"/>
    </row>
    <row r="39" ht="15" customHeight="1" s="1085">
      <c r="A39" s="215" t="n">
        <v>257</v>
      </c>
      <c r="C39" s="269" t="inlineStr">
        <is>
          <t>PLANT HIRE</t>
        </is>
      </c>
      <c r="D39" s="242" t="n"/>
      <c r="E39" s="309" t="inlineStr">
        <is>
          <t>PLANT SELECTION (weekly)</t>
        </is>
      </c>
      <c r="F39" s="28" t="n"/>
      <c r="G39" s="28" t="n"/>
      <c r="H39" s="28" t="n"/>
      <c r="I39" s="28" t="n"/>
      <c r="J39" s="385">
        <f>VLOOKUP(E39,'Base Costs'!$A$4:$B$16,2,FALSE)</f>
        <v/>
      </c>
      <c r="K39" s="378">
        <f>D39*J39</f>
        <v/>
      </c>
      <c r="L39" s="392" t="n">
        <v>0.33</v>
      </c>
      <c r="M39" s="311">
        <f>(K39/(1-L39))*(1+$D$9)</f>
        <v/>
      </c>
      <c r="N39" s="378">
        <f>(M39*VLOOKUP($C$9,'Base Costs'!$A$32:$B$37,2,FALSE))</f>
        <v/>
      </c>
      <c r="O39" s="379">
        <f>M39-K39</f>
        <v/>
      </c>
      <c r="U39" s="229" t="n"/>
    </row>
    <row r="40" ht="15" customHeight="1" s="1085">
      <c r="A40" s="215" t="n">
        <v>257</v>
      </c>
      <c r="C40" s="269" t="inlineStr">
        <is>
          <t>PLANT HIRE</t>
        </is>
      </c>
      <c r="D40" s="242" t="n"/>
      <c r="E40" s="309" t="inlineStr">
        <is>
          <t>PLANT SELECTION (weekly)</t>
        </is>
      </c>
      <c r="F40" s="28" t="n"/>
      <c r="G40" s="28" t="n"/>
      <c r="H40" s="28" t="n"/>
      <c r="I40" s="28" t="n"/>
      <c r="J40" s="385">
        <f>VLOOKUP(E40,'Base Costs'!$A$4:$B$16,2,FALSE)</f>
        <v/>
      </c>
      <c r="K40" s="378">
        <f>D40*J40</f>
        <v/>
      </c>
      <c r="L40" s="392" t="n">
        <v>0.33</v>
      </c>
      <c r="M40" s="311">
        <f>(K40/(1-L40))*(1+$D$9)</f>
        <v/>
      </c>
      <c r="N40" s="378">
        <f>(M40*VLOOKUP($C$9,'Base Costs'!$A$32:$B$37,2,FALSE))</f>
        <v/>
      </c>
      <c r="O40" s="379">
        <f>M40-K40</f>
        <v/>
      </c>
      <c r="U40" s="229" t="n"/>
    </row>
    <row r="41" ht="15" customHeight="1" s="1085">
      <c r="A41" s="215" t="n">
        <v>400</v>
      </c>
      <c r="C41" s="269" t="inlineStr">
        <is>
          <t>STRIP OUT</t>
        </is>
      </c>
      <c r="D41" s="242" t="n"/>
      <c r="E41" s="28" t="inlineStr">
        <is>
          <t>PER DAY</t>
        </is>
      </c>
      <c r="F41" s="28" t="n"/>
      <c r="G41" s="28" t="n"/>
      <c r="H41" s="28" t="n"/>
      <c r="I41" s="28" t="n"/>
      <c r="J41" s="385" t="n">
        <v>450</v>
      </c>
      <c r="K41" s="378">
        <f>D41*J41</f>
        <v/>
      </c>
      <c r="L41" s="392" t="n">
        <v>0.33</v>
      </c>
      <c r="M41" s="311">
        <f>(K41/(1-L41))*(1+$D$9)</f>
        <v/>
      </c>
      <c r="N41" s="378">
        <f>(M41*VLOOKUP($C$9,'Base Costs'!$A$32:$B$37,2,FALSE))</f>
        <v/>
      </c>
      <c r="O41" s="379">
        <f>M41-K41</f>
        <v/>
      </c>
      <c r="U41" s="229" t="n"/>
    </row>
    <row r="42" ht="15" customHeight="1" s="1085">
      <c r="A42" s="215" t="n">
        <v>102</v>
      </c>
      <c r="C42" s="269" t="inlineStr">
        <is>
          <t xml:space="preserve">CONSUMABLES </t>
        </is>
      </c>
      <c r="D42" s="242" t="n">
        <v>1</v>
      </c>
      <c r="E42" s="28" t="inlineStr">
        <is>
          <t>ON SITE FIXINGS</t>
        </is>
      </c>
      <c r="F42" s="28" t="n"/>
      <c r="G42" s="28" t="n"/>
      <c r="H42" s="28" t="n"/>
      <c r="I42" s="28" t="n"/>
      <c r="J42" s="385" t="n">
        <v>15</v>
      </c>
      <c r="K42" s="378">
        <f>D42*J42</f>
        <v/>
      </c>
      <c r="L42" s="392" t="n">
        <v>0.33</v>
      </c>
      <c r="M42" s="311">
        <f>(K42/(1-L42))*(1+$D$9)</f>
        <v/>
      </c>
      <c r="N42" s="378">
        <f>(M42*VLOOKUP($C$9,'Base Costs'!$A$32:$B$37,2,FALSE))</f>
        <v/>
      </c>
      <c r="O42" s="379">
        <f>M42-K42</f>
        <v/>
      </c>
      <c r="U42" s="229" t="n"/>
    </row>
    <row r="43" ht="15" customHeight="1" s="1085">
      <c r="A43" s="215" t="n">
        <v>400</v>
      </c>
      <c r="C43" s="269" t="inlineStr">
        <is>
          <t>INSTALLATION NORMAL HOURS</t>
        </is>
      </c>
      <c r="D43" s="242" t="n">
        <v>1</v>
      </c>
      <c r="E43" s="28" t="inlineStr">
        <is>
          <t>PER BOX</t>
        </is>
      </c>
      <c r="F43" s="28" t="n"/>
      <c r="G43" s="28" t="n"/>
      <c r="H43" s="28" t="n"/>
      <c r="I43" s="28" t="n"/>
      <c r="J43" s="385" t="n">
        <v>152.5</v>
      </c>
      <c r="K43" s="378">
        <f>D43*J43</f>
        <v/>
      </c>
      <c r="L43" s="392" t="n">
        <v>0.4</v>
      </c>
      <c r="M43" s="311">
        <f>(K43/(1-L43))*(1+$D$9)</f>
        <v/>
      </c>
      <c r="N43" s="378">
        <f>(M43*VLOOKUP($C$9,'Base Costs'!$A$32:$B$37,2,FALSE))</f>
        <v/>
      </c>
      <c r="O43" s="379">
        <f>M43-K43</f>
        <v/>
      </c>
      <c r="U43" s="229" t="n"/>
    </row>
    <row r="44" ht="15" customHeight="1" s="1085">
      <c r="A44" s="215" t="n">
        <v>400</v>
      </c>
      <c r="C44" s="269" t="inlineStr">
        <is>
          <t>INSTALLATION AFTER HOURS</t>
        </is>
      </c>
      <c r="D44" s="242" t="n"/>
      <c r="E44" s="28" t="inlineStr">
        <is>
          <t>PER BOX</t>
        </is>
      </c>
      <c r="F44" s="28" t="n"/>
      <c r="G44" s="28" t="n"/>
      <c r="H44" s="28" t="n"/>
      <c r="I44" s="28" t="n"/>
      <c r="J44" s="385" t="n">
        <v>861</v>
      </c>
      <c r="K44" s="378">
        <f>D44*J44</f>
        <v/>
      </c>
      <c r="L44" s="392" t="n">
        <v>0.4</v>
      </c>
      <c r="M44" s="311">
        <f>(K44/(1-L44))*(1+$D$9)</f>
        <v/>
      </c>
      <c r="N44" s="378">
        <f>(M44*VLOOKUP($C$9,'Base Costs'!$A$32:$B$37,2,FALSE))</f>
        <v/>
      </c>
      <c r="O44" s="379">
        <f>M44-K44</f>
        <v/>
      </c>
      <c r="U44" s="229" t="n"/>
    </row>
    <row r="45" ht="15" customHeight="1" s="1085">
      <c r="A45" s="215" t="n">
        <v>253</v>
      </c>
      <c r="C45" s="269" t="inlineStr">
        <is>
          <t>TRAVEL EXPENSES</t>
        </is>
      </c>
      <c r="D45" s="242" t="n"/>
      <c r="E45" s="28" t="inlineStr">
        <is>
          <t>PER NIGHT PER TEAM</t>
        </is>
      </c>
      <c r="F45" s="28" t="n"/>
      <c r="G45" s="28" t="n"/>
      <c r="H45" s="28" t="n"/>
      <c r="I45" s="28" t="n"/>
      <c r="J45" s="385" t="n"/>
      <c r="K45" s="378">
        <f>D45*J45</f>
        <v/>
      </c>
      <c r="L45" s="392" t="n">
        <v>0.33</v>
      </c>
      <c r="M45" s="311">
        <f>(K45/(1-L45))*(1+$D$9)</f>
        <v/>
      </c>
      <c r="N45" s="378">
        <f>(M45*VLOOKUP($C$9,'Base Costs'!$A$32:$B$37,2,FALSE))</f>
        <v/>
      </c>
      <c r="O45" s="379">
        <f>M45-K45</f>
        <v/>
      </c>
      <c r="U45" s="229" t="n"/>
    </row>
    <row r="46" ht="15" customHeight="1" s="1085">
      <c r="A46" s="215" t="n">
        <v>253</v>
      </c>
      <c r="C46" s="269" t="inlineStr">
        <is>
          <t>OVERNIGHT</t>
        </is>
      </c>
      <c r="D46" s="242" t="n"/>
      <c r="E46" s="28" t="inlineStr">
        <is>
          <t>PER NIGHT PER TEAM</t>
        </is>
      </c>
      <c r="F46" s="28" t="n"/>
      <c r="G46" s="28" t="n"/>
      <c r="H46" s="28" t="n"/>
      <c r="I46" s="28" t="n"/>
      <c r="J46" s="385" t="n">
        <v>170</v>
      </c>
      <c r="K46" s="378">
        <f>D46*J46</f>
        <v/>
      </c>
      <c r="L46" s="392" t="n">
        <v>0.33</v>
      </c>
      <c r="M46" s="311">
        <f>(K46/(1-L46))*(1+$D$9)</f>
        <v/>
      </c>
      <c r="N46" s="378">
        <f>(M46*VLOOKUP($C$9,'Base Costs'!$A$32:$B$37,2,FALSE))</f>
        <v/>
      </c>
      <c r="O46" s="379">
        <f>M46-K46</f>
        <v/>
      </c>
      <c r="U46" s="229" t="n"/>
    </row>
    <row r="47" ht="15" customHeight="1" s="1085">
      <c r="A47" s="215" t="n">
        <v>280</v>
      </c>
      <c r="C47" s="269" t="inlineStr">
        <is>
          <t>TEST &amp; COMMISSION</t>
        </is>
      </c>
      <c r="D47" s="242" t="n"/>
      <c r="E47" s="28" t="inlineStr">
        <is>
          <t>ONE ENGINEER</t>
        </is>
      </c>
      <c r="F47" s="28" t="n"/>
      <c r="G47" s="28" t="n"/>
      <c r="H47" s="28" t="n"/>
      <c r="I47" s="28" t="n"/>
      <c r="J47" s="385" t="n">
        <v>604</v>
      </c>
      <c r="K47" s="378">
        <f>D47*J47</f>
        <v/>
      </c>
      <c r="L47" s="392" t="n">
        <v>0.33</v>
      </c>
      <c r="M47" s="311">
        <f>(K47/(1-L47))*(1+$D$9)</f>
        <v/>
      </c>
      <c r="N47" s="378">
        <f>(M47*VLOOKUP($C$9,'Base Costs'!$A$32:$B$37,2,FALSE))</f>
        <v/>
      </c>
      <c r="O47" s="379">
        <f>M47-K47</f>
        <v/>
      </c>
      <c r="U47" s="229" t="n"/>
    </row>
    <row r="48" ht="15" customHeight="1" s="1085">
      <c r="A48" s="215" t="n">
        <v>284</v>
      </c>
      <c r="C48" s="269" t="n"/>
      <c r="D48" s="242" t="n"/>
      <c r="E48" s="28" t="inlineStr">
        <is>
          <t>OPTIONAL ITEM</t>
        </is>
      </c>
      <c r="F48" s="28" t="n"/>
      <c r="G48" s="28" t="n"/>
      <c r="H48" s="28" t="n"/>
      <c r="I48" s="28" t="n"/>
      <c r="J48" s="385" t="n">
        <v>200</v>
      </c>
      <c r="K48" s="378">
        <f>D48*J48</f>
        <v/>
      </c>
      <c r="L48" s="392" t="n">
        <v>0.33</v>
      </c>
      <c r="M48" s="311">
        <f>(K48/(1-L48))*(1+$D$9)</f>
        <v/>
      </c>
      <c r="N48" s="378">
        <f>(M48*VLOOKUP($C$9,'Base Costs'!$A$32:$B$37,2,FALSE))</f>
        <v/>
      </c>
      <c r="O48" s="379">
        <f>M48-K48</f>
        <v/>
      </c>
      <c r="U48" s="229" t="n"/>
    </row>
    <row r="49" ht="15" customHeight="1" s="1085">
      <c r="C49" s="239" t="n"/>
      <c r="D49" s="239" t="n"/>
      <c r="E49" s="239" t="n"/>
      <c r="F49" s="239" t="n"/>
      <c r="G49" s="239" t="n"/>
      <c r="H49" s="243" t="n"/>
      <c r="I49" s="244" t="n"/>
      <c r="J49" s="354" t="n"/>
      <c r="K49" s="353" t="n"/>
      <c r="L49" s="355" t="n"/>
      <c r="M49" s="353" t="n"/>
      <c r="N49" s="353" t="n"/>
      <c r="U49" s="229" t="n"/>
    </row>
    <row r="50" ht="15" customHeight="1" s="1085">
      <c r="C50" s="197" t="inlineStr">
        <is>
          <t>Office Use Only</t>
        </is>
      </c>
      <c r="D50" s="198" t="n"/>
      <c r="E50" s="199" t="n"/>
      <c r="F50" s="199" t="n"/>
      <c r="G50" s="198" t="n"/>
      <c r="H50" s="200" t="n"/>
      <c r="I50" s="198" t="n"/>
      <c r="J50" s="198" t="n"/>
      <c r="K50" s="198" t="n"/>
      <c r="L50" s="198" t="n"/>
      <c r="M50" s="198" t="n"/>
      <c r="N50" s="198" t="n"/>
      <c r="O50" s="198" t="n"/>
      <c r="U50" s="229" t="n"/>
    </row>
    <row r="51" ht="15" customHeight="1" s="1085">
      <c r="C51" s="202" t="n"/>
      <c r="D51" s="203" t="n"/>
      <c r="E51" s="202" t="n"/>
      <c r="F51" s="204" t="n"/>
      <c r="G51" s="202" t="n"/>
      <c r="H51" s="209" t="n"/>
      <c r="I51" s="203" t="n"/>
      <c r="J51" s="203" t="n"/>
      <c r="K51" s="205" t="n"/>
      <c r="L51" s="205" t="n"/>
      <c r="M51" s="205" t="n"/>
      <c r="N51" s="205" t="n"/>
      <c r="O51" s="205" t="n"/>
      <c r="U51" s="229" t="n"/>
    </row>
    <row r="52" ht="15" customHeight="1" s="1085">
      <c r="C52" s="202" t="n"/>
      <c r="D52" s="203" t="n"/>
      <c r="E52" s="202" t="n"/>
      <c r="F52" s="204" t="n"/>
      <c r="G52" s="202" t="n"/>
      <c r="H52" s="209" t="n"/>
      <c r="I52" s="203" t="n"/>
      <c r="J52" s="203" t="n"/>
      <c r="K52" s="205" t="n"/>
      <c r="L52" s="205" t="n"/>
      <c r="M52" s="205" t="n"/>
      <c r="N52" s="205" t="n"/>
      <c r="O52" s="205" t="n"/>
      <c r="U52" s="229" t="n"/>
    </row>
    <row r="53" ht="15" customHeight="1" s="1085">
      <c r="C53" s="202" t="n"/>
      <c r="D53" s="203" t="n"/>
      <c r="E53" s="202" t="n"/>
      <c r="F53" s="204" t="n"/>
      <c r="G53" s="202" t="n"/>
      <c r="H53" s="209" t="n"/>
      <c r="I53" s="203" t="n"/>
      <c r="J53" s="203" t="n"/>
      <c r="K53" s="209" t="n"/>
      <c r="L53" s="209" t="n"/>
      <c r="M53" s="209" t="n"/>
      <c r="N53" s="209" t="n"/>
      <c r="O53" s="209" t="n"/>
      <c r="U53" s="229" t="n"/>
    </row>
    <row r="54" ht="15" customHeight="1" s="1085">
      <c r="C54" s="202" t="n"/>
      <c r="D54" s="203" t="n"/>
      <c r="E54" s="202" t="n"/>
      <c r="F54" s="204" t="n"/>
      <c r="G54" s="202" t="n"/>
      <c r="H54" s="209" t="n"/>
      <c r="I54" s="206" t="n"/>
      <c r="J54" s="203" t="n"/>
      <c r="K54" s="209" t="n"/>
      <c r="L54" s="209" t="n"/>
      <c r="M54" s="209" t="n"/>
      <c r="N54" s="209" t="n"/>
      <c r="O54" s="209" t="n"/>
      <c r="U54" s="229" t="n"/>
    </row>
    <row r="55" ht="15" customHeight="1" s="1085">
      <c r="C55" s="202" t="n"/>
      <c r="D55" s="203" t="n"/>
      <c r="E55" s="202" t="n"/>
      <c r="F55" s="202" t="n"/>
      <c r="G55" s="202" t="n"/>
      <c r="H55" s="207" t="n"/>
      <c r="I55" s="209" t="n"/>
      <c r="J55" s="203" t="n"/>
      <c r="K55" s="205" t="n"/>
      <c r="L55" s="205" t="n"/>
      <c r="M55" s="205" t="n"/>
      <c r="N55" s="205" t="n"/>
      <c r="O55" s="205" t="n"/>
      <c r="U55" s="229" t="n"/>
    </row>
    <row r="56" ht="15" customHeight="1" s="1085">
      <c r="C56" s="202" t="n"/>
      <c r="D56" s="202" t="n"/>
      <c r="E56" s="202" t="n"/>
      <c r="F56" s="202" t="n"/>
      <c r="G56" s="202" t="n"/>
      <c r="H56" s="207" t="n"/>
      <c r="I56" s="209" t="n"/>
      <c r="J56" s="203" t="n"/>
      <c r="K56" s="205" t="n"/>
      <c r="L56" s="205" t="n"/>
      <c r="M56" s="205" t="n"/>
      <c r="N56" s="205" t="n"/>
      <c r="O56" s="205" t="n"/>
      <c r="U56" s="229" t="n"/>
    </row>
    <row r="57" ht="15" customHeight="1" s="1085">
      <c r="J57" s="228" t="n"/>
      <c r="M57" s="228" t="n"/>
      <c r="O57" s="228" t="n"/>
      <c r="U57" s="229" t="n"/>
    </row>
    <row r="58" ht="15" customHeight="1" s="1085">
      <c r="J58" s="228" t="n"/>
      <c r="M58" s="228" t="n"/>
      <c r="O58" s="228" t="n"/>
      <c r="U58" s="229" t="n"/>
    </row>
    <row r="59" ht="15" customHeight="1" s="1085">
      <c r="H59" s="219" t="n"/>
      <c r="U59" s="229" t="n"/>
    </row>
    <row r="60" ht="15" customHeight="1" s="1085">
      <c r="H60" s="219" t="n"/>
      <c r="U60" s="229" t="n"/>
    </row>
    <row r="61" ht="15" customHeight="1" s="1085">
      <c r="H61" s="219" t="n"/>
      <c r="U61" s="229" t="n"/>
    </row>
    <row r="62" ht="15" customHeight="1" s="1085">
      <c r="H62" s="219" t="n"/>
      <c r="U62" s="229" t="n"/>
    </row>
    <row r="63" ht="15" customHeight="1" s="1085">
      <c r="H63" s="219" t="n"/>
      <c r="U63" s="229" t="n"/>
    </row>
    <row r="64" ht="15" customHeight="1" s="1085">
      <c r="H64" s="219" t="n"/>
      <c r="U64" s="229" t="n"/>
    </row>
    <row r="65" ht="15" customHeight="1" s="1085">
      <c r="H65" s="219" t="n"/>
      <c r="U65" s="229" t="n"/>
    </row>
    <row r="66" ht="15" customHeight="1" s="1085">
      <c r="H66" s="219" t="n"/>
      <c r="U66" s="229" t="n"/>
    </row>
    <row r="67" ht="15" customHeight="1" s="1085">
      <c r="H67" s="219" t="n"/>
      <c r="U67" s="229" t="n"/>
    </row>
    <row r="68" ht="15" customHeight="1" s="1085">
      <c r="C68" s="245" t="n"/>
      <c r="D68" s="245" t="n"/>
      <c r="E68" s="245" t="n"/>
      <c r="F68" s="245" t="n"/>
      <c r="G68" s="245" t="n"/>
      <c r="H68" s="245" t="n"/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3" ht="15" customHeight="1" s="1085">
      <c r="U103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2" ht="15" customHeight="1" s="1085">
      <c r="U112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1" ht="15" customHeight="1" s="1085">
      <c r="U121" s="229" t="n"/>
    </row>
    <row r="122" ht="15" customHeight="1" s="1085">
      <c r="U122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  <row r="142" ht="15" customHeight="1" s="1085">
      <c r="U142" s="229" t="n"/>
    </row>
    <row r="143" ht="15" customHeight="1" s="1085">
      <c r="U143" s="229" t="n"/>
    </row>
    <row r="144" ht="15" customHeight="1" s="1085">
      <c r="U144" s="229" t="n"/>
    </row>
    <row r="145" ht="15" customHeight="1" s="1085">
      <c r="U145" s="229" t="n"/>
    </row>
    <row r="146" ht="15" customHeight="1" s="1085">
      <c r="U146" s="229" t="n"/>
    </row>
    <row r="147" ht="15" customHeight="1" s="1085">
      <c r="U147" s="229" t="n"/>
    </row>
    <row r="148" ht="15" customHeight="1" s="1085">
      <c r="U148" s="229" t="n"/>
    </row>
    <row r="149" ht="15" customHeight="1" s="1085">
      <c r="U149" s="229" t="n"/>
    </row>
    <row r="150" ht="15" customHeight="1" s="1085">
      <c r="U150" s="229" t="n"/>
    </row>
    <row r="151" ht="15" customHeight="1" s="1085">
      <c r="U151" s="229" t="n"/>
    </row>
    <row r="152" ht="15" customHeight="1" s="1085">
      <c r="U152" s="229" t="n"/>
    </row>
    <row r="153" ht="15" customHeight="1" s="1085">
      <c r="U153" s="229" t="n"/>
    </row>
    <row r="154" ht="15" customHeight="1" s="1085">
      <c r="U154" s="229" t="n"/>
    </row>
    <row r="155" ht="15" customHeight="1" s="1085">
      <c r="U155" s="229" t="n"/>
    </row>
    <row r="156" ht="15" customHeight="1" s="1085">
      <c r="U156" s="229" t="n"/>
    </row>
    <row r="157" ht="15" customHeight="1" s="1085">
      <c r="U157" s="229" t="n"/>
    </row>
    <row r="158" ht="15" customHeight="1" s="1085">
      <c r="U158" s="229" t="n"/>
    </row>
    <row r="159" ht="15" customHeight="1" s="1085">
      <c r="U159" s="229" t="n"/>
    </row>
    <row r="160" ht="15" customHeight="1" s="1085">
      <c r="U160" s="229" t="n"/>
    </row>
    <row r="161" ht="15" customHeight="1" s="1085">
      <c r="U161" s="229" t="n"/>
    </row>
  </sheetData>
  <mergeCells count="9">
    <mergeCell ref="P7:R7"/>
    <mergeCell ref="D7:E7"/>
    <mergeCell ref="C1:D1"/>
    <mergeCell ref="H5:J5"/>
    <mergeCell ref="C37:H37"/>
    <mergeCell ref="D5:E5"/>
    <mergeCell ref="H3:J3"/>
    <mergeCell ref="D3:E3"/>
    <mergeCell ref="H7:J7"/>
  </mergeCells>
  <conditionalFormatting sqref="C9">
    <cfRule type="containsText" priority="35" operator="containsText" dxfId="680" text="SELECT">
      <formula>NOT(ISERROR(SEARCH("SELECT",C9)))</formula>
    </cfRule>
    <cfRule type="expression" priority="36" dxfId="680">
      <formula>C9="CURRENCY"</formula>
    </cfRule>
  </conditionalFormatting>
  <conditionalFormatting sqref="C14:C34">
    <cfRule type="expression" priority="1" dxfId="633">
      <formula>$J14&gt;0</formula>
    </cfRule>
  </conditionalFormatting>
  <conditionalFormatting sqref="C38:C48">
    <cfRule type="expression" priority="12" dxfId="633">
      <formula>$D38&gt;0</formula>
    </cfRule>
  </conditionalFormatting>
  <conditionalFormatting sqref="D38:D39 D41:D48">
    <cfRule type="cellIs" priority="37" operator="lessThan" dxfId="554">
      <formula>1</formula>
    </cfRule>
  </conditionalFormatting>
  <conditionalFormatting sqref="D40">
    <cfRule type="cellIs" priority="32" operator="lessThan" dxfId="164">
      <formula>1</formula>
    </cfRule>
  </conditionalFormatting>
  <conditionalFormatting sqref="D9:E9">
    <cfRule type="cellIs" priority="33" operator="lessThan" dxfId="207">
      <formula>0</formula>
    </cfRule>
    <cfRule type="cellIs" priority="34" operator="greaterThan" dxfId="552">
      <formula>0</formula>
    </cfRule>
  </conditionalFormatting>
  <conditionalFormatting sqref="F12">
    <cfRule type="expression" priority="42" dxfId="386">
      <formula>AND((ISNUMBER(SEARCH("I-MUAP",$E$14))),F12&lt;2500)</formula>
    </cfRule>
    <cfRule type="expression" priority="43" dxfId="387">
      <formula>ISNUMBER(SEARCH("I-MUAP",$E$14))</formula>
    </cfRule>
    <cfRule type="cellIs" priority="44" operator="greaterThan" dxfId="204">
      <formula>2000</formula>
    </cfRule>
  </conditionalFormatting>
  <conditionalFormatting sqref="F12:G12">
    <cfRule type="cellIs" priority="38" operator="lessThan" dxfId="204">
      <formula>1000</formula>
    </cfRule>
  </conditionalFormatting>
  <conditionalFormatting sqref="F14:G28">
    <cfRule type="cellIs" priority="5" operator="lessThan" dxfId="164">
      <formula>1000</formula>
    </cfRule>
  </conditionalFormatting>
  <conditionalFormatting sqref="F31:G32">
    <cfRule type="cellIs" priority="2" operator="lessThan" dxfId="164">
      <formula>1000</formula>
    </cfRule>
  </conditionalFormatting>
  <conditionalFormatting sqref="G12">
    <cfRule type="cellIs" priority="39" operator="greaterThan" dxfId="204">
      <formula>3001</formula>
    </cfRule>
  </conditionalFormatting>
  <conditionalFormatting sqref="H11">
    <cfRule type="expression" priority="41" dxfId="176">
      <formula>((G14-50)/I14)&lt;950</formula>
    </cfRule>
  </conditionalFormatting>
  <conditionalFormatting sqref="H12">
    <cfRule type="expression" priority="40" dxfId="175">
      <formula>((G14-50)/I14)&lt;950</formula>
    </cfRule>
  </conditionalFormatting>
  <conditionalFormatting sqref="H14:H28">
    <cfRule type="cellIs" priority="6" operator="lessThan" dxfId="164">
      <formula>400</formula>
    </cfRule>
  </conditionalFormatting>
  <conditionalFormatting sqref="H31:H32">
    <cfRule type="cellIs" priority="3" operator="lessThan" dxfId="164">
      <formula>400</formula>
    </cfRule>
  </conditionalFormatting>
  <conditionalFormatting sqref="H35">
    <cfRule type="expression" priority="49" dxfId="176">
      <formula>((#REF!-50)/#REF!)&lt;950</formula>
    </cfRule>
  </conditionalFormatting>
  <conditionalFormatting sqref="J14:J32">
    <cfRule type="cellIs" priority="17" operator="greaterThan" dxfId="153">
      <formula>0</formula>
    </cfRule>
  </conditionalFormatting>
  <conditionalFormatting sqref="J38:J48">
    <cfRule type="expression" priority="25" dxfId="153">
      <formula>D38&gt;0</formula>
    </cfRule>
  </conditionalFormatting>
  <conditionalFormatting sqref="J50:J56">
    <cfRule type="expression" priority="30" dxfId="2">
      <formula>#REF!="EURO"</formula>
    </cfRule>
  </conditionalFormatting>
  <conditionalFormatting sqref="K14:K34">
    <cfRule type="cellIs" priority="4" operator="greaterThan" dxfId="141">
      <formula>0</formula>
    </cfRule>
  </conditionalFormatting>
  <conditionalFormatting sqref="K38:K48">
    <cfRule type="cellIs" priority="31" operator="greaterThan" dxfId="141">
      <formula>0</formula>
    </cfRule>
  </conditionalFormatting>
  <conditionalFormatting sqref="K50:K56">
    <cfRule type="expression" priority="26" dxfId="4">
      <formula>$C$9="PLN"</formula>
    </cfRule>
    <cfRule type="expression" priority="27" dxfId="0">
      <formula>$C$9="CZK"</formula>
    </cfRule>
    <cfRule type="expression" priority="28" dxfId="3">
      <formula>$C$9="USD"</formula>
    </cfRule>
    <cfRule type="expression" priority="29" dxfId="2">
      <formula>$C$9="EURO"</formula>
    </cfRule>
  </conditionalFormatting>
  <conditionalFormatting sqref="L14:L34">
    <cfRule type="expression" priority="15" dxfId="116">
      <formula>$D$9&lt;0</formula>
    </cfRule>
    <cfRule type="expression" priority="16" dxfId="115">
      <formula>$D$9&gt;0</formula>
    </cfRule>
  </conditionalFormatting>
  <conditionalFormatting sqref="L38:L48">
    <cfRule type="expression" priority="13" dxfId="116">
      <formula>$D$9&lt;0</formula>
    </cfRule>
    <cfRule type="expression" priority="14" dxfId="115">
      <formula>$D$9&gt;0</formula>
    </cfRule>
  </conditionalFormatting>
  <conditionalFormatting sqref="N9 N12">
    <cfRule type="expression" priority="45" dxfId="4">
      <formula>$C$9="PLN"</formula>
    </cfRule>
    <cfRule type="expression" priority="46" dxfId="0">
      <formula>$C$9="CZK"</formula>
    </cfRule>
    <cfRule type="expression" priority="47" dxfId="3">
      <formula>$C$9="USD"</formula>
    </cfRule>
    <cfRule type="expression" priority="48" dxfId="2">
      <formula>$C$9="EURO"</formula>
    </cfRule>
  </conditionalFormatting>
  <conditionalFormatting sqref="N14:N34">
    <cfRule type="expression" priority="19" dxfId="4">
      <formula>$C$9="PLN"</formula>
    </cfRule>
    <cfRule type="expression" priority="20" dxfId="0">
      <formula>$C$9="CZK"</formula>
    </cfRule>
    <cfRule type="expression" priority="21" dxfId="3">
      <formula>$C$9="USD"</formula>
    </cfRule>
    <cfRule type="expression" priority="22" dxfId="2">
      <formula>$C$9="EURO"</formula>
    </cfRule>
  </conditionalFormatting>
  <conditionalFormatting sqref="N18:N22">
    <cfRule type="cellIs" priority="23" operator="greaterThan" dxfId="5">
      <formula>0</formula>
    </cfRule>
  </conditionalFormatting>
  <conditionalFormatting sqref="N37:N48">
    <cfRule type="expression" priority="8" dxfId="4">
      <formula>$C$9="PLN"</formula>
    </cfRule>
    <cfRule type="expression" priority="9" dxfId="0">
      <formula>$C$9="CZK"</formula>
    </cfRule>
    <cfRule type="expression" priority="10" dxfId="3">
      <formula>$C$9="USD"</formula>
    </cfRule>
    <cfRule type="expression" priority="11" dxfId="2">
      <formula>$C$9="EURO"</formula>
    </cfRule>
  </conditionalFormatting>
  <conditionalFormatting sqref="N14:O34">
    <cfRule type="cellIs" priority="18" operator="greaterThan" dxfId="5">
      <formula>0</formula>
    </cfRule>
  </conditionalFormatting>
  <conditionalFormatting sqref="N38:O48">
    <cfRule type="cellIs" priority="7" operator="greaterThan" dxfId="141">
      <formula>0</formula>
    </cfRule>
  </conditionalFormatting>
  <conditionalFormatting sqref="O14:O22">
    <cfRule type="cellIs" priority="24" operator="greaterThan" dxfId="5">
      <formula>0</formula>
    </cfRule>
  </conditionalFormatting>
  <dataValidations count="3">
    <dataValidation sqref="E14:E34" showDropDown="0" showInputMessage="1" showErrorMessage="1" allowBlank="1" type="list">
      <formula1>"0,1,2,3,4,5,6,7,8,9,10,11,12,13,14,15,16,17,18,19,20"</formula1>
    </dataValidation>
    <dataValidation sqref="F14:F28 F31:F32" showDropDown="0" showInputMessage="1" showErrorMessage="1" allowBlank="1" operator="greaterThan"/>
    <dataValidation sqref="H36" showDropDown="0" showInputMessage="1" showErrorMessage="1" allowBlank="1" type="list">
      <formula1>#REF!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61"/>
  <drawing xmlns:r="http://schemas.openxmlformats.org/officeDocument/2006/relationships" r:id="rId1"/>
</worksheet>
</file>

<file path=xl/worksheets/sheet48.xml><?xml version="1.0" encoding="utf-8"?>
<worksheet xmlns="http://schemas.openxmlformats.org/spreadsheetml/2006/main">
  <sheetPr codeName="Sheet22">
    <tabColor theme="8" tint="0.7999816888943144"/>
    <outlinePr summaryBelow="1" summaryRight="1"/>
    <pageSetUpPr fitToPage="1"/>
  </sheetPr>
  <dimension ref="A1:AB161"/>
  <sheetViews>
    <sheetView showGridLines="0" zoomScale="70" zoomScaleNormal="70" zoomScaleSheetLayoutView="50" workbookViewId="0">
      <selection activeCell="Q35" sqref="Q35"/>
    </sheetView>
  </sheetViews>
  <sheetFormatPr baseColWidth="10" defaultColWidth="8.83203125" defaultRowHeight="15" customHeight="1"/>
  <cols>
    <col width="2" customWidth="1" style="215" min="1" max="2"/>
    <col width="39.5" customWidth="1" style="1070" min="3" max="3"/>
    <col width="39.83203125" customWidth="1" style="1070" min="4" max="4"/>
    <col width="27.1640625" customWidth="1" style="1070" min="5" max="5"/>
    <col width="16.83203125" customWidth="1" style="1070" min="6" max="6"/>
    <col width="15.5" customWidth="1" style="1070" min="7" max="7"/>
    <col width="19.6640625" customWidth="1" style="1070" min="8" max="8"/>
    <col width="10" bestFit="1" customWidth="1" style="1072" min="9" max="9"/>
    <col width="14.83203125" bestFit="1" customWidth="1" style="1073" min="10" max="10"/>
    <col width="17.5" customWidth="1" style="228" min="11" max="11"/>
    <col width="10.5" customWidth="1" style="228" min="12" max="12"/>
    <col hidden="1" width="10.6640625" customWidth="1" style="346" min="13" max="13"/>
    <col width="14.5" bestFit="1" customWidth="1" style="1073" min="14" max="14"/>
    <col width="13.6640625" bestFit="1" customWidth="1" style="14" min="15" max="15"/>
    <col width="8.83203125" customWidth="1" style="1070" min="16" max="17"/>
    <col width="18.6640625" customWidth="1" style="1070" min="18" max="18"/>
    <col width="8.83203125" customWidth="1" style="1070" min="19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0"/>
    <col width="8.83203125" customWidth="1" style="1070" min="101" max="16384"/>
  </cols>
  <sheetData>
    <row r="1" ht="15" customHeight="1" s="1085">
      <c r="C1" s="1148" t="inlineStr">
        <is>
          <t xml:space="preserve">F24-19    EDGE BOX COST SHEET </t>
        </is>
      </c>
      <c r="E1" s="216" t="n"/>
      <c r="F1" s="216" t="n"/>
      <c r="G1" s="216" t="n"/>
      <c r="H1" s="216" t="n"/>
      <c r="I1" s="29" t="n"/>
      <c r="J1" s="336" t="n"/>
      <c r="K1" s="337" t="n"/>
      <c r="L1" s="338" t="n"/>
      <c r="M1" s="339" t="n"/>
      <c r="N1" s="336" t="n"/>
      <c r="O1" s="975" t="inlineStr">
        <is>
          <t>JAN25-19</t>
        </is>
      </c>
      <c r="S1" s="80" t="n"/>
      <c r="T1" s="218" t="n"/>
    </row>
    <row r="2" ht="15" customHeight="1" s="1085">
      <c r="C2" s="79" t="n"/>
      <c r="D2" s="221" t="n"/>
      <c r="E2" s="221" t="n"/>
      <c r="G2" s="79" t="n"/>
      <c r="H2" s="77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C3" s="78" t="inlineStr">
        <is>
          <t>Job No.</t>
        </is>
      </c>
      <c r="D3" s="1130">
        <f>IF(CANOPY!C3="","",CANOPY!C3)</f>
        <v/>
      </c>
      <c r="G3" s="76" t="inlineStr">
        <is>
          <t>Project Name</t>
        </is>
      </c>
      <c r="H3" s="1071">
        <f>IF(CANOPY!G3="","",CANOPY!G3)</f>
        <v/>
      </c>
      <c r="L3" s="342" t="n"/>
      <c r="M3" s="343" t="n"/>
      <c r="N3" s="344" t="n"/>
      <c r="T3" s="225" t="n"/>
    </row>
    <row r="4" ht="15" customHeight="1" s="1085">
      <c r="C4" s="79" t="n"/>
      <c r="D4" s="223" t="n"/>
      <c r="E4" s="223" t="n"/>
      <c r="G4" s="77" t="n"/>
      <c r="H4" s="222" t="n"/>
      <c r="I4" s="227" t="n"/>
      <c r="J4" s="341" t="n"/>
      <c r="L4" s="342" t="n"/>
      <c r="M4" s="343" t="n"/>
      <c r="N4" s="344" t="n"/>
      <c r="T4" s="225" t="n"/>
    </row>
    <row r="5" ht="15" customHeight="1" s="1085">
      <c r="C5" s="78" t="inlineStr">
        <is>
          <t>Customer</t>
        </is>
      </c>
      <c r="D5" s="1074">
        <f>IF(CANOPY!C5="","",CANOPY!C5)</f>
        <v/>
      </c>
      <c r="G5" s="76" t="inlineStr">
        <is>
          <t>Location</t>
        </is>
      </c>
      <c r="H5" s="1071">
        <f>IF(CANOPY!G5="","",CANOPY!G5)</f>
        <v/>
      </c>
      <c r="M5" s="343" t="n"/>
      <c r="N5" s="344" t="n"/>
      <c r="Q5" s="229" t="n"/>
      <c r="R5" s="229" t="n"/>
      <c r="T5" s="225" t="n"/>
      <c r="U5" s="226" t="n"/>
    </row>
    <row r="6" ht="15" customHeight="1" s="1085">
      <c r="C6" s="78" t="n"/>
      <c r="D6" s="230" t="n"/>
      <c r="E6" s="230" t="n"/>
      <c r="G6" s="76" t="n"/>
      <c r="H6" s="222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C7" s="80" t="inlineStr">
        <is>
          <t>Sales Manager / Estimator initials</t>
        </is>
      </c>
      <c r="D7" s="1074">
        <f>IF(CANOPY!C7="","",CANOPY!C7)</f>
        <v/>
      </c>
      <c r="G7" s="76" t="inlineStr">
        <is>
          <t>Date</t>
        </is>
      </c>
      <c r="H7" s="1075">
        <f>IF(CANOPY!G7="","",CANOPY!G7)</f>
        <v/>
      </c>
      <c r="N7" s="347" t="inlineStr">
        <is>
          <t>Revision No</t>
        </is>
      </c>
      <c r="O7" s="900">
        <f>IF(CANOPY!O7="","",CANOPY!O7)</f>
        <v/>
      </c>
      <c r="P7" s="1157" t="inlineStr">
        <is>
          <t>GP SHOULD BE MINIMUM 44%</t>
        </is>
      </c>
      <c r="T7" s="225" t="n"/>
      <c r="U7" s="226" t="n"/>
      <c r="AA7" s="231" t="n"/>
    </row>
    <row r="8" ht="15" customHeight="1" s="1085">
      <c r="E8" s="219" t="n"/>
      <c r="F8" s="219" t="n"/>
      <c r="H8" s="219" t="n"/>
      <c r="J8" s="346" t="n"/>
      <c r="K8" s="14" t="n"/>
      <c r="T8" s="225" t="n"/>
      <c r="AA8" s="231" t="n"/>
    </row>
    <row r="9" ht="15" customFormat="1" customHeight="1" s="80">
      <c r="A9" s="215" t="n"/>
      <c r="B9" s="215" t="n"/>
      <c r="C9" s="38" t="inlineStr">
        <is>
          <t>CURRENCY</t>
        </is>
      </c>
      <c r="D9" s="951" t="n">
        <v>0</v>
      </c>
      <c r="E9" s="377">
        <f>IF(D9=0,0,(SUBTOTAL(9,M14:M48)/(1-D9))-M9)</f>
        <v/>
      </c>
      <c r="I9" s="234" t="n"/>
      <c r="K9" s="25">
        <f>SUBTOTAL(9,K12:K48)</f>
        <v/>
      </c>
      <c r="L9" s="970">
        <f>IF(O9=0,"-",O9/M9)</f>
        <v/>
      </c>
      <c r="M9" s="25">
        <f>SUBTOTAL(9,M12:M48)</f>
        <v/>
      </c>
      <c r="N9" s="464">
        <f>SUBTOTAL(9,N12:N48)</f>
        <v/>
      </c>
      <c r="O9" s="25">
        <f>SUBTOTAL(9,O12:O48)</f>
        <v/>
      </c>
      <c r="P9" s="1070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215" t="n"/>
      <c r="C12" s="1089" t="inlineStr">
        <is>
          <t xml:space="preserve">ITEM </t>
        </is>
      </c>
      <c r="D12" s="236" t="n"/>
      <c r="E12" s="237">
        <f>E14</f>
        <v/>
      </c>
      <c r="F12" s="838" t="n">
        <v>0</v>
      </c>
      <c r="G12" s="838">
        <f>IF(I12&lt;1,0,CEILING((G14-100)/I14,250))</f>
        <v/>
      </c>
      <c r="H12" s="237">
        <f>E12&amp;G12&amp;F12</f>
        <v/>
      </c>
      <c r="I12" s="236">
        <f>IF(F14=0,0,IF(G14=0,0,(F14/(IF(D14="WALL",F14,(F14/2)))*I14)))</f>
        <v/>
      </c>
      <c r="J12" s="238" t="n"/>
      <c r="K12" s="154">
        <f>SUBTOTAL(9,K14:K34)</f>
        <v/>
      </c>
      <c r="L12" s="15">
        <f>IF(K14=0,"-",O12/M12)</f>
        <v/>
      </c>
      <c r="M12" s="154">
        <f>SUBTOTAL(9,M14:M34)</f>
        <v/>
      </c>
      <c r="N12" s="464">
        <f>SUBTOTAL(9,N14:N34)</f>
        <v/>
      </c>
      <c r="O12" s="154">
        <f>SUBTOTAL(9,O14:O34)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LENGTH</t>
        </is>
      </c>
      <c r="G13" s="10" t="inlineStr">
        <is>
          <t>WIDTH</t>
        </is>
      </c>
      <c r="H13" s="10" t="inlineStr">
        <is>
          <t>HEIGHT</t>
        </is>
      </c>
      <c r="I13" s="10" t="inlineStr">
        <is>
          <t>SECTIONS</t>
        </is>
      </c>
      <c r="J13" s="349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A14" s="215" t="n">
        <v>210</v>
      </c>
      <c r="C14" s="791" t="inlineStr">
        <is>
          <t xml:space="preserve">PS-150 TOUCH SCREEN </t>
        </is>
      </c>
      <c r="D14" s="460" t="inlineStr">
        <is>
          <t>TOUCH SCREEN REMOTE BOX - METAL</t>
        </is>
      </c>
      <c r="E14" s="448" t="n"/>
      <c r="F14" s="837" t="n">
        <v>300</v>
      </c>
      <c r="G14" s="835" t="n">
        <v>95</v>
      </c>
      <c r="H14" s="896" t="n">
        <v>250</v>
      </c>
      <c r="I14" s="31" t="n"/>
      <c r="J14" s="380" t="n">
        <v>419.97</v>
      </c>
      <c r="K14" s="378">
        <f>SUM(J14*E14)</f>
        <v/>
      </c>
      <c r="L14" s="392" t="n">
        <v>0.35</v>
      </c>
      <c r="M14" s="311">
        <f>(K14/(1-L14))*(1+$D$9)</f>
        <v/>
      </c>
      <c r="N14" s="378">
        <f>(M14*VLOOKUP($C$9,'Base Costs'!$A$32:$B$37,2,FALSE))</f>
        <v/>
      </c>
      <c r="O14" s="379">
        <f>M14-K14</f>
        <v/>
      </c>
      <c r="U14" s="229" t="n"/>
      <c r="AA14" s="1070" t="n"/>
    </row>
    <row r="15" ht="15" customHeight="1" s="1085">
      <c r="A15" s="215" t="n">
        <v>104</v>
      </c>
      <c r="C15" s="855" t="inlineStr">
        <is>
          <t>PS-152 EDGE BOX</t>
        </is>
      </c>
      <c r="D15" s="460" t="inlineStr">
        <is>
          <t>PEU/AEU/HOODS (Staged Alarms)</t>
        </is>
      </c>
      <c r="E15" s="448" t="n"/>
      <c r="F15" s="895" t="n">
        <v>380</v>
      </c>
      <c r="G15" s="835" t="n">
        <v>300</v>
      </c>
      <c r="H15" s="896" t="n">
        <v>180</v>
      </c>
      <c r="I15" s="31" t="n"/>
      <c r="J15" s="380" t="n">
        <v>1030.52</v>
      </c>
      <c r="K15" s="378">
        <f>SUM(J15*E15)</f>
        <v/>
      </c>
      <c r="L15" s="392" t="n">
        <v>0.35</v>
      </c>
      <c r="M15" s="311">
        <f>(K15/(1-L15))*(1+$D$9)</f>
        <v/>
      </c>
      <c r="N15" s="378">
        <f>(M15*VLOOKUP($C$9,'Base Costs'!$A$32:$B$37,2,FALSE))</f>
        <v/>
      </c>
      <c r="O15" s="379">
        <f>M15-K15</f>
        <v/>
      </c>
      <c r="U15" s="229" t="n"/>
      <c r="AA15" s="1070" t="n"/>
    </row>
    <row r="16" ht="15" customHeight="1" s="1085">
      <c r="A16" s="215" t="n">
        <v>234</v>
      </c>
      <c r="C16" s="855" t="inlineStr">
        <is>
          <t>PS-153 EDGE BOX</t>
        </is>
      </c>
      <c r="D16" s="460" t="inlineStr">
        <is>
          <t>PEU/HOODS (Staged Alarms)</t>
        </is>
      </c>
      <c r="E16" s="461" t="n"/>
      <c r="F16" s="895" t="n">
        <v>380</v>
      </c>
      <c r="G16" s="835" t="n">
        <v>300</v>
      </c>
      <c r="H16" s="896" t="n">
        <v>180</v>
      </c>
      <c r="I16" s="31" t="n"/>
      <c r="J16" s="380" t="n">
        <v>690.16</v>
      </c>
      <c r="K16" s="378">
        <f>SUM(J16*E16)</f>
        <v/>
      </c>
      <c r="L16" s="392" t="n">
        <v>0.35</v>
      </c>
      <c r="M16" s="311">
        <f>(K16/(1-L16))*(1+$D$9)</f>
        <v/>
      </c>
      <c r="N16" s="378">
        <f>(M16*VLOOKUP($C$9,'Base Costs'!$A$32:$B$37,2,FALSE))</f>
        <v/>
      </c>
      <c r="O16" s="379">
        <f>M16-K16</f>
        <v/>
      </c>
      <c r="U16" s="229" t="n"/>
      <c r="AA16" s="1070" t="n"/>
    </row>
    <row r="17" ht="15" customHeight="1" s="1085">
      <c r="C17" s="855" t="inlineStr">
        <is>
          <t>PS-154 EDGE BOX</t>
        </is>
      </c>
      <c r="D17" s="460" t="inlineStr">
        <is>
          <t>PEU/MRV/HOODS (Staged Alarms)</t>
        </is>
      </c>
      <c r="E17" s="448" t="n"/>
      <c r="F17" s="895" t="n">
        <v>380</v>
      </c>
      <c r="G17" s="895" t="n">
        <v>300</v>
      </c>
      <c r="H17" s="896" t="n">
        <v>180</v>
      </c>
      <c r="I17" s="31" t="n"/>
      <c r="J17" s="380" t="n">
        <v>894.01</v>
      </c>
      <c r="K17" s="378">
        <f>SUM(J17*E17)</f>
        <v/>
      </c>
      <c r="L17" s="392" t="n">
        <v>0.35</v>
      </c>
      <c r="M17" s="311">
        <f>(K17/(1-L17))*(1+$D$9)</f>
        <v/>
      </c>
      <c r="N17" s="378">
        <f>(M17*VLOOKUP($C$9,'Base Costs'!$A$32:$B$37,2,FALSE))</f>
        <v/>
      </c>
      <c r="O17" s="379">
        <f>M17-K17</f>
        <v/>
      </c>
      <c r="U17" s="229" t="n"/>
      <c r="AA17" s="1070" t="n"/>
    </row>
    <row r="18" ht="15" customHeight="1" s="1085">
      <c r="C18" s="855" t="inlineStr">
        <is>
          <t>PS-155 EDGE BOX</t>
        </is>
      </c>
      <c r="D18" s="460" t="inlineStr">
        <is>
          <t>PEU/AEU/ MRV/HOOD (No Staged Alarms)</t>
        </is>
      </c>
      <c r="E18" s="448" t="n"/>
      <c r="F18" s="895" t="n">
        <v>380</v>
      </c>
      <c r="G18" s="895" t="n">
        <v>300</v>
      </c>
      <c r="H18" s="896" t="n">
        <v>180</v>
      </c>
      <c r="I18" s="31" t="n"/>
      <c r="J18" s="380" t="n">
        <v>1039.58</v>
      </c>
      <c r="K18" s="378">
        <f>SUM(J18*E18)</f>
        <v/>
      </c>
      <c r="L18" s="392" t="n">
        <v>0.35</v>
      </c>
      <c r="M18" s="311">
        <f>(K18/(1-L18))*(1+$D$9)</f>
        <v/>
      </c>
      <c r="N18" s="378">
        <f>(M18*VLOOKUP($C$9,'Base Costs'!$A$32:$B$37,2,FALSE))</f>
        <v/>
      </c>
      <c r="O18" s="379">
        <f>M18-K18</f>
        <v/>
      </c>
      <c r="U18" s="229" t="n"/>
      <c r="AA18" s="1070" t="n"/>
    </row>
    <row r="19" ht="15" customHeight="1" s="1085">
      <c r="C19" s="855" t="n"/>
      <c r="D19" s="460" t="n"/>
      <c r="E19" s="448" t="n"/>
      <c r="F19" s="895" t="n"/>
      <c r="G19" s="895" t="n"/>
      <c r="H19" s="896" t="n"/>
      <c r="I19" s="31" t="n"/>
      <c r="J19" s="380" t="n"/>
      <c r="K19" s="378" t="n"/>
      <c r="L19" s="392" t="n"/>
      <c r="M19" s="311" t="n"/>
      <c r="N19" s="378" t="n"/>
      <c r="O19" s="379" t="n"/>
      <c r="U19" s="229" t="n"/>
      <c r="AA19" s="1070" t="n"/>
    </row>
    <row r="20" ht="15" customHeight="1" s="1085">
      <c r="C20" s="791" t="inlineStr">
        <is>
          <t>RCL-329 LPC-3 GOT.112 (CANOPY CONTROL)</t>
        </is>
      </c>
      <c r="D20" s="1065" t="inlineStr">
        <is>
          <t>GOT Panel Comp for UV-c (24 Sections Max)</t>
        </is>
      </c>
      <c r="E20" s="448" t="n"/>
      <c r="F20" s="895" t="n">
        <v>160</v>
      </c>
      <c r="G20" s="895" t="n">
        <v>34</v>
      </c>
      <c r="H20" s="896" t="n">
        <v>106</v>
      </c>
      <c r="I20" s="31" t="n"/>
      <c r="J20" s="380" t="n">
        <v>336.21</v>
      </c>
      <c r="K20" s="378">
        <f>SUM(J20*E20)</f>
        <v/>
      </c>
      <c r="L20" s="392" t="n">
        <v>0.35</v>
      </c>
      <c r="M20" s="311">
        <f>(K20/(1-L20))*(1+$D$9)</f>
        <v/>
      </c>
      <c r="N20" s="378">
        <f>(M20*VLOOKUP($C$9,'Base Costs'!$A$32:$B$37,2,FALSE))</f>
        <v/>
      </c>
      <c r="O20" s="379">
        <f>M20-K20</f>
        <v/>
      </c>
      <c r="U20" s="229" t="n"/>
      <c r="AA20" s="1070" t="n"/>
    </row>
    <row r="21" ht="15" customHeight="1" s="1085">
      <c r="C21" s="791" t="inlineStr">
        <is>
          <t>RCL-342 GOT-112 WALL BOX</t>
        </is>
      </c>
      <c r="D21" s="460" t="inlineStr">
        <is>
          <t>Remote Mounting box if Required</t>
        </is>
      </c>
      <c r="E21" s="448" t="n"/>
      <c r="F21" s="895" t="n">
        <v>270</v>
      </c>
      <c r="G21" s="895" t="n">
        <v>200</v>
      </c>
      <c r="H21" s="896" t="n">
        <v>150</v>
      </c>
      <c r="I21" s="31" t="n"/>
      <c r="J21" s="380" t="n">
        <v>82</v>
      </c>
      <c r="K21" s="378">
        <f>SUM(J21*E21)</f>
        <v/>
      </c>
      <c r="L21" s="392" t="n">
        <v>0.35</v>
      </c>
      <c r="M21" s="311">
        <f>(K21/(1-L21))*(1+$D$9)</f>
        <v/>
      </c>
      <c r="N21" s="378">
        <f>(M21*VLOOKUP($C$9,'Base Costs'!$A$32:$B$37,2,FALSE))</f>
        <v/>
      </c>
      <c r="O21" s="379">
        <f>M21-K21</f>
        <v/>
      </c>
      <c r="U21" s="229" t="n"/>
      <c r="AA21" s="1070" t="n"/>
    </row>
    <row r="22" ht="15" customHeight="1" s="1085">
      <c r="C22" s="270" t="inlineStr">
        <is>
          <t>RCL-280 STAGED ALARM BOX</t>
        </is>
      </c>
      <c r="D22" s="460" t="inlineStr">
        <is>
          <t>MU5 CONTROLLER BOX</t>
        </is>
      </c>
      <c r="E22" s="448" t="n"/>
      <c r="F22" s="895" t="n">
        <v>179</v>
      </c>
      <c r="G22" s="895" t="n">
        <v>129</v>
      </c>
      <c r="H22" s="896" t="n">
        <v>100</v>
      </c>
      <c r="I22" s="31" t="n"/>
      <c r="J22" s="380" t="n">
        <v>212.86</v>
      </c>
      <c r="K22" s="378">
        <f>SUM(J22*E22)</f>
        <v/>
      </c>
      <c r="L22" s="392" t="n">
        <v>0.35</v>
      </c>
      <c r="M22" s="311">
        <f>(K22/(1-L22))*(1+$D$9)</f>
        <v/>
      </c>
      <c r="N22" s="378">
        <f>(M22*VLOOKUP($C$9,'Base Costs'!$A$32:$B$37,2,FALSE))</f>
        <v/>
      </c>
      <c r="O22" s="379">
        <f>M22-K22</f>
        <v/>
      </c>
      <c r="P22" s="1064" t="inlineStr">
        <is>
          <t xml:space="preserve">Add if Alarms requested for a GOT panel </t>
        </is>
      </c>
      <c r="U22" s="229" t="n"/>
      <c r="AA22" s="1070" t="n"/>
    </row>
    <row r="23" ht="15" customHeight="1" s="1085">
      <c r="A23" s="215" t="n">
        <v>289</v>
      </c>
      <c r="C23" s="270" t="n"/>
      <c r="D23" s="460" t="n"/>
      <c r="E23" s="448" t="n"/>
      <c r="F23" s="895" t="n"/>
      <c r="G23" s="895" t="n"/>
      <c r="H23" s="896" t="n"/>
      <c r="I23" s="31" t="n"/>
      <c r="J23" s="380" t="n"/>
      <c r="K23" s="378">
        <f>SUM(J23*E23)</f>
        <v/>
      </c>
      <c r="L23" s="392" t="n"/>
      <c r="M23" s="311">
        <f>(K23/(1-L23))*(1+$D$9)</f>
        <v/>
      </c>
      <c r="N23" s="378">
        <f>(M23*VLOOKUP($C$9,'Base Costs'!$A$32:$B$37,2,FALSE))</f>
        <v/>
      </c>
      <c r="O23" s="379">
        <f>M23-K23</f>
        <v/>
      </c>
      <c r="U23" s="229" t="n"/>
      <c r="AA23" s="1070" t="n"/>
    </row>
    <row r="24" ht="15" customHeight="1" s="1085">
      <c r="A24" s="215" t="n">
        <v>242</v>
      </c>
      <c r="C24" s="270" t="inlineStr">
        <is>
          <t xml:space="preserve">PS-160 EXTERNAL AERIAL </t>
        </is>
      </c>
      <c r="D24" s="460" t="inlineStr">
        <is>
          <t>EXTERNAL AERIAL BOX</t>
        </is>
      </c>
      <c r="E24" s="448" t="n"/>
      <c r="F24" s="895" t="n">
        <v>250</v>
      </c>
      <c r="G24" s="895" t="n">
        <v>175</v>
      </c>
      <c r="H24" s="896" t="n">
        <v>100</v>
      </c>
      <c r="I24" s="31" t="n"/>
      <c r="J24" s="380" t="n">
        <v>100.91</v>
      </c>
      <c r="K24" s="378">
        <f>SUM(J24*E24)</f>
        <v/>
      </c>
      <c r="L24" s="392" t="n">
        <v>0.35</v>
      </c>
      <c r="M24" s="311">
        <f>(K24/(1-L24))*(1+$D$9)</f>
        <v/>
      </c>
      <c r="N24" s="378">
        <f>(M24*VLOOKUP($C$9,'Base Costs'!$A$32:$B$37,2,FALSE))</f>
        <v/>
      </c>
      <c r="O24" s="379">
        <f>M24-K24</f>
        <v/>
      </c>
      <c r="U24" s="229" t="n"/>
      <c r="AA24" s="1070" t="n"/>
    </row>
    <row r="25" ht="15" customHeight="1" s="1085">
      <c r="A25" s="215" t="n">
        <v>220</v>
      </c>
      <c r="C25" s="855" t="inlineStr">
        <is>
          <t xml:space="preserve">PS-156 EDGE BOX REMOTE ROUTER (UV-GOT)  </t>
        </is>
      </c>
      <c r="D25" s="1066" t="inlineStr">
        <is>
          <t>EXTERNAL ROUTER</t>
        </is>
      </c>
      <c r="E25" s="448" t="n"/>
      <c r="F25" s="837" t="n">
        <v>250</v>
      </c>
      <c r="G25" s="895" t="n">
        <v>175</v>
      </c>
      <c r="H25" s="896" t="n">
        <v>100</v>
      </c>
      <c r="I25" s="31" t="n"/>
      <c r="J25" s="380" t="n">
        <v>484.58</v>
      </c>
      <c r="K25" s="378">
        <f>SUM(J25*E25)</f>
        <v/>
      </c>
      <c r="L25" s="392" t="n">
        <v>0.35</v>
      </c>
      <c r="M25" s="311">
        <f>(K25/(1-L25))*(1+$D$9)</f>
        <v/>
      </c>
      <c r="N25" s="378">
        <f>(M25*VLOOKUP($C$9,'Base Costs'!$A$32:$B$37,2,FALSE))</f>
        <v/>
      </c>
      <c r="O25" s="379">
        <f>M25-K25</f>
        <v/>
      </c>
      <c r="U25" s="229" t="n"/>
      <c r="AA25" s="1070" t="n"/>
    </row>
    <row r="26" ht="15" customHeight="1" s="1085">
      <c r="A26" s="215" t="n">
        <v>103</v>
      </c>
      <c r="C26" s="855" t="n"/>
      <c r="D26" s="460" t="n"/>
      <c r="E26" s="448" t="n"/>
      <c r="F26" s="837" t="n"/>
      <c r="G26" s="895" t="n"/>
      <c r="H26" s="896" t="n"/>
      <c r="I26" s="31" t="n"/>
      <c r="J26" s="380" t="n"/>
      <c r="K26" s="378">
        <f>SUM(J26*E26)</f>
        <v/>
      </c>
      <c r="L26" s="392" t="n"/>
      <c r="M26" s="311">
        <f>(K26/(1-L26))*(1+$D$9)</f>
        <v/>
      </c>
      <c r="N26" s="378">
        <f>(M26*VLOOKUP($C$9,'Base Costs'!$A$32:$B$37,2,FALSE))</f>
        <v/>
      </c>
      <c r="O26" s="379">
        <f>M26-K26</f>
        <v/>
      </c>
      <c r="U26" s="229" t="n"/>
      <c r="AA26" s="1070" t="n"/>
    </row>
    <row r="27" ht="15" customHeight="1" s="1085">
      <c r="A27" s="215" t="n">
        <v>103</v>
      </c>
      <c r="C27" s="855" t="inlineStr">
        <is>
          <t>CONNECTIVITY PS-153/152/154/155</t>
        </is>
      </c>
      <c r="D27" s="921" t="inlineStr">
        <is>
          <t xml:space="preserve"> NOT INCLUDED IN THE ABOVE</t>
        </is>
      </c>
      <c r="E27" s="448" t="n"/>
      <c r="F27" s="837" t="n"/>
      <c r="G27" s="895" t="n"/>
      <c r="H27" s="896" t="n"/>
      <c r="I27" s="31" t="n"/>
      <c r="J27" s="380" t="n">
        <v>522.38</v>
      </c>
      <c r="K27" s="378">
        <f>SUM(J27*E27)</f>
        <v/>
      </c>
      <c r="L27" s="392" t="n">
        <v>0.35</v>
      </c>
      <c r="M27" s="311">
        <f>(K27/(1-L27))*(1+$D$9)</f>
        <v/>
      </c>
      <c r="N27" s="378">
        <f>(M27*VLOOKUP($C$9,'Base Costs'!$A$32:$B$37,2,FALSE))</f>
        <v/>
      </c>
      <c r="O27" s="379">
        <f>M27-K27</f>
        <v/>
      </c>
      <c r="P27" s="990" t="inlineStr">
        <is>
          <t>EDGE UP2 Plus First Year Connectivity Fee from Group</t>
        </is>
      </c>
      <c r="U27" s="229" t="n"/>
      <c r="AA27" s="1070" t="n"/>
    </row>
    <row r="28" ht="15" customHeight="1" s="1085">
      <c r="C28" s="855" t="inlineStr">
        <is>
          <t>CONNECTIVITY  (UV-GOT)</t>
        </is>
      </c>
      <c r="D28" s="1067" t="inlineStr">
        <is>
          <t xml:space="preserve"> NOT INCLUDED IN THE ABOVE</t>
        </is>
      </c>
      <c r="E28" s="448" t="n"/>
      <c r="F28" s="895" t="n"/>
      <c r="G28" s="895" t="n"/>
      <c r="H28" s="896" t="n"/>
      <c r="I28" s="31" t="n"/>
      <c r="J28" s="380" t="n">
        <v>130</v>
      </c>
      <c r="K28" s="378">
        <f>SUM(J28*E28)</f>
        <v/>
      </c>
      <c r="L28" s="392" t="n">
        <v>0.35</v>
      </c>
      <c r="M28" s="311">
        <f>(K28/(1-L28))*(1+$D$9)</f>
        <v/>
      </c>
      <c r="N28" s="378">
        <f>(M28*VLOOKUP($C$9,'Base Costs'!$A$32:$B$37,2,FALSE))</f>
        <v/>
      </c>
      <c r="O28" s="379">
        <f>M28-K28</f>
        <v/>
      </c>
      <c r="P28" s="990" t="inlineStr">
        <is>
          <t>First Year Connectivity Fee from Group</t>
        </is>
      </c>
      <c r="U28" s="229" t="n"/>
      <c r="AA28" s="1070" t="n"/>
    </row>
    <row r="29" ht="15" customHeight="1" s="1085">
      <c r="A29" s="215" t="n">
        <v>285</v>
      </c>
      <c r="C29" s="855" t="n"/>
      <c r="D29" s="460" t="n"/>
      <c r="E29" s="448" t="n"/>
      <c r="F29" s="898" t="n"/>
      <c r="G29" s="898" t="n"/>
      <c r="H29" s="899" t="n"/>
      <c r="I29" s="31" t="n"/>
      <c r="J29" s="380" t="n"/>
      <c r="K29" s="378">
        <f>SUM(J29*E29)</f>
        <v/>
      </c>
      <c r="L29" s="392" t="n"/>
      <c r="M29" s="311">
        <f>(K29/(1-L29))*(1+$D$9)</f>
        <v/>
      </c>
      <c r="N29" s="378">
        <f>(M29*VLOOKUP($C$9,'Base Costs'!$A$32:$B$37,2,FALSE))</f>
        <v/>
      </c>
      <c r="O29" s="379">
        <f>M29-K29</f>
        <v/>
      </c>
      <c r="U29" s="229" t="n"/>
      <c r="AA29" s="1070" t="n"/>
    </row>
    <row r="30" ht="15" customHeight="1" s="1085">
      <c r="C30" s="855" t="n"/>
      <c r="D30" s="460" t="n"/>
      <c r="E30" s="448" t="n"/>
      <c r="F30" s="898" t="n"/>
      <c r="G30" s="898" t="n"/>
      <c r="H30" s="899" t="n"/>
      <c r="I30" s="31" t="n"/>
      <c r="J30" s="380" t="n"/>
      <c r="K30" s="378">
        <f>SUM(J30*E30)</f>
        <v/>
      </c>
      <c r="L30" s="392" t="n"/>
      <c r="M30" s="311">
        <f>(K30/(1-L30))*(1+$D$9)</f>
        <v/>
      </c>
      <c r="N30" s="378">
        <f>(M30*VLOOKUP($C$9,'Base Costs'!$A$32:$B$37,2,FALSE))</f>
        <v/>
      </c>
      <c r="O30" s="379">
        <f>M30-K30</f>
        <v/>
      </c>
      <c r="U30" s="229" t="n"/>
      <c r="AA30" s="1070" t="n"/>
    </row>
    <row r="31" ht="15" customHeight="1" s="1085">
      <c r="C31" s="269" t="n"/>
      <c r="D31" s="460" t="n"/>
      <c r="E31" s="448" t="n"/>
      <c r="F31" s="895" t="n"/>
      <c r="G31" s="895" t="n"/>
      <c r="H31" s="896" t="n"/>
      <c r="I31" s="31" t="n"/>
      <c r="J31" s="380" t="n">
        <v>0</v>
      </c>
      <c r="K31" s="378">
        <f>SUM(J31*E31)</f>
        <v/>
      </c>
      <c r="L31" s="392" t="n"/>
      <c r="M31" s="311">
        <f>(K31/(1-L31))*(1+$D$9)</f>
        <v/>
      </c>
      <c r="N31" s="378">
        <f>(M31*VLOOKUP($C$9,'Base Costs'!$A$32:$B$37,2,FALSE))</f>
        <v/>
      </c>
      <c r="O31" s="379">
        <f>M31-K31</f>
        <v/>
      </c>
      <c r="U31" s="229" t="n"/>
      <c r="AA31" s="1070" t="n"/>
    </row>
    <row r="32" ht="15" customHeight="1" s="1085">
      <c r="A32" s="215" t="n">
        <v>286</v>
      </c>
      <c r="C32" s="270" t="n"/>
      <c r="D32" s="460" t="n"/>
      <c r="E32" s="448" t="n"/>
      <c r="F32" s="895" t="n"/>
      <c r="G32" s="895" t="n"/>
      <c r="H32" s="896" t="n"/>
      <c r="I32" s="31" t="n"/>
      <c r="J32" s="380" t="n">
        <v>0</v>
      </c>
      <c r="K32" s="378">
        <f>SUM(J32*E32)</f>
        <v/>
      </c>
      <c r="L32" s="392" t="n"/>
      <c r="M32" s="311">
        <f>(K32/(1-L32))*(1+$D$9)</f>
        <v/>
      </c>
      <c r="N32" s="378">
        <f>(M32*VLOOKUP($C$9,'Base Costs'!$A$32:$B$37,2,FALSE))</f>
        <v/>
      </c>
      <c r="O32" s="379">
        <f>M32-K32</f>
        <v/>
      </c>
      <c r="U32" s="229" t="n"/>
      <c r="AA32" s="1070" t="n"/>
    </row>
    <row r="33" ht="15" customHeight="1" s="1085">
      <c r="C33" s="269" t="n"/>
      <c r="D33" s="460" t="n"/>
      <c r="E33" s="448" t="n"/>
      <c r="F33" s="462" t="n"/>
      <c r="G33" s="32" t="n"/>
      <c r="H33" s="30" t="n"/>
      <c r="I33" s="31" t="n"/>
      <c r="J33" s="933" t="n"/>
      <c r="K33" s="378">
        <f>SUM(J33*E33)</f>
        <v/>
      </c>
      <c r="L33" s="392" t="n"/>
      <c r="M33" s="311">
        <f>(K33/(1-L33))*(1+$D$9)</f>
        <v/>
      </c>
      <c r="N33" s="378">
        <f>(M33*VLOOKUP($C$9,'Base Costs'!$A$32:$B$37,2,FALSE))</f>
        <v/>
      </c>
      <c r="O33" s="379">
        <f>M33-K33</f>
        <v/>
      </c>
      <c r="U33" s="229" t="n"/>
      <c r="AA33" s="1070" t="n"/>
    </row>
    <row r="34" ht="15" customHeight="1" s="1085">
      <c r="C34" s="855" t="n"/>
      <c r="D34" s="460" t="n"/>
      <c r="E34" s="448" t="n"/>
      <c r="F34" s="462" t="n"/>
      <c r="G34" s="32" t="n"/>
      <c r="H34" s="30" t="n"/>
      <c r="I34" s="31" t="n"/>
      <c r="J34" s="933" t="n"/>
      <c r="K34" s="378">
        <f>SUM(J34*E34)</f>
        <v/>
      </c>
      <c r="L34" s="392" t="n"/>
      <c r="M34" s="311">
        <f>(K34/(1-L34))*(1+$D$9)</f>
        <v/>
      </c>
      <c r="N34" s="378">
        <f>(M34*VLOOKUP($C$9,'Base Costs'!$A$32:$B$37,2,FALSE))</f>
        <v/>
      </c>
      <c r="O34" s="379">
        <f>M34-K34</f>
        <v/>
      </c>
      <c r="U34" s="229" t="n"/>
      <c r="AA34" s="1070" t="n"/>
    </row>
    <row r="35" ht="15" customHeight="1" s="1085">
      <c r="H35" s="34" t="inlineStr">
        <is>
          <t>SECTION UNDER 1000mm</t>
        </is>
      </c>
    </row>
    <row r="36" ht="15" customHeight="1" s="1085">
      <c r="C36" s="239" t="n"/>
      <c r="D36" s="239" t="n"/>
      <c r="E36" s="239" t="n"/>
      <c r="F36" s="239" t="n"/>
      <c r="G36" s="239" t="n"/>
      <c r="H36" s="239" t="n"/>
      <c r="I36" s="9" t="n"/>
      <c r="J36" s="11" t="n"/>
      <c r="K36" s="353" t="n"/>
      <c r="L36" s="240" t="n"/>
      <c r="M36" s="353" t="n"/>
      <c r="N36" s="353" t="n"/>
      <c r="U36" s="229" t="n"/>
      <c r="AA36" s="1070" t="n"/>
    </row>
    <row r="37" ht="15" customHeight="1" s="1085">
      <c r="C37" s="1089" t="inlineStr">
        <is>
          <t xml:space="preserve">DELIVERY &amp; INSTALLATION </t>
        </is>
      </c>
      <c r="I37" s="236" t="n"/>
      <c r="J37" s="330" t="n"/>
      <c r="K37" s="154">
        <f>SUBTOTAL(9,K38:K48)</f>
        <v/>
      </c>
      <c r="L37" s="15">
        <f>IF(K38=0,"-",O37/M37)</f>
        <v/>
      </c>
      <c r="M37" s="154">
        <f>SUBTOTAL(9,M38:M48)</f>
        <v/>
      </c>
      <c r="N37" s="464">
        <f>SUBTOTAL(9,N38:N48)</f>
        <v/>
      </c>
      <c r="O37" s="154">
        <f>SUBTOTAL(9,O39:O48)</f>
        <v/>
      </c>
      <c r="U37" s="229" t="n"/>
    </row>
    <row r="38" ht="15" customHeight="1" s="1085">
      <c r="A38" s="215" t="n">
        <v>222</v>
      </c>
      <c r="C38" s="269" t="inlineStr">
        <is>
          <t xml:space="preserve">DELIVERIES </t>
        </is>
      </c>
      <c r="D38" s="242" t="n"/>
      <c r="E38" s="309" t="inlineStr">
        <is>
          <t>SELECT LOCATION…</t>
        </is>
      </c>
      <c r="F38" s="28" t="n"/>
      <c r="G38" s="30" t="n"/>
      <c r="H38" s="28" t="n"/>
      <c r="I38" s="28" t="n"/>
      <c r="J38" s="385">
        <f>VLOOKUP(E38,'Base Costs'!E4:G213,2,FALSE)</f>
        <v/>
      </c>
      <c r="K38" s="378">
        <f>D38*J38</f>
        <v/>
      </c>
      <c r="L38" s="392" t="n">
        <v>0.33</v>
      </c>
      <c r="M38" s="311">
        <f>(K38/(1-L38))*(1+$D$9)</f>
        <v/>
      </c>
      <c r="N38" s="378">
        <f>(M38*VLOOKUP($C$9,'Base Costs'!$A$32:$B$37,2,FALSE))</f>
        <v/>
      </c>
      <c r="O38" s="379">
        <f>M38-K38</f>
        <v/>
      </c>
      <c r="U38" s="229" t="n"/>
    </row>
    <row r="39" ht="15" customHeight="1" s="1085">
      <c r="A39" s="215" t="n">
        <v>257</v>
      </c>
      <c r="C39" s="269" t="inlineStr">
        <is>
          <t>PLANT HIRE</t>
        </is>
      </c>
      <c r="D39" s="242" t="n"/>
      <c r="E39" s="309" t="inlineStr">
        <is>
          <t>PLANT SELECTION (weekly)</t>
        </is>
      </c>
      <c r="F39" s="28" t="n"/>
      <c r="G39" s="28" t="n"/>
      <c r="H39" s="28" t="n"/>
      <c r="I39" s="28" t="n"/>
      <c r="J39" s="385">
        <f>VLOOKUP(E39,'Base Costs'!$A$4:$B$16,2,FALSE)</f>
        <v/>
      </c>
      <c r="K39" s="378">
        <f>D39*J39</f>
        <v/>
      </c>
      <c r="L39" s="392" t="n">
        <v>0.33</v>
      </c>
      <c r="M39" s="311">
        <f>(K39/(1-L39))*(1+$D$9)</f>
        <v/>
      </c>
      <c r="N39" s="378">
        <f>(M39*VLOOKUP($C$9,'Base Costs'!$A$32:$B$37,2,FALSE))</f>
        <v/>
      </c>
      <c r="O39" s="379">
        <f>M39-K39</f>
        <v/>
      </c>
      <c r="U39" s="229" t="n"/>
    </row>
    <row r="40" ht="15" customHeight="1" s="1085">
      <c r="A40" s="215" t="n">
        <v>257</v>
      </c>
      <c r="C40" s="269" t="inlineStr">
        <is>
          <t>PLANT HIRE</t>
        </is>
      </c>
      <c r="D40" s="242" t="n"/>
      <c r="E40" s="309" t="inlineStr">
        <is>
          <t>PLANT SELECTION (weekly)</t>
        </is>
      </c>
      <c r="F40" s="28" t="n"/>
      <c r="G40" s="28" t="n"/>
      <c r="H40" s="28" t="n"/>
      <c r="I40" s="28" t="n"/>
      <c r="J40" s="385">
        <f>VLOOKUP(E40,'Base Costs'!$A$4:$B$16,2,FALSE)</f>
        <v/>
      </c>
      <c r="K40" s="378">
        <f>D40*J40</f>
        <v/>
      </c>
      <c r="L40" s="392" t="n">
        <v>0.33</v>
      </c>
      <c r="M40" s="311">
        <f>(K40/(1-L40))*(1+$D$9)</f>
        <v/>
      </c>
      <c r="N40" s="378">
        <f>(M40*VLOOKUP($C$9,'Base Costs'!$A$32:$B$37,2,FALSE))</f>
        <v/>
      </c>
      <c r="O40" s="379">
        <f>M40-K40</f>
        <v/>
      </c>
      <c r="U40" s="229" t="n"/>
    </row>
    <row r="41" ht="15" customHeight="1" s="1085">
      <c r="A41" s="215" t="n">
        <v>400</v>
      </c>
      <c r="C41" s="269" t="inlineStr">
        <is>
          <t>STRIP OUT</t>
        </is>
      </c>
      <c r="D41" s="242" t="n"/>
      <c r="E41" s="28" t="inlineStr">
        <is>
          <t>PER DAY</t>
        </is>
      </c>
      <c r="F41" s="28" t="n"/>
      <c r="G41" s="28" t="n"/>
      <c r="H41" s="28" t="n"/>
      <c r="I41" s="28" t="n"/>
      <c r="J41" s="385" t="n">
        <v>450</v>
      </c>
      <c r="K41" s="378">
        <f>D41*J41</f>
        <v/>
      </c>
      <c r="L41" s="392" t="n">
        <v>0.33</v>
      </c>
      <c r="M41" s="311">
        <f>(K41/(1-L41))*(1+$D$9)</f>
        <v/>
      </c>
      <c r="N41" s="378">
        <f>(M41*VLOOKUP($C$9,'Base Costs'!$A$32:$B$37,2,FALSE))</f>
        <v/>
      </c>
      <c r="O41" s="379">
        <f>M41-K41</f>
        <v/>
      </c>
      <c r="U41" s="229" t="n"/>
    </row>
    <row r="42" ht="15" customHeight="1" s="1085">
      <c r="A42" s="215" t="n">
        <v>102</v>
      </c>
      <c r="C42" s="269" t="inlineStr">
        <is>
          <t xml:space="preserve">CONSUMABLES </t>
        </is>
      </c>
      <c r="D42" s="242" t="n">
        <v>1</v>
      </c>
      <c r="E42" s="28" t="inlineStr">
        <is>
          <t>ON SITE FIXINGS</t>
        </is>
      </c>
      <c r="F42" s="28" t="n"/>
      <c r="G42" s="28" t="n"/>
      <c r="H42" s="28" t="n"/>
      <c r="I42" s="28" t="n"/>
      <c r="J42" s="385" t="n">
        <v>15</v>
      </c>
      <c r="K42" s="378">
        <f>D42*J42</f>
        <v/>
      </c>
      <c r="L42" s="392" t="n">
        <v>0.33</v>
      </c>
      <c r="M42" s="311">
        <f>(K42/(1-L42))*(1+$D$9)</f>
        <v/>
      </c>
      <c r="N42" s="378">
        <f>(M42*VLOOKUP($C$9,'Base Costs'!$A$32:$B$37,2,FALSE))</f>
        <v/>
      </c>
      <c r="O42" s="379">
        <f>M42-K42</f>
        <v/>
      </c>
      <c r="U42" s="229" t="n"/>
    </row>
    <row r="43" ht="15" customHeight="1" s="1085">
      <c r="A43" s="215" t="n">
        <v>400</v>
      </c>
      <c r="C43" s="269" t="inlineStr">
        <is>
          <t>INSTALLATION NORMAL HOURS</t>
        </is>
      </c>
      <c r="D43" s="242" t="n">
        <v>1</v>
      </c>
      <c r="E43" s="28" t="inlineStr">
        <is>
          <t>PER BOX</t>
        </is>
      </c>
      <c r="F43" s="28" t="n"/>
      <c r="G43" s="28" t="n"/>
      <c r="H43" s="28" t="n"/>
      <c r="I43" s="28" t="n"/>
      <c r="J43" s="385" t="n">
        <v>152.5</v>
      </c>
      <c r="K43" s="378">
        <f>D43*J43</f>
        <v/>
      </c>
      <c r="L43" s="392" t="n">
        <v>0.4</v>
      </c>
      <c r="M43" s="311">
        <f>(K43/(1-L43))*(1+$D$9)</f>
        <v/>
      </c>
      <c r="N43" s="378">
        <f>(M43*VLOOKUP($C$9,'Base Costs'!$A$32:$B$37,2,FALSE))</f>
        <v/>
      </c>
      <c r="O43" s="379">
        <f>M43-K43</f>
        <v/>
      </c>
      <c r="U43" s="229" t="n"/>
    </row>
    <row r="44" ht="15" customHeight="1" s="1085">
      <c r="A44" s="215" t="n">
        <v>400</v>
      </c>
      <c r="C44" s="269" t="inlineStr">
        <is>
          <t>INSTALLATION AFTER HOURS</t>
        </is>
      </c>
      <c r="D44" s="242" t="n"/>
      <c r="E44" s="28" t="inlineStr">
        <is>
          <t>PER BOX</t>
        </is>
      </c>
      <c r="F44" s="28" t="n"/>
      <c r="G44" s="28" t="n"/>
      <c r="H44" s="28" t="n"/>
      <c r="I44" s="28" t="n"/>
      <c r="J44" s="385" t="n">
        <v>861</v>
      </c>
      <c r="K44" s="378">
        <f>D44*J44</f>
        <v/>
      </c>
      <c r="L44" s="392" t="n">
        <v>0.4</v>
      </c>
      <c r="M44" s="311">
        <f>(K44/(1-L44))*(1+$D$9)</f>
        <v/>
      </c>
      <c r="N44" s="378">
        <f>(M44*VLOOKUP($C$9,'Base Costs'!$A$32:$B$37,2,FALSE))</f>
        <v/>
      </c>
      <c r="O44" s="379">
        <f>M44-K44</f>
        <v/>
      </c>
      <c r="U44" s="229" t="n"/>
    </row>
    <row r="45" ht="15" customHeight="1" s="1085">
      <c r="A45" s="215" t="n">
        <v>253</v>
      </c>
      <c r="C45" s="269" t="inlineStr">
        <is>
          <t>TRAVEL EXPENSES</t>
        </is>
      </c>
      <c r="D45" s="242" t="n"/>
      <c r="E45" s="28" t="inlineStr">
        <is>
          <t>PER NIGHT PER TEAM</t>
        </is>
      </c>
      <c r="F45" s="28" t="n"/>
      <c r="G45" s="28" t="n"/>
      <c r="H45" s="28" t="n"/>
      <c r="I45" s="28" t="n"/>
      <c r="J45" s="385" t="n"/>
      <c r="K45" s="378">
        <f>D45*J45</f>
        <v/>
      </c>
      <c r="L45" s="392" t="n">
        <v>0.33</v>
      </c>
      <c r="M45" s="311">
        <f>(K45/(1-L45))*(1+$D$9)</f>
        <v/>
      </c>
      <c r="N45" s="378">
        <f>(M45*VLOOKUP($C$9,'Base Costs'!$A$32:$B$37,2,FALSE))</f>
        <v/>
      </c>
      <c r="O45" s="379">
        <f>M45-K45</f>
        <v/>
      </c>
      <c r="U45" s="229" t="n"/>
    </row>
    <row r="46" ht="15" customHeight="1" s="1085">
      <c r="A46" s="215" t="n">
        <v>253</v>
      </c>
      <c r="C46" s="269" t="inlineStr">
        <is>
          <t>OVERNIGHT</t>
        </is>
      </c>
      <c r="D46" s="242" t="n"/>
      <c r="E46" s="28" t="inlineStr">
        <is>
          <t>PER NIGHT PER TEAM</t>
        </is>
      </c>
      <c r="F46" s="28" t="n"/>
      <c r="G46" s="28" t="n"/>
      <c r="H46" s="28" t="n"/>
      <c r="I46" s="28" t="n"/>
      <c r="J46" s="385" t="n">
        <v>170</v>
      </c>
      <c r="K46" s="378">
        <f>D46*J46</f>
        <v/>
      </c>
      <c r="L46" s="392" t="n">
        <v>0.33</v>
      </c>
      <c r="M46" s="311">
        <f>(K46/(1-L46))*(1+$D$9)</f>
        <v/>
      </c>
      <c r="N46" s="378">
        <f>(M46*VLOOKUP($C$9,'Base Costs'!$A$32:$B$37,2,FALSE))</f>
        <v/>
      </c>
      <c r="O46" s="379">
        <f>M46-K46</f>
        <v/>
      </c>
      <c r="U46" s="229" t="n"/>
    </row>
    <row r="47" ht="15" customHeight="1" s="1085">
      <c r="A47" s="215" t="n">
        <v>280</v>
      </c>
      <c r="C47" s="269" t="inlineStr">
        <is>
          <t>TEST &amp; COMMISSION</t>
        </is>
      </c>
      <c r="D47" s="242" t="n"/>
      <c r="E47" s="28" t="inlineStr">
        <is>
          <t>ONE ENGINEER</t>
        </is>
      </c>
      <c r="F47" s="28" t="n"/>
      <c r="G47" s="28" t="n"/>
      <c r="H47" s="28" t="n"/>
      <c r="I47" s="28" t="n"/>
      <c r="J47" s="385" t="n">
        <v>604</v>
      </c>
      <c r="K47" s="378">
        <f>D47*J47</f>
        <v/>
      </c>
      <c r="L47" s="392" t="n">
        <v>0.33</v>
      </c>
      <c r="M47" s="311">
        <f>(K47/(1-L47))*(1+$D$9)</f>
        <v/>
      </c>
      <c r="N47" s="378">
        <f>(M47*VLOOKUP($C$9,'Base Costs'!$A$32:$B$37,2,FALSE))</f>
        <v/>
      </c>
      <c r="O47" s="379">
        <f>M47-K47</f>
        <v/>
      </c>
      <c r="U47" s="229" t="n"/>
    </row>
    <row r="48" ht="15" customHeight="1" s="1085">
      <c r="A48" s="215" t="n">
        <v>284</v>
      </c>
      <c r="C48" s="269" t="n"/>
      <c r="D48" s="242" t="n"/>
      <c r="E48" s="28" t="inlineStr">
        <is>
          <t>OPTIONAL ITEM</t>
        </is>
      </c>
      <c r="F48" s="28" t="n"/>
      <c r="G48" s="28" t="n"/>
      <c r="H48" s="28" t="n"/>
      <c r="I48" s="28" t="n"/>
      <c r="J48" s="385" t="n">
        <v>200</v>
      </c>
      <c r="K48" s="378">
        <f>D48*J48</f>
        <v/>
      </c>
      <c r="L48" s="392" t="n">
        <v>0.33</v>
      </c>
      <c r="M48" s="311">
        <f>(K48/(1-L48))*(1+$D$9)</f>
        <v/>
      </c>
      <c r="N48" s="378">
        <f>(M48*VLOOKUP($C$9,'Base Costs'!$A$32:$B$37,2,FALSE))</f>
        <v/>
      </c>
      <c r="O48" s="379">
        <f>M48-K48</f>
        <v/>
      </c>
      <c r="U48" s="229" t="n"/>
    </row>
    <row r="49" ht="15" customHeight="1" s="1085">
      <c r="C49" s="239" t="n"/>
      <c r="D49" s="239" t="n"/>
      <c r="E49" s="239" t="n"/>
      <c r="F49" s="239" t="n"/>
      <c r="G49" s="239" t="n"/>
      <c r="H49" s="243" t="n"/>
      <c r="I49" s="244" t="n"/>
      <c r="J49" s="354" t="n"/>
      <c r="K49" s="353" t="n"/>
      <c r="L49" s="355" t="n"/>
      <c r="M49" s="353" t="n"/>
      <c r="N49" s="353" t="n"/>
      <c r="U49" s="229" t="n"/>
    </row>
    <row r="50" ht="15" customHeight="1" s="1085">
      <c r="C50" s="197" t="inlineStr">
        <is>
          <t>Office Use Only</t>
        </is>
      </c>
      <c r="D50" s="198" t="n"/>
      <c r="E50" s="199" t="n"/>
      <c r="F50" s="199" t="n"/>
      <c r="G50" s="198" t="n"/>
      <c r="H50" s="200" t="n"/>
      <c r="I50" s="198" t="n"/>
      <c r="J50" s="198" t="n"/>
      <c r="K50" s="198" t="n"/>
      <c r="L50" s="198" t="n"/>
      <c r="M50" s="198" t="n"/>
      <c r="N50" s="198" t="n"/>
      <c r="O50" s="198" t="n"/>
      <c r="U50" s="229" t="n"/>
    </row>
    <row r="51" ht="15" customHeight="1" s="1085">
      <c r="C51" s="202" t="n"/>
      <c r="D51" s="203" t="n"/>
      <c r="E51" s="202" t="n"/>
      <c r="F51" s="204" t="n"/>
      <c r="G51" s="202" t="n"/>
      <c r="H51" s="209" t="n"/>
      <c r="I51" s="203" t="n"/>
      <c r="J51" s="203" t="n"/>
      <c r="K51" s="205" t="n"/>
      <c r="L51" s="205" t="n"/>
      <c r="M51" s="205" t="n"/>
      <c r="N51" s="205" t="n"/>
      <c r="O51" s="205" t="n"/>
      <c r="U51" s="229" t="n"/>
    </row>
    <row r="52" ht="15" customHeight="1" s="1085">
      <c r="C52" s="202" t="n"/>
      <c r="D52" s="203" t="n"/>
      <c r="E52" s="202" t="n"/>
      <c r="F52" s="204" t="n"/>
      <c r="G52" s="202" t="n"/>
      <c r="H52" s="209" t="n"/>
      <c r="I52" s="203" t="n"/>
      <c r="J52" s="203" t="n"/>
      <c r="K52" s="205" t="n"/>
      <c r="L52" s="205" t="n"/>
      <c r="M52" s="205" t="n"/>
      <c r="N52" s="205" t="n"/>
      <c r="O52" s="205" t="n"/>
      <c r="U52" s="229" t="n"/>
    </row>
    <row r="53" ht="15" customHeight="1" s="1085">
      <c r="C53" s="202" t="n"/>
      <c r="D53" s="203" t="n"/>
      <c r="E53" s="202" t="n"/>
      <c r="F53" s="204" t="n"/>
      <c r="G53" s="202" t="n"/>
      <c r="H53" s="209" t="n"/>
      <c r="I53" s="203" t="n"/>
      <c r="J53" s="203" t="n"/>
      <c r="K53" s="209" t="n"/>
      <c r="L53" s="209" t="n"/>
      <c r="M53" s="209" t="n"/>
      <c r="N53" s="209" t="n"/>
      <c r="O53" s="209" t="n"/>
      <c r="U53" s="229" t="n"/>
    </row>
    <row r="54" ht="15" customHeight="1" s="1085">
      <c r="C54" s="202" t="n"/>
      <c r="D54" s="203" t="n"/>
      <c r="E54" s="202" t="n"/>
      <c r="F54" s="204" t="n"/>
      <c r="G54" s="202" t="n"/>
      <c r="H54" s="209" t="n"/>
      <c r="I54" s="206" t="n"/>
      <c r="J54" s="203" t="n"/>
      <c r="K54" s="209" t="n"/>
      <c r="L54" s="209" t="n"/>
      <c r="M54" s="209" t="n"/>
      <c r="N54" s="209" t="n"/>
      <c r="O54" s="209" t="n"/>
      <c r="U54" s="229" t="n"/>
    </row>
    <row r="55" ht="15" customHeight="1" s="1085">
      <c r="C55" s="202" t="n"/>
      <c r="D55" s="203" t="n"/>
      <c r="E55" s="202" t="n"/>
      <c r="F55" s="202" t="n"/>
      <c r="G55" s="202" t="n"/>
      <c r="H55" s="207" t="n"/>
      <c r="I55" s="209" t="n"/>
      <c r="J55" s="203" t="n"/>
      <c r="K55" s="205" t="n"/>
      <c r="L55" s="205" t="n"/>
      <c r="M55" s="205" t="n"/>
      <c r="N55" s="205" t="n"/>
      <c r="O55" s="205" t="n"/>
      <c r="U55" s="229" t="n"/>
    </row>
    <row r="56" ht="15" customHeight="1" s="1085">
      <c r="C56" s="202" t="n"/>
      <c r="D56" s="202" t="n"/>
      <c r="E56" s="202" t="n"/>
      <c r="F56" s="202" t="n"/>
      <c r="G56" s="202" t="n"/>
      <c r="H56" s="207" t="n"/>
      <c r="I56" s="209" t="n"/>
      <c r="J56" s="203" t="n"/>
      <c r="K56" s="205" t="n"/>
      <c r="L56" s="205" t="n"/>
      <c r="M56" s="205" t="n"/>
      <c r="N56" s="205" t="n"/>
      <c r="O56" s="205" t="n"/>
      <c r="U56" s="229" t="n"/>
    </row>
    <row r="57" ht="15" customHeight="1" s="1085">
      <c r="J57" s="228" t="n"/>
      <c r="M57" s="228" t="n"/>
      <c r="O57" s="228" t="n"/>
      <c r="U57" s="229" t="n"/>
    </row>
    <row r="58" ht="15" customHeight="1" s="1085">
      <c r="J58" s="228" t="n"/>
      <c r="M58" s="228" t="n"/>
      <c r="O58" s="228" t="n"/>
      <c r="U58" s="229" t="n"/>
    </row>
    <row r="59" ht="15" customHeight="1" s="1085">
      <c r="H59" s="219" t="n"/>
      <c r="U59" s="229" t="n"/>
    </row>
    <row r="60" ht="15" customHeight="1" s="1085">
      <c r="H60" s="219" t="n"/>
      <c r="U60" s="229" t="n"/>
    </row>
    <row r="61" ht="15" customHeight="1" s="1085">
      <c r="H61" s="219" t="n"/>
      <c r="U61" s="229" t="n"/>
    </row>
    <row r="62" ht="15" customHeight="1" s="1085">
      <c r="H62" s="219" t="n"/>
      <c r="U62" s="229" t="n"/>
    </row>
    <row r="63" ht="15" customHeight="1" s="1085">
      <c r="H63" s="219" t="n"/>
      <c r="U63" s="229" t="n"/>
    </row>
    <row r="64" ht="15" customHeight="1" s="1085">
      <c r="H64" s="219" t="n"/>
      <c r="U64" s="229" t="n"/>
    </row>
    <row r="65" ht="15" customHeight="1" s="1085">
      <c r="H65" s="219" t="n"/>
      <c r="U65" s="229" t="n"/>
    </row>
    <row r="66" ht="15" customHeight="1" s="1085">
      <c r="H66" s="219" t="n"/>
      <c r="U66" s="229" t="n"/>
    </row>
    <row r="67" ht="15" customHeight="1" s="1085">
      <c r="H67" s="219" t="n"/>
      <c r="U67" s="229" t="n"/>
    </row>
    <row r="68" ht="15" customHeight="1" s="1085">
      <c r="C68" s="245" t="n"/>
      <c r="D68" s="245" t="n"/>
      <c r="E68" s="245" t="n"/>
      <c r="F68" s="245" t="n"/>
      <c r="G68" s="245" t="n"/>
      <c r="H68" s="245" t="n"/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3" ht="15" customHeight="1" s="1085">
      <c r="U103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2" ht="15" customHeight="1" s="1085">
      <c r="U112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1" ht="15" customHeight="1" s="1085">
      <c r="U121" s="229" t="n"/>
    </row>
    <row r="122" ht="15" customHeight="1" s="1085">
      <c r="U122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  <row r="142" ht="15" customHeight="1" s="1085">
      <c r="U142" s="229" t="n"/>
    </row>
    <row r="143" ht="15" customHeight="1" s="1085">
      <c r="U143" s="229" t="n"/>
    </row>
    <row r="144" ht="15" customHeight="1" s="1085">
      <c r="U144" s="229" t="n"/>
    </row>
    <row r="145" ht="15" customHeight="1" s="1085">
      <c r="U145" s="229" t="n"/>
    </row>
    <row r="146" ht="15" customHeight="1" s="1085">
      <c r="U146" s="229" t="n"/>
    </row>
    <row r="147" ht="15" customHeight="1" s="1085">
      <c r="U147" s="229" t="n"/>
    </row>
    <row r="148" ht="15" customHeight="1" s="1085">
      <c r="U148" s="229" t="n"/>
    </row>
    <row r="149" ht="15" customHeight="1" s="1085">
      <c r="U149" s="229" t="n"/>
    </row>
    <row r="150" ht="15" customHeight="1" s="1085">
      <c r="U150" s="229" t="n"/>
    </row>
    <row r="151" ht="15" customHeight="1" s="1085">
      <c r="U151" s="229" t="n"/>
    </row>
    <row r="152" ht="15" customHeight="1" s="1085">
      <c r="U152" s="229" t="n"/>
    </row>
    <row r="153" ht="15" customHeight="1" s="1085">
      <c r="U153" s="229" t="n"/>
    </row>
    <row r="154" ht="15" customHeight="1" s="1085">
      <c r="U154" s="229" t="n"/>
    </row>
    <row r="155" ht="15" customHeight="1" s="1085">
      <c r="U155" s="229" t="n"/>
    </row>
    <row r="156" ht="15" customHeight="1" s="1085">
      <c r="U156" s="229" t="n"/>
    </row>
    <row r="157" ht="15" customHeight="1" s="1085">
      <c r="U157" s="229" t="n"/>
    </row>
    <row r="158" ht="15" customHeight="1" s="1085">
      <c r="U158" s="229" t="n"/>
    </row>
    <row r="159" ht="15" customHeight="1" s="1085">
      <c r="U159" s="229" t="n"/>
    </row>
    <row r="160" ht="15" customHeight="1" s="1085">
      <c r="U160" s="229" t="n"/>
    </row>
    <row r="161" ht="15" customHeight="1" s="1085">
      <c r="U161" s="229" t="n"/>
    </row>
  </sheetData>
  <mergeCells count="9">
    <mergeCell ref="P7:R7"/>
    <mergeCell ref="D7:E7"/>
    <mergeCell ref="C1:D1"/>
    <mergeCell ref="H5:J5"/>
    <mergeCell ref="C37:H37"/>
    <mergeCell ref="D5:E5"/>
    <mergeCell ref="H3:J3"/>
    <mergeCell ref="D3:E3"/>
    <mergeCell ref="H7:J7"/>
  </mergeCells>
  <conditionalFormatting sqref="C9">
    <cfRule type="expression" priority="79" dxfId="680">
      <formula>C9="CURRENCY"</formula>
    </cfRule>
    <cfRule type="containsText" priority="78" operator="containsText" dxfId="680" text="SELECT">
      <formula>NOT(ISERROR(SEARCH("SELECT",C9)))</formula>
    </cfRule>
  </conditionalFormatting>
  <conditionalFormatting sqref="C14:C34">
    <cfRule type="expression" priority="1" dxfId="633">
      <formula>$J14&gt;0</formula>
    </cfRule>
  </conditionalFormatting>
  <conditionalFormatting sqref="C38:C48">
    <cfRule type="expression" priority="20" dxfId="633">
      <formula>$D38&gt;0</formula>
    </cfRule>
  </conditionalFormatting>
  <conditionalFormatting sqref="D38:D39 D41:D48">
    <cfRule type="cellIs" priority="81" operator="lessThan" dxfId="554">
      <formula>1</formula>
    </cfRule>
  </conditionalFormatting>
  <conditionalFormatting sqref="D40">
    <cfRule type="cellIs" priority="68" operator="lessThan" dxfId="164">
      <formula>1</formula>
    </cfRule>
  </conditionalFormatting>
  <conditionalFormatting sqref="D9:E9">
    <cfRule type="cellIs" priority="75" operator="greaterThan" dxfId="552">
      <formula>0</formula>
    </cfRule>
    <cfRule type="cellIs" priority="74" operator="lessThan" dxfId="207">
      <formula>0</formula>
    </cfRule>
  </conditionalFormatting>
  <conditionalFormatting sqref="F12">
    <cfRule type="cellIs" priority="92" operator="greaterThan" dxfId="204">
      <formula>2000</formula>
    </cfRule>
    <cfRule type="expression" priority="91" dxfId="387">
      <formula>ISNUMBER(SEARCH("I-MUAP",$E$14))</formula>
    </cfRule>
    <cfRule type="expression" priority="90" dxfId="386">
      <formula>AND((ISNUMBER(SEARCH("I-MUAP",$E$14))),F12&lt;2500)</formula>
    </cfRule>
  </conditionalFormatting>
  <conditionalFormatting sqref="F12:G12">
    <cfRule type="cellIs" priority="85" operator="lessThan" dxfId="204">
      <formula>1000</formula>
    </cfRule>
  </conditionalFormatting>
  <conditionalFormatting sqref="F14:G28">
    <cfRule type="cellIs" priority="12" operator="lessThan" dxfId="164">
      <formula>1000</formula>
    </cfRule>
  </conditionalFormatting>
  <conditionalFormatting sqref="F31:G32">
    <cfRule type="cellIs" priority="5" operator="lessThan" dxfId="164">
      <formula>1000</formula>
    </cfRule>
  </conditionalFormatting>
  <conditionalFormatting sqref="G12">
    <cfRule type="cellIs" priority="86" operator="greaterThan" dxfId="204">
      <formula>3001</formula>
    </cfRule>
  </conditionalFormatting>
  <conditionalFormatting sqref="H11">
    <cfRule type="expression" priority="88" dxfId="176">
      <formula>((G14-50)/I14)&lt;950</formula>
    </cfRule>
  </conditionalFormatting>
  <conditionalFormatting sqref="H12">
    <cfRule type="expression" priority="87" dxfId="175">
      <formula>((G14-50)/I14)&lt;950</formula>
    </cfRule>
  </conditionalFormatting>
  <conditionalFormatting sqref="H14:H28">
    <cfRule type="cellIs" priority="14" operator="lessThan" dxfId="164">
      <formula>400</formula>
    </cfRule>
  </conditionalFormatting>
  <conditionalFormatting sqref="H31:H32">
    <cfRule type="cellIs" priority="7" operator="lessThan" dxfId="164">
      <formula>400</formula>
    </cfRule>
  </conditionalFormatting>
  <conditionalFormatting sqref="H35">
    <cfRule type="expression" priority="99" dxfId="176">
      <formula>((#REF!-50)/#REF!)&lt;950</formula>
    </cfRule>
  </conditionalFormatting>
  <conditionalFormatting sqref="J14:J32">
    <cfRule type="cellIs" priority="27" operator="greaterThan" dxfId="153">
      <formula>0</formula>
    </cfRule>
  </conditionalFormatting>
  <conditionalFormatting sqref="J38:J48">
    <cfRule type="expression" priority="60" dxfId="153">
      <formula>D38&gt;0</formula>
    </cfRule>
  </conditionalFormatting>
  <conditionalFormatting sqref="J50:J56">
    <cfRule type="expression" priority="65" dxfId="2">
      <formula>#REF!="EURO"</formula>
    </cfRule>
  </conditionalFormatting>
  <conditionalFormatting sqref="K14:K34">
    <cfRule type="cellIs" priority="10" operator="greaterThan" dxfId="141">
      <formula>0</formula>
    </cfRule>
  </conditionalFormatting>
  <conditionalFormatting sqref="K38:K48">
    <cfRule type="cellIs" priority="67" operator="greaterThan" dxfId="141">
      <formula>0</formula>
    </cfRule>
  </conditionalFormatting>
  <conditionalFormatting sqref="K50:K56">
    <cfRule type="expression" priority="61" dxfId="4">
      <formula>$C$9="PLN"</formula>
    </cfRule>
    <cfRule type="expression" priority="62" dxfId="0">
      <formula>$C$9="CZK"</formula>
    </cfRule>
    <cfRule type="expression" priority="63" dxfId="3">
      <formula>$C$9="USD"</formula>
    </cfRule>
    <cfRule type="expression" priority="64" dxfId="2">
      <formula>$C$9="EURO"</formula>
    </cfRule>
  </conditionalFormatting>
  <conditionalFormatting sqref="L14:L34">
    <cfRule type="expression" priority="26" dxfId="115">
      <formula>$D$9&gt;0</formula>
    </cfRule>
    <cfRule type="expression" priority="25" dxfId="116">
      <formula>$D$9&lt;0</formula>
    </cfRule>
  </conditionalFormatting>
  <conditionalFormatting sqref="L38:L48">
    <cfRule type="expression" priority="24" dxfId="115">
      <formula>$D$9&gt;0</formula>
    </cfRule>
    <cfRule type="expression" priority="23" dxfId="116">
      <formula>$D$9&lt;0</formula>
    </cfRule>
  </conditionalFormatting>
  <conditionalFormatting sqref="N9 N12">
    <cfRule type="expression" priority="93" dxfId="4">
      <formula>$C$9="PLN"</formula>
    </cfRule>
    <cfRule type="expression" priority="94" dxfId="0">
      <formula>$C$9="CZK"</formula>
    </cfRule>
    <cfRule type="expression" priority="95" dxfId="3">
      <formula>$C$9="USD"</formula>
    </cfRule>
    <cfRule type="expression" priority="96" dxfId="2">
      <formula>$C$9="EURO"</formula>
    </cfRule>
  </conditionalFormatting>
  <conditionalFormatting sqref="N14:N34">
    <cfRule type="expression" priority="32" dxfId="0">
      <formula>$C$9="CZK"</formula>
    </cfRule>
    <cfRule type="expression" priority="31" dxfId="4">
      <formula>$C$9="PLN"</formula>
    </cfRule>
    <cfRule type="expression" priority="34" dxfId="2">
      <formula>$C$9="EURO"</formula>
    </cfRule>
    <cfRule type="expression" priority="33" dxfId="3">
      <formula>$C$9="USD"</formula>
    </cfRule>
  </conditionalFormatting>
  <conditionalFormatting sqref="N18:N22">
    <cfRule type="cellIs" priority="42" operator="greaterThan" dxfId="5">
      <formula>0</formula>
    </cfRule>
  </conditionalFormatting>
  <conditionalFormatting sqref="N37:N48">
    <cfRule type="expression" priority="19" dxfId="2">
      <formula>$C$9="EURO"</formula>
    </cfRule>
    <cfRule type="expression" priority="18" dxfId="3">
      <formula>$C$9="USD"</formula>
    </cfRule>
    <cfRule type="expression" priority="17" dxfId="0">
      <formula>$C$9="CZK"</formula>
    </cfRule>
    <cfRule type="expression" priority="16" dxfId="4">
      <formula>$C$9="PLN"</formula>
    </cfRule>
  </conditionalFormatting>
  <conditionalFormatting sqref="N14:O34">
    <cfRule type="cellIs" priority="30" operator="greaterThan" dxfId="5">
      <formula>0</formula>
    </cfRule>
  </conditionalFormatting>
  <conditionalFormatting sqref="N38:O48">
    <cfRule type="cellIs" priority="15" operator="greaterThan" dxfId="141">
      <formula>0</formula>
    </cfRule>
  </conditionalFormatting>
  <conditionalFormatting sqref="O14:O22">
    <cfRule type="cellIs" priority="47" operator="greaterThan" dxfId="5">
      <formula>0</formula>
    </cfRule>
  </conditionalFormatting>
  <dataValidations count="3">
    <dataValidation sqref="H36" showDropDown="0" showInputMessage="1" showErrorMessage="1" allowBlank="1" type="list">
      <formula1>#REF!</formula1>
    </dataValidation>
    <dataValidation sqref="F14:F28 F31:F32" showDropDown="0" showInputMessage="1" showErrorMessage="1" allowBlank="1" operator="greaterThan"/>
    <dataValidation sqref="E14:E34" showDropDown="0" showInputMessage="1" showErrorMessage="1" allowBlank="1" type="list">
      <formula1>"0,1,2,3,4,5,6,7,8,9,10,11,12,13,14,15,16,17,18,19,20"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61"/>
  <drawing xmlns:r="http://schemas.openxmlformats.org/officeDocument/2006/relationships" r:id="rId1"/>
</worksheet>
</file>

<file path=xl/worksheets/sheet49.xml><?xml version="1.0" encoding="utf-8"?>
<worksheet xmlns="http://schemas.openxmlformats.org/spreadsheetml/2006/main">
  <sheetPr codeName="Sheet23">
    <tabColor theme="8" tint="0.7999816888943144"/>
    <outlinePr summaryBelow="1" summaryRight="1"/>
    <pageSetUpPr fitToPage="1"/>
  </sheetPr>
  <dimension ref="B1:AI203"/>
  <sheetViews>
    <sheetView zoomScale="80" zoomScaleNormal="80" workbookViewId="0">
      <selection activeCell="C4" sqref="C4"/>
    </sheetView>
  </sheetViews>
  <sheetFormatPr baseColWidth="10" defaultColWidth="8.83203125" defaultRowHeight="15" customHeight="1"/>
  <cols>
    <col width="1.6640625" customWidth="1" style="55" min="1" max="1"/>
    <col width="29.83203125" customWidth="1" style="55" min="2" max="2"/>
    <col width="23.33203125" customWidth="1" style="55" min="3" max="3"/>
    <col width="26.6640625" customWidth="1" style="56" min="4" max="4"/>
    <col width="11.5" customWidth="1" style="55" min="5" max="5"/>
    <col width="25.83203125" customWidth="1" style="55" min="6" max="6"/>
    <col width="12.5" customWidth="1" style="362" min="7" max="7"/>
    <col width="15.5" customWidth="1" style="362" min="8" max="8"/>
    <col width="9.5" customWidth="1" style="56" min="9" max="9"/>
    <col hidden="1" width="9.6640625" customWidth="1" style="362" min="10" max="10"/>
    <col width="17" customWidth="1" style="362" min="11" max="11"/>
    <col width="13.1640625" bestFit="1" customWidth="1" style="362" min="12" max="12"/>
    <col width="15.33203125" customWidth="1" style="55" min="13" max="13"/>
    <col width="2.33203125" customWidth="1" style="55" min="14" max="14"/>
    <col width="12.5" customWidth="1" style="55" min="15" max="15"/>
    <col width="9.1640625" customWidth="1" style="55" min="16" max="236"/>
    <col width="25.6640625" customWidth="1" style="55" min="237" max="237"/>
    <col width="9" customWidth="1" style="55" min="238" max="238"/>
    <col width="22" customWidth="1" style="55" min="239" max="239"/>
    <col width="4.5" customWidth="1" style="55" min="240" max="240"/>
    <col width="13.33203125" customWidth="1" style="55" min="241" max="241"/>
    <col width="14.1640625" customWidth="1" style="55" min="242" max="242"/>
    <col width="9.33203125" customWidth="1" style="55" min="243" max="243"/>
    <col width="11.1640625" customWidth="1" style="55" min="244" max="244"/>
    <col width="9.1640625" customWidth="1" style="55" min="245" max="245"/>
    <col width="10.33203125" customWidth="1" style="55" min="246" max="246"/>
    <col width="7.6640625" customWidth="1" style="55" min="247" max="247"/>
    <col width="12.6640625" customWidth="1" style="55" min="248" max="248"/>
    <col width="10.6640625" customWidth="1" style="55" min="249" max="249"/>
    <col width="12.83203125" customWidth="1" style="55" min="250" max="250"/>
    <col width="10.83203125" customWidth="1" style="55" min="251" max="251"/>
    <col width="12.5" customWidth="1" style="55" min="252" max="252"/>
    <col width="10.5" customWidth="1" style="55" min="253" max="253"/>
    <col width="13.1640625" customWidth="1" style="55" min="254" max="254"/>
    <col width="9.83203125" customWidth="1" style="55" min="255" max="255"/>
    <col width="13.6640625" customWidth="1" style="55" min="256" max="256"/>
    <col width="9.5" customWidth="1" style="55" min="257" max="257"/>
    <col width="12.5" customWidth="1" style="55" min="258" max="258"/>
    <col width="10" customWidth="1" style="55" min="259" max="259"/>
    <col width="13" customWidth="1" style="55" min="260" max="260"/>
    <col width="11" customWidth="1" style="55" min="261" max="261"/>
    <col width="13.83203125" customWidth="1" style="55" min="262" max="262"/>
    <col width="11.33203125" customWidth="1" style="55" min="263" max="263"/>
    <col width="13" customWidth="1" style="55" min="264" max="264"/>
    <col width="9" customWidth="1" style="55" min="265" max="265"/>
    <col width="3.83203125" customWidth="1" style="55" min="266" max="266"/>
    <col width="18.5" customWidth="1" style="55" min="267" max="267"/>
    <col width="10" customWidth="1" style="55" min="268" max="268"/>
    <col width="9.1640625" customWidth="1" style="55" min="269" max="492"/>
    <col width="25.6640625" customWidth="1" style="55" min="493" max="493"/>
    <col width="9" customWidth="1" style="55" min="494" max="494"/>
    <col width="22" customWidth="1" style="55" min="495" max="495"/>
    <col width="4.5" customWidth="1" style="55" min="496" max="496"/>
    <col width="13.33203125" customWidth="1" style="55" min="497" max="497"/>
    <col width="14.1640625" customWidth="1" style="55" min="498" max="498"/>
    <col width="9.33203125" customWidth="1" style="55" min="499" max="499"/>
    <col width="11.1640625" customWidth="1" style="55" min="500" max="500"/>
    <col width="9.1640625" customWidth="1" style="55" min="501" max="501"/>
    <col width="10.33203125" customWidth="1" style="55" min="502" max="502"/>
    <col width="7.6640625" customWidth="1" style="55" min="503" max="503"/>
    <col width="12.6640625" customWidth="1" style="55" min="504" max="504"/>
    <col width="10.6640625" customWidth="1" style="55" min="505" max="505"/>
    <col width="12.83203125" customWidth="1" style="55" min="506" max="506"/>
    <col width="10.83203125" customWidth="1" style="55" min="507" max="507"/>
    <col width="12.5" customWidth="1" style="55" min="508" max="508"/>
    <col width="10.5" customWidth="1" style="55" min="509" max="509"/>
    <col width="13.1640625" customWidth="1" style="55" min="510" max="510"/>
    <col width="9.83203125" customWidth="1" style="55" min="511" max="511"/>
    <col width="13.6640625" customWidth="1" style="55" min="512" max="512"/>
    <col width="9.5" customWidth="1" style="55" min="513" max="513"/>
    <col width="12.5" customWidth="1" style="55" min="514" max="514"/>
    <col width="10" customWidth="1" style="55" min="515" max="515"/>
    <col width="13" customWidth="1" style="55" min="516" max="516"/>
    <col width="11" customWidth="1" style="55" min="517" max="517"/>
    <col width="13.83203125" customWidth="1" style="55" min="518" max="518"/>
    <col width="11.33203125" customWidth="1" style="55" min="519" max="519"/>
    <col width="13" customWidth="1" style="55" min="520" max="520"/>
    <col width="9" customWidth="1" style="55" min="521" max="521"/>
    <col width="3.83203125" customWidth="1" style="55" min="522" max="522"/>
    <col width="18.5" customWidth="1" style="55" min="523" max="523"/>
    <col width="10" customWidth="1" style="55" min="524" max="524"/>
    <col width="9.1640625" customWidth="1" style="55" min="525" max="748"/>
    <col width="25.6640625" customWidth="1" style="55" min="749" max="749"/>
    <col width="9" customWidth="1" style="55" min="750" max="750"/>
    <col width="22" customWidth="1" style="55" min="751" max="751"/>
    <col width="4.5" customWidth="1" style="55" min="752" max="752"/>
    <col width="13.33203125" customWidth="1" style="55" min="753" max="753"/>
    <col width="14.1640625" customWidth="1" style="55" min="754" max="754"/>
    <col width="9.33203125" customWidth="1" style="55" min="755" max="755"/>
    <col width="11.1640625" customWidth="1" style="55" min="756" max="756"/>
    <col width="9.1640625" customWidth="1" style="55" min="757" max="757"/>
    <col width="10.33203125" customWidth="1" style="55" min="758" max="758"/>
    <col width="7.6640625" customWidth="1" style="55" min="759" max="759"/>
    <col width="12.6640625" customWidth="1" style="55" min="760" max="760"/>
    <col width="10.6640625" customWidth="1" style="55" min="761" max="761"/>
    <col width="12.83203125" customWidth="1" style="55" min="762" max="762"/>
    <col width="10.83203125" customWidth="1" style="55" min="763" max="763"/>
    <col width="12.5" customWidth="1" style="55" min="764" max="764"/>
    <col width="10.5" customWidth="1" style="55" min="765" max="765"/>
    <col width="13.1640625" customWidth="1" style="55" min="766" max="766"/>
    <col width="9.83203125" customWidth="1" style="55" min="767" max="767"/>
    <col width="13.6640625" customWidth="1" style="55" min="768" max="768"/>
    <col width="9.5" customWidth="1" style="55" min="769" max="769"/>
    <col width="12.5" customWidth="1" style="55" min="770" max="770"/>
    <col width="10" customWidth="1" style="55" min="771" max="771"/>
    <col width="13" customWidth="1" style="55" min="772" max="772"/>
    <col width="11" customWidth="1" style="55" min="773" max="773"/>
    <col width="13.83203125" customWidth="1" style="55" min="774" max="774"/>
    <col width="11.33203125" customWidth="1" style="55" min="775" max="775"/>
    <col width="13" customWidth="1" style="55" min="776" max="776"/>
    <col width="9" customWidth="1" style="55" min="777" max="777"/>
    <col width="3.83203125" customWidth="1" style="55" min="778" max="778"/>
    <col width="18.5" customWidth="1" style="55" min="779" max="779"/>
    <col width="10" customWidth="1" style="55" min="780" max="780"/>
    <col width="9.1640625" customWidth="1" style="55" min="781" max="1004"/>
    <col width="25.6640625" customWidth="1" style="55" min="1005" max="1005"/>
    <col width="9" customWidth="1" style="55" min="1006" max="1006"/>
    <col width="22" customWidth="1" style="55" min="1007" max="1007"/>
    <col width="4.5" customWidth="1" style="55" min="1008" max="1008"/>
    <col width="13.33203125" customWidth="1" style="55" min="1009" max="1009"/>
    <col width="14.1640625" customWidth="1" style="55" min="1010" max="1010"/>
    <col width="9.33203125" customWidth="1" style="55" min="1011" max="1011"/>
    <col width="11.1640625" customWidth="1" style="55" min="1012" max="1012"/>
    <col width="9.1640625" customWidth="1" style="55" min="1013" max="1013"/>
    <col width="10.33203125" customWidth="1" style="55" min="1014" max="1014"/>
    <col width="7.6640625" customWidth="1" style="55" min="1015" max="1015"/>
    <col width="12.6640625" customWidth="1" style="55" min="1016" max="1016"/>
    <col width="10.6640625" customWidth="1" style="55" min="1017" max="1017"/>
    <col width="12.83203125" customWidth="1" style="55" min="1018" max="1018"/>
    <col width="10.83203125" customWidth="1" style="55" min="1019" max="1019"/>
    <col width="12.5" customWidth="1" style="55" min="1020" max="1020"/>
    <col width="10.5" customWidth="1" style="55" min="1021" max="1021"/>
    <col width="13.1640625" customWidth="1" style="55" min="1022" max="1022"/>
    <col width="9.83203125" customWidth="1" style="55" min="1023" max="1023"/>
    <col width="13.6640625" customWidth="1" style="55" min="1024" max="1024"/>
    <col width="9.5" customWidth="1" style="55" min="1025" max="1025"/>
    <col width="12.5" customWidth="1" style="55" min="1026" max="1026"/>
    <col width="10" customWidth="1" style="55" min="1027" max="1027"/>
    <col width="13" customWidth="1" style="55" min="1028" max="1028"/>
    <col width="11" customWidth="1" style="55" min="1029" max="1029"/>
    <col width="13.83203125" customWidth="1" style="55" min="1030" max="1030"/>
    <col width="11.33203125" customWidth="1" style="55" min="1031" max="1031"/>
    <col width="13" customWidth="1" style="55" min="1032" max="1032"/>
    <col width="9" customWidth="1" style="55" min="1033" max="1033"/>
    <col width="3.83203125" customWidth="1" style="55" min="1034" max="1034"/>
    <col width="18.5" customWidth="1" style="55" min="1035" max="1035"/>
    <col width="10" customWidth="1" style="55" min="1036" max="1036"/>
    <col width="9.1640625" customWidth="1" style="55" min="1037" max="1260"/>
    <col width="25.6640625" customWidth="1" style="55" min="1261" max="1261"/>
    <col width="9" customWidth="1" style="55" min="1262" max="1262"/>
    <col width="22" customWidth="1" style="55" min="1263" max="1263"/>
    <col width="4.5" customWidth="1" style="55" min="1264" max="1264"/>
    <col width="13.33203125" customWidth="1" style="55" min="1265" max="1265"/>
    <col width="14.1640625" customWidth="1" style="55" min="1266" max="1266"/>
    <col width="9.33203125" customWidth="1" style="55" min="1267" max="1267"/>
    <col width="11.1640625" customWidth="1" style="55" min="1268" max="1268"/>
    <col width="9.1640625" customWidth="1" style="55" min="1269" max="1269"/>
    <col width="10.33203125" customWidth="1" style="55" min="1270" max="1270"/>
    <col width="7.6640625" customWidth="1" style="55" min="1271" max="1271"/>
    <col width="12.6640625" customWidth="1" style="55" min="1272" max="1272"/>
    <col width="10.6640625" customWidth="1" style="55" min="1273" max="1273"/>
    <col width="12.83203125" customWidth="1" style="55" min="1274" max="1274"/>
    <col width="10.83203125" customWidth="1" style="55" min="1275" max="1275"/>
    <col width="12.5" customWidth="1" style="55" min="1276" max="1276"/>
    <col width="10.5" customWidth="1" style="55" min="1277" max="1277"/>
    <col width="13.1640625" customWidth="1" style="55" min="1278" max="1278"/>
    <col width="9.83203125" customWidth="1" style="55" min="1279" max="1279"/>
    <col width="13.6640625" customWidth="1" style="55" min="1280" max="1280"/>
    <col width="9.5" customWidth="1" style="55" min="1281" max="1281"/>
    <col width="12.5" customWidth="1" style="55" min="1282" max="1282"/>
    <col width="10" customWidth="1" style="55" min="1283" max="1283"/>
    <col width="13" customWidth="1" style="55" min="1284" max="1284"/>
    <col width="11" customWidth="1" style="55" min="1285" max="1285"/>
    <col width="13.83203125" customWidth="1" style="55" min="1286" max="1286"/>
    <col width="11.33203125" customWidth="1" style="55" min="1287" max="1287"/>
    <col width="13" customWidth="1" style="55" min="1288" max="1288"/>
    <col width="9" customWidth="1" style="55" min="1289" max="1289"/>
    <col width="3.83203125" customWidth="1" style="55" min="1290" max="1290"/>
    <col width="18.5" customWidth="1" style="55" min="1291" max="1291"/>
    <col width="10" customWidth="1" style="55" min="1292" max="1292"/>
    <col width="9.1640625" customWidth="1" style="55" min="1293" max="1516"/>
    <col width="25.6640625" customWidth="1" style="55" min="1517" max="1517"/>
    <col width="9" customWidth="1" style="55" min="1518" max="1518"/>
    <col width="22" customWidth="1" style="55" min="1519" max="1519"/>
    <col width="4.5" customWidth="1" style="55" min="1520" max="1520"/>
    <col width="13.33203125" customWidth="1" style="55" min="1521" max="1521"/>
    <col width="14.1640625" customWidth="1" style="55" min="1522" max="1522"/>
    <col width="9.33203125" customWidth="1" style="55" min="1523" max="1523"/>
    <col width="11.1640625" customWidth="1" style="55" min="1524" max="1524"/>
    <col width="9.1640625" customWidth="1" style="55" min="1525" max="1525"/>
    <col width="10.33203125" customWidth="1" style="55" min="1526" max="1526"/>
    <col width="7.6640625" customWidth="1" style="55" min="1527" max="1527"/>
    <col width="12.6640625" customWidth="1" style="55" min="1528" max="1528"/>
    <col width="10.6640625" customWidth="1" style="55" min="1529" max="1529"/>
    <col width="12.83203125" customWidth="1" style="55" min="1530" max="1530"/>
    <col width="10.83203125" customWidth="1" style="55" min="1531" max="1531"/>
    <col width="12.5" customWidth="1" style="55" min="1532" max="1532"/>
    <col width="10.5" customWidth="1" style="55" min="1533" max="1533"/>
    <col width="13.1640625" customWidth="1" style="55" min="1534" max="1534"/>
    <col width="9.83203125" customWidth="1" style="55" min="1535" max="1535"/>
    <col width="13.6640625" customWidth="1" style="55" min="1536" max="1536"/>
    <col width="9.5" customWidth="1" style="55" min="1537" max="1537"/>
    <col width="12.5" customWidth="1" style="55" min="1538" max="1538"/>
    <col width="10" customWidth="1" style="55" min="1539" max="1539"/>
    <col width="13" customWidth="1" style="55" min="1540" max="1540"/>
    <col width="11" customWidth="1" style="55" min="1541" max="1541"/>
    <col width="13.83203125" customWidth="1" style="55" min="1542" max="1542"/>
    <col width="11.33203125" customWidth="1" style="55" min="1543" max="1543"/>
    <col width="13" customWidth="1" style="55" min="1544" max="1544"/>
    <col width="9" customWidth="1" style="55" min="1545" max="1545"/>
    <col width="3.83203125" customWidth="1" style="55" min="1546" max="1546"/>
    <col width="18.5" customWidth="1" style="55" min="1547" max="1547"/>
    <col width="10" customWidth="1" style="55" min="1548" max="1548"/>
    <col width="9.1640625" customWidth="1" style="55" min="1549" max="1772"/>
    <col width="25.6640625" customWidth="1" style="55" min="1773" max="1773"/>
    <col width="9" customWidth="1" style="55" min="1774" max="1774"/>
    <col width="22" customWidth="1" style="55" min="1775" max="1775"/>
    <col width="4.5" customWidth="1" style="55" min="1776" max="1776"/>
    <col width="13.33203125" customWidth="1" style="55" min="1777" max="1777"/>
    <col width="14.1640625" customWidth="1" style="55" min="1778" max="1778"/>
    <col width="9.33203125" customWidth="1" style="55" min="1779" max="1779"/>
    <col width="11.1640625" customWidth="1" style="55" min="1780" max="1780"/>
    <col width="9.1640625" customWidth="1" style="55" min="1781" max="1781"/>
    <col width="10.33203125" customWidth="1" style="55" min="1782" max="1782"/>
    <col width="7.6640625" customWidth="1" style="55" min="1783" max="1783"/>
    <col width="12.6640625" customWidth="1" style="55" min="1784" max="1784"/>
    <col width="10.6640625" customWidth="1" style="55" min="1785" max="1785"/>
    <col width="12.83203125" customWidth="1" style="55" min="1786" max="1786"/>
    <col width="10.83203125" customWidth="1" style="55" min="1787" max="1787"/>
    <col width="12.5" customWidth="1" style="55" min="1788" max="1788"/>
    <col width="10.5" customWidth="1" style="55" min="1789" max="1789"/>
    <col width="13.1640625" customWidth="1" style="55" min="1790" max="1790"/>
    <col width="9.83203125" customWidth="1" style="55" min="1791" max="1791"/>
    <col width="13.6640625" customWidth="1" style="55" min="1792" max="1792"/>
    <col width="9.5" customWidth="1" style="55" min="1793" max="1793"/>
    <col width="12.5" customWidth="1" style="55" min="1794" max="1794"/>
    <col width="10" customWidth="1" style="55" min="1795" max="1795"/>
    <col width="13" customWidth="1" style="55" min="1796" max="1796"/>
    <col width="11" customWidth="1" style="55" min="1797" max="1797"/>
    <col width="13.83203125" customWidth="1" style="55" min="1798" max="1798"/>
    <col width="11.33203125" customWidth="1" style="55" min="1799" max="1799"/>
    <col width="13" customWidth="1" style="55" min="1800" max="1800"/>
    <col width="9" customWidth="1" style="55" min="1801" max="1801"/>
    <col width="3.83203125" customWidth="1" style="55" min="1802" max="1802"/>
    <col width="18.5" customWidth="1" style="55" min="1803" max="1803"/>
    <col width="10" customWidth="1" style="55" min="1804" max="1804"/>
    <col width="9.1640625" customWidth="1" style="55" min="1805" max="2028"/>
    <col width="25.6640625" customWidth="1" style="55" min="2029" max="2029"/>
    <col width="9" customWidth="1" style="55" min="2030" max="2030"/>
    <col width="22" customWidth="1" style="55" min="2031" max="2031"/>
    <col width="4.5" customWidth="1" style="55" min="2032" max="2032"/>
    <col width="13.33203125" customWidth="1" style="55" min="2033" max="2033"/>
    <col width="14.1640625" customWidth="1" style="55" min="2034" max="2034"/>
    <col width="9.33203125" customWidth="1" style="55" min="2035" max="2035"/>
    <col width="11.1640625" customWidth="1" style="55" min="2036" max="2036"/>
    <col width="9.1640625" customWidth="1" style="55" min="2037" max="2037"/>
    <col width="10.33203125" customWidth="1" style="55" min="2038" max="2038"/>
    <col width="7.6640625" customWidth="1" style="55" min="2039" max="2039"/>
    <col width="12.6640625" customWidth="1" style="55" min="2040" max="2040"/>
    <col width="10.6640625" customWidth="1" style="55" min="2041" max="2041"/>
    <col width="12.83203125" customWidth="1" style="55" min="2042" max="2042"/>
    <col width="10.83203125" customWidth="1" style="55" min="2043" max="2043"/>
    <col width="12.5" customWidth="1" style="55" min="2044" max="2044"/>
    <col width="10.5" customWidth="1" style="55" min="2045" max="2045"/>
    <col width="13.1640625" customWidth="1" style="55" min="2046" max="2046"/>
    <col width="9.83203125" customWidth="1" style="55" min="2047" max="2047"/>
    <col width="13.6640625" customWidth="1" style="55" min="2048" max="2048"/>
    <col width="9.5" customWidth="1" style="55" min="2049" max="2049"/>
    <col width="12.5" customWidth="1" style="55" min="2050" max="2050"/>
    <col width="10" customWidth="1" style="55" min="2051" max="2051"/>
    <col width="13" customWidth="1" style="55" min="2052" max="2052"/>
    <col width="11" customWidth="1" style="55" min="2053" max="2053"/>
    <col width="13.83203125" customWidth="1" style="55" min="2054" max="2054"/>
    <col width="11.33203125" customWidth="1" style="55" min="2055" max="2055"/>
    <col width="13" customWidth="1" style="55" min="2056" max="2056"/>
    <col width="9" customWidth="1" style="55" min="2057" max="2057"/>
    <col width="3.83203125" customWidth="1" style="55" min="2058" max="2058"/>
    <col width="18.5" customWidth="1" style="55" min="2059" max="2059"/>
    <col width="10" customWidth="1" style="55" min="2060" max="2060"/>
    <col width="9.1640625" customWidth="1" style="55" min="2061" max="2284"/>
    <col width="25.6640625" customWidth="1" style="55" min="2285" max="2285"/>
    <col width="9" customWidth="1" style="55" min="2286" max="2286"/>
    <col width="22" customWidth="1" style="55" min="2287" max="2287"/>
    <col width="4.5" customWidth="1" style="55" min="2288" max="2288"/>
    <col width="13.33203125" customWidth="1" style="55" min="2289" max="2289"/>
    <col width="14.1640625" customWidth="1" style="55" min="2290" max="2290"/>
    <col width="9.33203125" customWidth="1" style="55" min="2291" max="2291"/>
    <col width="11.1640625" customWidth="1" style="55" min="2292" max="2292"/>
    <col width="9.1640625" customWidth="1" style="55" min="2293" max="2293"/>
    <col width="10.33203125" customWidth="1" style="55" min="2294" max="2294"/>
    <col width="7.6640625" customWidth="1" style="55" min="2295" max="2295"/>
    <col width="12.6640625" customWidth="1" style="55" min="2296" max="2296"/>
    <col width="10.6640625" customWidth="1" style="55" min="2297" max="2297"/>
    <col width="12.83203125" customWidth="1" style="55" min="2298" max="2298"/>
    <col width="10.83203125" customWidth="1" style="55" min="2299" max="2299"/>
    <col width="12.5" customWidth="1" style="55" min="2300" max="2300"/>
    <col width="10.5" customWidth="1" style="55" min="2301" max="2301"/>
    <col width="13.1640625" customWidth="1" style="55" min="2302" max="2302"/>
    <col width="9.83203125" customWidth="1" style="55" min="2303" max="2303"/>
    <col width="13.6640625" customWidth="1" style="55" min="2304" max="2304"/>
    <col width="9.5" customWidth="1" style="55" min="2305" max="2305"/>
    <col width="12.5" customWidth="1" style="55" min="2306" max="2306"/>
    <col width="10" customWidth="1" style="55" min="2307" max="2307"/>
    <col width="13" customWidth="1" style="55" min="2308" max="2308"/>
    <col width="11" customWidth="1" style="55" min="2309" max="2309"/>
    <col width="13.83203125" customWidth="1" style="55" min="2310" max="2310"/>
    <col width="11.33203125" customWidth="1" style="55" min="2311" max="2311"/>
    <col width="13" customWidth="1" style="55" min="2312" max="2312"/>
    <col width="9" customWidth="1" style="55" min="2313" max="2313"/>
    <col width="3.83203125" customWidth="1" style="55" min="2314" max="2314"/>
    <col width="18.5" customWidth="1" style="55" min="2315" max="2315"/>
    <col width="10" customWidth="1" style="55" min="2316" max="2316"/>
    <col width="9.1640625" customWidth="1" style="55" min="2317" max="2540"/>
    <col width="25.6640625" customWidth="1" style="55" min="2541" max="2541"/>
    <col width="9" customWidth="1" style="55" min="2542" max="2542"/>
    <col width="22" customWidth="1" style="55" min="2543" max="2543"/>
    <col width="4.5" customWidth="1" style="55" min="2544" max="2544"/>
    <col width="13.33203125" customWidth="1" style="55" min="2545" max="2545"/>
    <col width="14.1640625" customWidth="1" style="55" min="2546" max="2546"/>
    <col width="9.33203125" customWidth="1" style="55" min="2547" max="2547"/>
    <col width="11.1640625" customWidth="1" style="55" min="2548" max="2548"/>
    <col width="9.1640625" customWidth="1" style="55" min="2549" max="2549"/>
    <col width="10.33203125" customWidth="1" style="55" min="2550" max="2550"/>
    <col width="7.6640625" customWidth="1" style="55" min="2551" max="2551"/>
    <col width="12.6640625" customWidth="1" style="55" min="2552" max="2552"/>
    <col width="10.6640625" customWidth="1" style="55" min="2553" max="2553"/>
    <col width="12.83203125" customWidth="1" style="55" min="2554" max="2554"/>
    <col width="10.83203125" customWidth="1" style="55" min="2555" max="2555"/>
    <col width="12.5" customWidth="1" style="55" min="2556" max="2556"/>
    <col width="10.5" customWidth="1" style="55" min="2557" max="2557"/>
    <col width="13.1640625" customWidth="1" style="55" min="2558" max="2558"/>
    <col width="9.83203125" customWidth="1" style="55" min="2559" max="2559"/>
    <col width="13.6640625" customWidth="1" style="55" min="2560" max="2560"/>
    <col width="9.5" customWidth="1" style="55" min="2561" max="2561"/>
    <col width="12.5" customWidth="1" style="55" min="2562" max="2562"/>
    <col width="10" customWidth="1" style="55" min="2563" max="2563"/>
    <col width="13" customWidth="1" style="55" min="2564" max="2564"/>
    <col width="11" customWidth="1" style="55" min="2565" max="2565"/>
    <col width="13.83203125" customWidth="1" style="55" min="2566" max="2566"/>
    <col width="11.33203125" customWidth="1" style="55" min="2567" max="2567"/>
    <col width="13" customWidth="1" style="55" min="2568" max="2568"/>
    <col width="9" customWidth="1" style="55" min="2569" max="2569"/>
    <col width="3.83203125" customWidth="1" style="55" min="2570" max="2570"/>
    <col width="18.5" customWidth="1" style="55" min="2571" max="2571"/>
    <col width="10" customWidth="1" style="55" min="2572" max="2572"/>
    <col width="9.1640625" customWidth="1" style="55" min="2573" max="2796"/>
    <col width="25.6640625" customWidth="1" style="55" min="2797" max="2797"/>
    <col width="9" customWidth="1" style="55" min="2798" max="2798"/>
    <col width="22" customWidth="1" style="55" min="2799" max="2799"/>
    <col width="4.5" customWidth="1" style="55" min="2800" max="2800"/>
    <col width="13.33203125" customWidth="1" style="55" min="2801" max="2801"/>
    <col width="14.1640625" customWidth="1" style="55" min="2802" max="2802"/>
    <col width="9.33203125" customWidth="1" style="55" min="2803" max="2803"/>
    <col width="11.1640625" customWidth="1" style="55" min="2804" max="2804"/>
    <col width="9.1640625" customWidth="1" style="55" min="2805" max="2805"/>
    <col width="10.33203125" customWidth="1" style="55" min="2806" max="2806"/>
    <col width="7.6640625" customWidth="1" style="55" min="2807" max="2807"/>
    <col width="12.6640625" customWidth="1" style="55" min="2808" max="2808"/>
    <col width="10.6640625" customWidth="1" style="55" min="2809" max="2809"/>
    <col width="12.83203125" customWidth="1" style="55" min="2810" max="2810"/>
    <col width="10.83203125" customWidth="1" style="55" min="2811" max="2811"/>
    <col width="12.5" customWidth="1" style="55" min="2812" max="2812"/>
    <col width="10.5" customWidth="1" style="55" min="2813" max="2813"/>
    <col width="13.1640625" customWidth="1" style="55" min="2814" max="2814"/>
    <col width="9.83203125" customWidth="1" style="55" min="2815" max="2815"/>
    <col width="13.6640625" customWidth="1" style="55" min="2816" max="2816"/>
    <col width="9.5" customWidth="1" style="55" min="2817" max="2817"/>
    <col width="12.5" customWidth="1" style="55" min="2818" max="2818"/>
    <col width="10" customWidth="1" style="55" min="2819" max="2819"/>
    <col width="13" customWidth="1" style="55" min="2820" max="2820"/>
    <col width="11" customWidth="1" style="55" min="2821" max="2821"/>
    <col width="13.83203125" customWidth="1" style="55" min="2822" max="2822"/>
    <col width="11.33203125" customWidth="1" style="55" min="2823" max="2823"/>
    <col width="13" customWidth="1" style="55" min="2824" max="2824"/>
    <col width="9" customWidth="1" style="55" min="2825" max="2825"/>
    <col width="3.83203125" customWidth="1" style="55" min="2826" max="2826"/>
    <col width="18.5" customWidth="1" style="55" min="2827" max="2827"/>
    <col width="10" customWidth="1" style="55" min="2828" max="2828"/>
    <col width="9.1640625" customWidth="1" style="55" min="2829" max="3052"/>
    <col width="25.6640625" customWidth="1" style="55" min="3053" max="3053"/>
    <col width="9" customWidth="1" style="55" min="3054" max="3054"/>
    <col width="22" customWidth="1" style="55" min="3055" max="3055"/>
    <col width="4.5" customWidth="1" style="55" min="3056" max="3056"/>
    <col width="13.33203125" customWidth="1" style="55" min="3057" max="3057"/>
    <col width="14.1640625" customWidth="1" style="55" min="3058" max="3058"/>
    <col width="9.33203125" customWidth="1" style="55" min="3059" max="3059"/>
    <col width="11.1640625" customWidth="1" style="55" min="3060" max="3060"/>
    <col width="9.1640625" customWidth="1" style="55" min="3061" max="3061"/>
    <col width="10.33203125" customWidth="1" style="55" min="3062" max="3062"/>
    <col width="7.6640625" customWidth="1" style="55" min="3063" max="3063"/>
    <col width="12.6640625" customWidth="1" style="55" min="3064" max="3064"/>
    <col width="10.6640625" customWidth="1" style="55" min="3065" max="3065"/>
    <col width="12.83203125" customWidth="1" style="55" min="3066" max="3066"/>
    <col width="10.83203125" customWidth="1" style="55" min="3067" max="3067"/>
    <col width="12.5" customWidth="1" style="55" min="3068" max="3068"/>
    <col width="10.5" customWidth="1" style="55" min="3069" max="3069"/>
    <col width="13.1640625" customWidth="1" style="55" min="3070" max="3070"/>
    <col width="9.83203125" customWidth="1" style="55" min="3071" max="3071"/>
    <col width="13.6640625" customWidth="1" style="55" min="3072" max="3072"/>
    <col width="9.5" customWidth="1" style="55" min="3073" max="3073"/>
    <col width="12.5" customWidth="1" style="55" min="3074" max="3074"/>
    <col width="10" customWidth="1" style="55" min="3075" max="3075"/>
    <col width="13" customWidth="1" style="55" min="3076" max="3076"/>
    <col width="11" customWidth="1" style="55" min="3077" max="3077"/>
    <col width="13.83203125" customWidth="1" style="55" min="3078" max="3078"/>
    <col width="11.33203125" customWidth="1" style="55" min="3079" max="3079"/>
    <col width="13" customWidth="1" style="55" min="3080" max="3080"/>
    <col width="9" customWidth="1" style="55" min="3081" max="3081"/>
    <col width="3.83203125" customWidth="1" style="55" min="3082" max="3082"/>
    <col width="18.5" customWidth="1" style="55" min="3083" max="3083"/>
    <col width="10" customWidth="1" style="55" min="3084" max="3084"/>
    <col width="9.1640625" customWidth="1" style="55" min="3085" max="3308"/>
    <col width="25.6640625" customWidth="1" style="55" min="3309" max="3309"/>
    <col width="9" customWidth="1" style="55" min="3310" max="3310"/>
    <col width="22" customWidth="1" style="55" min="3311" max="3311"/>
    <col width="4.5" customWidth="1" style="55" min="3312" max="3312"/>
    <col width="13.33203125" customWidth="1" style="55" min="3313" max="3313"/>
    <col width="14.1640625" customWidth="1" style="55" min="3314" max="3314"/>
    <col width="9.33203125" customWidth="1" style="55" min="3315" max="3315"/>
    <col width="11.1640625" customWidth="1" style="55" min="3316" max="3316"/>
    <col width="9.1640625" customWidth="1" style="55" min="3317" max="3317"/>
    <col width="10.33203125" customWidth="1" style="55" min="3318" max="3318"/>
    <col width="7.6640625" customWidth="1" style="55" min="3319" max="3319"/>
    <col width="12.6640625" customWidth="1" style="55" min="3320" max="3320"/>
    <col width="10.6640625" customWidth="1" style="55" min="3321" max="3321"/>
    <col width="12.83203125" customWidth="1" style="55" min="3322" max="3322"/>
    <col width="10.83203125" customWidth="1" style="55" min="3323" max="3323"/>
    <col width="12.5" customWidth="1" style="55" min="3324" max="3324"/>
    <col width="10.5" customWidth="1" style="55" min="3325" max="3325"/>
    <col width="13.1640625" customWidth="1" style="55" min="3326" max="3326"/>
    <col width="9.83203125" customWidth="1" style="55" min="3327" max="3327"/>
    <col width="13.6640625" customWidth="1" style="55" min="3328" max="3328"/>
    <col width="9.5" customWidth="1" style="55" min="3329" max="3329"/>
    <col width="12.5" customWidth="1" style="55" min="3330" max="3330"/>
    <col width="10" customWidth="1" style="55" min="3331" max="3331"/>
    <col width="13" customWidth="1" style="55" min="3332" max="3332"/>
    <col width="11" customWidth="1" style="55" min="3333" max="3333"/>
    <col width="13.83203125" customWidth="1" style="55" min="3334" max="3334"/>
    <col width="11.33203125" customWidth="1" style="55" min="3335" max="3335"/>
    <col width="13" customWidth="1" style="55" min="3336" max="3336"/>
    <col width="9" customWidth="1" style="55" min="3337" max="3337"/>
    <col width="3.83203125" customWidth="1" style="55" min="3338" max="3338"/>
    <col width="18.5" customWidth="1" style="55" min="3339" max="3339"/>
    <col width="10" customWidth="1" style="55" min="3340" max="3340"/>
    <col width="9.1640625" customWidth="1" style="55" min="3341" max="3564"/>
    <col width="25.6640625" customWidth="1" style="55" min="3565" max="3565"/>
    <col width="9" customWidth="1" style="55" min="3566" max="3566"/>
    <col width="22" customWidth="1" style="55" min="3567" max="3567"/>
    <col width="4.5" customWidth="1" style="55" min="3568" max="3568"/>
    <col width="13.33203125" customWidth="1" style="55" min="3569" max="3569"/>
    <col width="14.1640625" customWidth="1" style="55" min="3570" max="3570"/>
    <col width="9.33203125" customWidth="1" style="55" min="3571" max="3571"/>
    <col width="11.1640625" customWidth="1" style="55" min="3572" max="3572"/>
    <col width="9.1640625" customWidth="1" style="55" min="3573" max="3573"/>
    <col width="10.33203125" customWidth="1" style="55" min="3574" max="3574"/>
    <col width="7.6640625" customWidth="1" style="55" min="3575" max="3575"/>
    <col width="12.6640625" customWidth="1" style="55" min="3576" max="3576"/>
    <col width="10.6640625" customWidth="1" style="55" min="3577" max="3577"/>
    <col width="12.83203125" customWidth="1" style="55" min="3578" max="3578"/>
    <col width="10.83203125" customWidth="1" style="55" min="3579" max="3579"/>
    <col width="12.5" customWidth="1" style="55" min="3580" max="3580"/>
    <col width="10.5" customWidth="1" style="55" min="3581" max="3581"/>
    <col width="13.1640625" customWidth="1" style="55" min="3582" max="3582"/>
    <col width="9.83203125" customWidth="1" style="55" min="3583" max="3583"/>
    <col width="13.6640625" customWidth="1" style="55" min="3584" max="3584"/>
    <col width="9.5" customWidth="1" style="55" min="3585" max="3585"/>
    <col width="12.5" customWidth="1" style="55" min="3586" max="3586"/>
    <col width="10" customWidth="1" style="55" min="3587" max="3587"/>
    <col width="13" customWidth="1" style="55" min="3588" max="3588"/>
    <col width="11" customWidth="1" style="55" min="3589" max="3589"/>
    <col width="13.83203125" customWidth="1" style="55" min="3590" max="3590"/>
    <col width="11.33203125" customWidth="1" style="55" min="3591" max="3591"/>
    <col width="13" customWidth="1" style="55" min="3592" max="3592"/>
    <col width="9" customWidth="1" style="55" min="3593" max="3593"/>
    <col width="3.83203125" customWidth="1" style="55" min="3594" max="3594"/>
    <col width="18.5" customWidth="1" style="55" min="3595" max="3595"/>
    <col width="10" customWidth="1" style="55" min="3596" max="3596"/>
    <col width="9.1640625" customWidth="1" style="55" min="3597" max="3820"/>
    <col width="25.6640625" customWidth="1" style="55" min="3821" max="3821"/>
    <col width="9" customWidth="1" style="55" min="3822" max="3822"/>
    <col width="22" customWidth="1" style="55" min="3823" max="3823"/>
    <col width="4.5" customWidth="1" style="55" min="3824" max="3824"/>
    <col width="13.33203125" customWidth="1" style="55" min="3825" max="3825"/>
    <col width="14.1640625" customWidth="1" style="55" min="3826" max="3826"/>
    <col width="9.33203125" customWidth="1" style="55" min="3827" max="3827"/>
    <col width="11.1640625" customWidth="1" style="55" min="3828" max="3828"/>
    <col width="9.1640625" customWidth="1" style="55" min="3829" max="3829"/>
    <col width="10.33203125" customWidth="1" style="55" min="3830" max="3830"/>
    <col width="7.6640625" customWidth="1" style="55" min="3831" max="3831"/>
    <col width="12.6640625" customWidth="1" style="55" min="3832" max="3832"/>
    <col width="10.6640625" customWidth="1" style="55" min="3833" max="3833"/>
    <col width="12.83203125" customWidth="1" style="55" min="3834" max="3834"/>
    <col width="10.83203125" customWidth="1" style="55" min="3835" max="3835"/>
    <col width="12.5" customWidth="1" style="55" min="3836" max="3836"/>
    <col width="10.5" customWidth="1" style="55" min="3837" max="3837"/>
    <col width="13.1640625" customWidth="1" style="55" min="3838" max="3838"/>
    <col width="9.83203125" customWidth="1" style="55" min="3839" max="3839"/>
    <col width="13.6640625" customWidth="1" style="55" min="3840" max="3840"/>
    <col width="9.5" customWidth="1" style="55" min="3841" max="3841"/>
    <col width="12.5" customWidth="1" style="55" min="3842" max="3842"/>
    <col width="10" customWidth="1" style="55" min="3843" max="3843"/>
    <col width="13" customWidth="1" style="55" min="3844" max="3844"/>
    <col width="11" customWidth="1" style="55" min="3845" max="3845"/>
    <col width="13.83203125" customWidth="1" style="55" min="3846" max="3846"/>
    <col width="11.33203125" customWidth="1" style="55" min="3847" max="3847"/>
    <col width="13" customWidth="1" style="55" min="3848" max="3848"/>
    <col width="9" customWidth="1" style="55" min="3849" max="3849"/>
    <col width="3.83203125" customWidth="1" style="55" min="3850" max="3850"/>
    <col width="18.5" customWidth="1" style="55" min="3851" max="3851"/>
    <col width="10" customWidth="1" style="55" min="3852" max="3852"/>
    <col width="9.1640625" customWidth="1" style="55" min="3853" max="4076"/>
    <col width="25.6640625" customWidth="1" style="55" min="4077" max="4077"/>
    <col width="9" customWidth="1" style="55" min="4078" max="4078"/>
    <col width="22" customWidth="1" style="55" min="4079" max="4079"/>
    <col width="4.5" customWidth="1" style="55" min="4080" max="4080"/>
    <col width="13.33203125" customWidth="1" style="55" min="4081" max="4081"/>
    <col width="14.1640625" customWidth="1" style="55" min="4082" max="4082"/>
    <col width="9.33203125" customWidth="1" style="55" min="4083" max="4083"/>
    <col width="11.1640625" customWidth="1" style="55" min="4084" max="4084"/>
    <col width="9.1640625" customWidth="1" style="55" min="4085" max="4085"/>
    <col width="10.33203125" customWidth="1" style="55" min="4086" max="4086"/>
    <col width="7.6640625" customWidth="1" style="55" min="4087" max="4087"/>
    <col width="12.6640625" customWidth="1" style="55" min="4088" max="4088"/>
    <col width="10.6640625" customWidth="1" style="55" min="4089" max="4089"/>
    <col width="12.83203125" customWidth="1" style="55" min="4090" max="4090"/>
    <col width="10.83203125" customWidth="1" style="55" min="4091" max="4091"/>
    <col width="12.5" customWidth="1" style="55" min="4092" max="4092"/>
    <col width="10.5" customWidth="1" style="55" min="4093" max="4093"/>
    <col width="13.1640625" customWidth="1" style="55" min="4094" max="4094"/>
    <col width="9.83203125" customWidth="1" style="55" min="4095" max="4095"/>
    <col width="13.6640625" customWidth="1" style="55" min="4096" max="4096"/>
    <col width="9.5" customWidth="1" style="55" min="4097" max="4097"/>
    <col width="12.5" customWidth="1" style="55" min="4098" max="4098"/>
    <col width="10" customWidth="1" style="55" min="4099" max="4099"/>
    <col width="13" customWidth="1" style="55" min="4100" max="4100"/>
    <col width="11" customWidth="1" style="55" min="4101" max="4101"/>
    <col width="13.83203125" customWidth="1" style="55" min="4102" max="4102"/>
    <col width="11.33203125" customWidth="1" style="55" min="4103" max="4103"/>
    <col width="13" customWidth="1" style="55" min="4104" max="4104"/>
    <col width="9" customWidth="1" style="55" min="4105" max="4105"/>
    <col width="3.83203125" customWidth="1" style="55" min="4106" max="4106"/>
    <col width="18.5" customWidth="1" style="55" min="4107" max="4107"/>
    <col width="10" customWidth="1" style="55" min="4108" max="4108"/>
    <col width="9.1640625" customWidth="1" style="55" min="4109" max="4332"/>
    <col width="25.6640625" customWidth="1" style="55" min="4333" max="4333"/>
    <col width="9" customWidth="1" style="55" min="4334" max="4334"/>
    <col width="22" customWidth="1" style="55" min="4335" max="4335"/>
    <col width="4.5" customWidth="1" style="55" min="4336" max="4336"/>
    <col width="13.33203125" customWidth="1" style="55" min="4337" max="4337"/>
    <col width="14.1640625" customWidth="1" style="55" min="4338" max="4338"/>
    <col width="9.33203125" customWidth="1" style="55" min="4339" max="4339"/>
    <col width="11.1640625" customWidth="1" style="55" min="4340" max="4340"/>
    <col width="9.1640625" customWidth="1" style="55" min="4341" max="4341"/>
    <col width="10.33203125" customWidth="1" style="55" min="4342" max="4342"/>
    <col width="7.6640625" customWidth="1" style="55" min="4343" max="4343"/>
    <col width="12.6640625" customWidth="1" style="55" min="4344" max="4344"/>
    <col width="10.6640625" customWidth="1" style="55" min="4345" max="4345"/>
    <col width="12.83203125" customWidth="1" style="55" min="4346" max="4346"/>
    <col width="10.83203125" customWidth="1" style="55" min="4347" max="4347"/>
    <col width="12.5" customWidth="1" style="55" min="4348" max="4348"/>
    <col width="10.5" customWidth="1" style="55" min="4349" max="4349"/>
    <col width="13.1640625" customWidth="1" style="55" min="4350" max="4350"/>
    <col width="9.83203125" customWidth="1" style="55" min="4351" max="4351"/>
    <col width="13.6640625" customWidth="1" style="55" min="4352" max="4352"/>
    <col width="9.5" customWidth="1" style="55" min="4353" max="4353"/>
    <col width="12.5" customWidth="1" style="55" min="4354" max="4354"/>
    <col width="10" customWidth="1" style="55" min="4355" max="4355"/>
    <col width="13" customWidth="1" style="55" min="4356" max="4356"/>
    <col width="11" customWidth="1" style="55" min="4357" max="4357"/>
    <col width="13.83203125" customWidth="1" style="55" min="4358" max="4358"/>
    <col width="11.33203125" customWidth="1" style="55" min="4359" max="4359"/>
    <col width="13" customWidth="1" style="55" min="4360" max="4360"/>
    <col width="9" customWidth="1" style="55" min="4361" max="4361"/>
    <col width="3.83203125" customWidth="1" style="55" min="4362" max="4362"/>
    <col width="18.5" customWidth="1" style="55" min="4363" max="4363"/>
    <col width="10" customWidth="1" style="55" min="4364" max="4364"/>
    <col width="9.1640625" customWidth="1" style="55" min="4365" max="4588"/>
    <col width="25.6640625" customWidth="1" style="55" min="4589" max="4589"/>
    <col width="9" customWidth="1" style="55" min="4590" max="4590"/>
    <col width="22" customWidth="1" style="55" min="4591" max="4591"/>
    <col width="4.5" customWidth="1" style="55" min="4592" max="4592"/>
    <col width="13.33203125" customWidth="1" style="55" min="4593" max="4593"/>
    <col width="14.1640625" customWidth="1" style="55" min="4594" max="4594"/>
    <col width="9.33203125" customWidth="1" style="55" min="4595" max="4595"/>
    <col width="11.1640625" customWidth="1" style="55" min="4596" max="4596"/>
    <col width="9.1640625" customWidth="1" style="55" min="4597" max="4597"/>
    <col width="10.33203125" customWidth="1" style="55" min="4598" max="4598"/>
    <col width="7.6640625" customWidth="1" style="55" min="4599" max="4599"/>
    <col width="12.6640625" customWidth="1" style="55" min="4600" max="4600"/>
    <col width="10.6640625" customWidth="1" style="55" min="4601" max="4601"/>
    <col width="12.83203125" customWidth="1" style="55" min="4602" max="4602"/>
    <col width="10.83203125" customWidth="1" style="55" min="4603" max="4603"/>
    <col width="12.5" customWidth="1" style="55" min="4604" max="4604"/>
    <col width="10.5" customWidth="1" style="55" min="4605" max="4605"/>
    <col width="13.1640625" customWidth="1" style="55" min="4606" max="4606"/>
    <col width="9.83203125" customWidth="1" style="55" min="4607" max="4607"/>
    <col width="13.6640625" customWidth="1" style="55" min="4608" max="4608"/>
    <col width="9.5" customWidth="1" style="55" min="4609" max="4609"/>
    <col width="12.5" customWidth="1" style="55" min="4610" max="4610"/>
    <col width="10" customWidth="1" style="55" min="4611" max="4611"/>
    <col width="13" customWidth="1" style="55" min="4612" max="4612"/>
    <col width="11" customWidth="1" style="55" min="4613" max="4613"/>
    <col width="13.83203125" customWidth="1" style="55" min="4614" max="4614"/>
    <col width="11.33203125" customWidth="1" style="55" min="4615" max="4615"/>
    <col width="13" customWidth="1" style="55" min="4616" max="4616"/>
    <col width="9" customWidth="1" style="55" min="4617" max="4617"/>
    <col width="3.83203125" customWidth="1" style="55" min="4618" max="4618"/>
    <col width="18.5" customWidth="1" style="55" min="4619" max="4619"/>
    <col width="10" customWidth="1" style="55" min="4620" max="4620"/>
    <col width="9.1640625" customWidth="1" style="55" min="4621" max="4844"/>
    <col width="25.6640625" customWidth="1" style="55" min="4845" max="4845"/>
    <col width="9" customWidth="1" style="55" min="4846" max="4846"/>
    <col width="22" customWidth="1" style="55" min="4847" max="4847"/>
    <col width="4.5" customWidth="1" style="55" min="4848" max="4848"/>
    <col width="13.33203125" customWidth="1" style="55" min="4849" max="4849"/>
    <col width="14.1640625" customWidth="1" style="55" min="4850" max="4850"/>
    <col width="9.33203125" customWidth="1" style="55" min="4851" max="4851"/>
    <col width="11.1640625" customWidth="1" style="55" min="4852" max="4852"/>
    <col width="9.1640625" customWidth="1" style="55" min="4853" max="4853"/>
    <col width="10.33203125" customWidth="1" style="55" min="4854" max="4854"/>
    <col width="7.6640625" customWidth="1" style="55" min="4855" max="4855"/>
    <col width="12.6640625" customWidth="1" style="55" min="4856" max="4856"/>
    <col width="10.6640625" customWidth="1" style="55" min="4857" max="4857"/>
    <col width="12.83203125" customWidth="1" style="55" min="4858" max="4858"/>
    <col width="10.83203125" customWidth="1" style="55" min="4859" max="4859"/>
    <col width="12.5" customWidth="1" style="55" min="4860" max="4860"/>
    <col width="10.5" customWidth="1" style="55" min="4861" max="4861"/>
    <col width="13.1640625" customWidth="1" style="55" min="4862" max="4862"/>
    <col width="9.83203125" customWidth="1" style="55" min="4863" max="4863"/>
    <col width="13.6640625" customWidth="1" style="55" min="4864" max="4864"/>
    <col width="9.5" customWidth="1" style="55" min="4865" max="4865"/>
    <col width="12.5" customWidth="1" style="55" min="4866" max="4866"/>
    <col width="10" customWidth="1" style="55" min="4867" max="4867"/>
    <col width="13" customWidth="1" style="55" min="4868" max="4868"/>
    <col width="11" customWidth="1" style="55" min="4869" max="4869"/>
    <col width="13.83203125" customWidth="1" style="55" min="4870" max="4870"/>
    <col width="11.33203125" customWidth="1" style="55" min="4871" max="4871"/>
    <col width="13" customWidth="1" style="55" min="4872" max="4872"/>
    <col width="9" customWidth="1" style="55" min="4873" max="4873"/>
    <col width="3.83203125" customWidth="1" style="55" min="4874" max="4874"/>
    <col width="18.5" customWidth="1" style="55" min="4875" max="4875"/>
    <col width="10" customWidth="1" style="55" min="4876" max="4876"/>
    <col width="9.1640625" customWidth="1" style="55" min="4877" max="5100"/>
    <col width="25.6640625" customWidth="1" style="55" min="5101" max="5101"/>
    <col width="9" customWidth="1" style="55" min="5102" max="5102"/>
    <col width="22" customWidth="1" style="55" min="5103" max="5103"/>
    <col width="4.5" customWidth="1" style="55" min="5104" max="5104"/>
    <col width="13.33203125" customWidth="1" style="55" min="5105" max="5105"/>
    <col width="14.1640625" customWidth="1" style="55" min="5106" max="5106"/>
    <col width="9.33203125" customWidth="1" style="55" min="5107" max="5107"/>
    <col width="11.1640625" customWidth="1" style="55" min="5108" max="5108"/>
    <col width="9.1640625" customWidth="1" style="55" min="5109" max="5109"/>
    <col width="10.33203125" customWidth="1" style="55" min="5110" max="5110"/>
    <col width="7.6640625" customWidth="1" style="55" min="5111" max="5111"/>
    <col width="12.6640625" customWidth="1" style="55" min="5112" max="5112"/>
    <col width="10.6640625" customWidth="1" style="55" min="5113" max="5113"/>
    <col width="12.83203125" customWidth="1" style="55" min="5114" max="5114"/>
    <col width="10.83203125" customWidth="1" style="55" min="5115" max="5115"/>
    <col width="12.5" customWidth="1" style="55" min="5116" max="5116"/>
    <col width="10.5" customWidth="1" style="55" min="5117" max="5117"/>
    <col width="13.1640625" customWidth="1" style="55" min="5118" max="5118"/>
    <col width="9.83203125" customWidth="1" style="55" min="5119" max="5119"/>
    <col width="13.6640625" customWidth="1" style="55" min="5120" max="5120"/>
    <col width="9.5" customWidth="1" style="55" min="5121" max="5121"/>
    <col width="12.5" customWidth="1" style="55" min="5122" max="5122"/>
    <col width="10" customWidth="1" style="55" min="5123" max="5123"/>
    <col width="13" customWidth="1" style="55" min="5124" max="5124"/>
    <col width="11" customWidth="1" style="55" min="5125" max="5125"/>
    <col width="13.83203125" customWidth="1" style="55" min="5126" max="5126"/>
    <col width="11.33203125" customWidth="1" style="55" min="5127" max="5127"/>
    <col width="13" customWidth="1" style="55" min="5128" max="5128"/>
    <col width="9" customWidth="1" style="55" min="5129" max="5129"/>
    <col width="3.83203125" customWidth="1" style="55" min="5130" max="5130"/>
    <col width="18.5" customWidth="1" style="55" min="5131" max="5131"/>
    <col width="10" customWidth="1" style="55" min="5132" max="5132"/>
    <col width="9.1640625" customWidth="1" style="55" min="5133" max="5356"/>
    <col width="25.6640625" customWidth="1" style="55" min="5357" max="5357"/>
    <col width="9" customWidth="1" style="55" min="5358" max="5358"/>
    <col width="22" customWidth="1" style="55" min="5359" max="5359"/>
    <col width="4.5" customWidth="1" style="55" min="5360" max="5360"/>
    <col width="13.33203125" customWidth="1" style="55" min="5361" max="5361"/>
    <col width="14.1640625" customWidth="1" style="55" min="5362" max="5362"/>
    <col width="9.33203125" customWidth="1" style="55" min="5363" max="5363"/>
    <col width="11.1640625" customWidth="1" style="55" min="5364" max="5364"/>
    <col width="9.1640625" customWidth="1" style="55" min="5365" max="5365"/>
    <col width="10.33203125" customWidth="1" style="55" min="5366" max="5366"/>
    <col width="7.6640625" customWidth="1" style="55" min="5367" max="5367"/>
    <col width="12.6640625" customWidth="1" style="55" min="5368" max="5368"/>
    <col width="10.6640625" customWidth="1" style="55" min="5369" max="5369"/>
    <col width="12.83203125" customWidth="1" style="55" min="5370" max="5370"/>
    <col width="10.83203125" customWidth="1" style="55" min="5371" max="5371"/>
    <col width="12.5" customWidth="1" style="55" min="5372" max="5372"/>
    <col width="10.5" customWidth="1" style="55" min="5373" max="5373"/>
    <col width="13.1640625" customWidth="1" style="55" min="5374" max="5374"/>
    <col width="9.83203125" customWidth="1" style="55" min="5375" max="5375"/>
    <col width="13.6640625" customWidth="1" style="55" min="5376" max="5376"/>
    <col width="9.5" customWidth="1" style="55" min="5377" max="5377"/>
    <col width="12.5" customWidth="1" style="55" min="5378" max="5378"/>
    <col width="10" customWidth="1" style="55" min="5379" max="5379"/>
    <col width="13" customWidth="1" style="55" min="5380" max="5380"/>
    <col width="11" customWidth="1" style="55" min="5381" max="5381"/>
    <col width="13.83203125" customWidth="1" style="55" min="5382" max="5382"/>
    <col width="11.33203125" customWidth="1" style="55" min="5383" max="5383"/>
    <col width="13" customWidth="1" style="55" min="5384" max="5384"/>
    <col width="9" customWidth="1" style="55" min="5385" max="5385"/>
    <col width="3.83203125" customWidth="1" style="55" min="5386" max="5386"/>
    <col width="18.5" customWidth="1" style="55" min="5387" max="5387"/>
    <col width="10" customWidth="1" style="55" min="5388" max="5388"/>
    <col width="9.1640625" customWidth="1" style="55" min="5389" max="5612"/>
    <col width="25.6640625" customWidth="1" style="55" min="5613" max="5613"/>
    <col width="9" customWidth="1" style="55" min="5614" max="5614"/>
    <col width="22" customWidth="1" style="55" min="5615" max="5615"/>
    <col width="4.5" customWidth="1" style="55" min="5616" max="5616"/>
    <col width="13.33203125" customWidth="1" style="55" min="5617" max="5617"/>
    <col width="14.1640625" customWidth="1" style="55" min="5618" max="5618"/>
    <col width="9.33203125" customWidth="1" style="55" min="5619" max="5619"/>
    <col width="11.1640625" customWidth="1" style="55" min="5620" max="5620"/>
    <col width="9.1640625" customWidth="1" style="55" min="5621" max="5621"/>
    <col width="10.33203125" customWidth="1" style="55" min="5622" max="5622"/>
    <col width="7.6640625" customWidth="1" style="55" min="5623" max="5623"/>
    <col width="12.6640625" customWidth="1" style="55" min="5624" max="5624"/>
    <col width="10.6640625" customWidth="1" style="55" min="5625" max="5625"/>
    <col width="12.83203125" customWidth="1" style="55" min="5626" max="5626"/>
    <col width="10.83203125" customWidth="1" style="55" min="5627" max="5627"/>
    <col width="12.5" customWidth="1" style="55" min="5628" max="5628"/>
    <col width="10.5" customWidth="1" style="55" min="5629" max="5629"/>
    <col width="13.1640625" customWidth="1" style="55" min="5630" max="5630"/>
    <col width="9.83203125" customWidth="1" style="55" min="5631" max="5631"/>
    <col width="13.6640625" customWidth="1" style="55" min="5632" max="5632"/>
    <col width="9.5" customWidth="1" style="55" min="5633" max="5633"/>
    <col width="12.5" customWidth="1" style="55" min="5634" max="5634"/>
    <col width="10" customWidth="1" style="55" min="5635" max="5635"/>
    <col width="13" customWidth="1" style="55" min="5636" max="5636"/>
    <col width="11" customWidth="1" style="55" min="5637" max="5637"/>
    <col width="13.83203125" customWidth="1" style="55" min="5638" max="5638"/>
    <col width="11.33203125" customWidth="1" style="55" min="5639" max="5639"/>
    <col width="13" customWidth="1" style="55" min="5640" max="5640"/>
    <col width="9" customWidth="1" style="55" min="5641" max="5641"/>
    <col width="3.83203125" customWidth="1" style="55" min="5642" max="5642"/>
    <col width="18.5" customWidth="1" style="55" min="5643" max="5643"/>
    <col width="10" customWidth="1" style="55" min="5644" max="5644"/>
    <col width="9.1640625" customWidth="1" style="55" min="5645" max="5868"/>
    <col width="25.6640625" customWidth="1" style="55" min="5869" max="5869"/>
    <col width="9" customWidth="1" style="55" min="5870" max="5870"/>
    <col width="22" customWidth="1" style="55" min="5871" max="5871"/>
    <col width="4.5" customWidth="1" style="55" min="5872" max="5872"/>
    <col width="13.33203125" customWidth="1" style="55" min="5873" max="5873"/>
    <col width="14.1640625" customWidth="1" style="55" min="5874" max="5874"/>
    <col width="9.33203125" customWidth="1" style="55" min="5875" max="5875"/>
    <col width="11.1640625" customWidth="1" style="55" min="5876" max="5876"/>
    <col width="9.1640625" customWidth="1" style="55" min="5877" max="5877"/>
    <col width="10.33203125" customWidth="1" style="55" min="5878" max="5878"/>
    <col width="7.6640625" customWidth="1" style="55" min="5879" max="5879"/>
    <col width="12.6640625" customWidth="1" style="55" min="5880" max="5880"/>
    <col width="10.6640625" customWidth="1" style="55" min="5881" max="5881"/>
    <col width="12.83203125" customWidth="1" style="55" min="5882" max="5882"/>
    <col width="10.83203125" customWidth="1" style="55" min="5883" max="5883"/>
    <col width="12.5" customWidth="1" style="55" min="5884" max="5884"/>
    <col width="10.5" customWidth="1" style="55" min="5885" max="5885"/>
    <col width="13.1640625" customWidth="1" style="55" min="5886" max="5886"/>
    <col width="9.83203125" customWidth="1" style="55" min="5887" max="5887"/>
    <col width="13.6640625" customWidth="1" style="55" min="5888" max="5888"/>
    <col width="9.5" customWidth="1" style="55" min="5889" max="5889"/>
    <col width="12.5" customWidth="1" style="55" min="5890" max="5890"/>
    <col width="10" customWidth="1" style="55" min="5891" max="5891"/>
    <col width="13" customWidth="1" style="55" min="5892" max="5892"/>
    <col width="11" customWidth="1" style="55" min="5893" max="5893"/>
    <col width="13.83203125" customWidth="1" style="55" min="5894" max="5894"/>
    <col width="11.33203125" customWidth="1" style="55" min="5895" max="5895"/>
    <col width="13" customWidth="1" style="55" min="5896" max="5896"/>
    <col width="9" customWidth="1" style="55" min="5897" max="5897"/>
    <col width="3.83203125" customWidth="1" style="55" min="5898" max="5898"/>
    <col width="18.5" customWidth="1" style="55" min="5899" max="5899"/>
    <col width="10" customWidth="1" style="55" min="5900" max="5900"/>
    <col width="9.1640625" customWidth="1" style="55" min="5901" max="6124"/>
    <col width="25.6640625" customWidth="1" style="55" min="6125" max="6125"/>
    <col width="9" customWidth="1" style="55" min="6126" max="6126"/>
    <col width="22" customWidth="1" style="55" min="6127" max="6127"/>
    <col width="4.5" customWidth="1" style="55" min="6128" max="6128"/>
    <col width="13.33203125" customWidth="1" style="55" min="6129" max="6129"/>
    <col width="14.1640625" customWidth="1" style="55" min="6130" max="6130"/>
    <col width="9.33203125" customWidth="1" style="55" min="6131" max="6131"/>
    <col width="11.1640625" customWidth="1" style="55" min="6132" max="6132"/>
    <col width="9.1640625" customWidth="1" style="55" min="6133" max="6133"/>
    <col width="10.33203125" customWidth="1" style="55" min="6134" max="6134"/>
    <col width="7.6640625" customWidth="1" style="55" min="6135" max="6135"/>
    <col width="12.6640625" customWidth="1" style="55" min="6136" max="6136"/>
    <col width="10.6640625" customWidth="1" style="55" min="6137" max="6137"/>
    <col width="12.83203125" customWidth="1" style="55" min="6138" max="6138"/>
    <col width="10.83203125" customWidth="1" style="55" min="6139" max="6139"/>
    <col width="12.5" customWidth="1" style="55" min="6140" max="6140"/>
    <col width="10.5" customWidth="1" style="55" min="6141" max="6141"/>
    <col width="13.1640625" customWidth="1" style="55" min="6142" max="6142"/>
    <col width="9.83203125" customWidth="1" style="55" min="6143" max="6143"/>
    <col width="13.6640625" customWidth="1" style="55" min="6144" max="6144"/>
    <col width="9.5" customWidth="1" style="55" min="6145" max="6145"/>
    <col width="12.5" customWidth="1" style="55" min="6146" max="6146"/>
    <col width="10" customWidth="1" style="55" min="6147" max="6147"/>
    <col width="13" customWidth="1" style="55" min="6148" max="6148"/>
    <col width="11" customWidth="1" style="55" min="6149" max="6149"/>
    <col width="13.83203125" customWidth="1" style="55" min="6150" max="6150"/>
    <col width="11.33203125" customWidth="1" style="55" min="6151" max="6151"/>
    <col width="13" customWidth="1" style="55" min="6152" max="6152"/>
    <col width="9" customWidth="1" style="55" min="6153" max="6153"/>
    <col width="3.83203125" customWidth="1" style="55" min="6154" max="6154"/>
    <col width="18.5" customWidth="1" style="55" min="6155" max="6155"/>
    <col width="10" customWidth="1" style="55" min="6156" max="6156"/>
    <col width="9.1640625" customWidth="1" style="55" min="6157" max="6380"/>
    <col width="25.6640625" customWidth="1" style="55" min="6381" max="6381"/>
    <col width="9" customWidth="1" style="55" min="6382" max="6382"/>
    <col width="22" customWidth="1" style="55" min="6383" max="6383"/>
    <col width="4.5" customWidth="1" style="55" min="6384" max="6384"/>
    <col width="13.33203125" customWidth="1" style="55" min="6385" max="6385"/>
    <col width="14.1640625" customWidth="1" style="55" min="6386" max="6386"/>
    <col width="9.33203125" customWidth="1" style="55" min="6387" max="6387"/>
    <col width="11.1640625" customWidth="1" style="55" min="6388" max="6388"/>
    <col width="9.1640625" customWidth="1" style="55" min="6389" max="6389"/>
    <col width="10.33203125" customWidth="1" style="55" min="6390" max="6390"/>
    <col width="7.6640625" customWidth="1" style="55" min="6391" max="6391"/>
    <col width="12.6640625" customWidth="1" style="55" min="6392" max="6392"/>
    <col width="10.6640625" customWidth="1" style="55" min="6393" max="6393"/>
    <col width="12.83203125" customWidth="1" style="55" min="6394" max="6394"/>
    <col width="10.83203125" customWidth="1" style="55" min="6395" max="6395"/>
    <col width="12.5" customWidth="1" style="55" min="6396" max="6396"/>
    <col width="10.5" customWidth="1" style="55" min="6397" max="6397"/>
    <col width="13.1640625" customWidth="1" style="55" min="6398" max="6398"/>
    <col width="9.83203125" customWidth="1" style="55" min="6399" max="6399"/>
    <col width="13.6640625" customWidth="1" style="55" min="6400" max="6400"/>
    <col width="9.5" customWidth="1" style="55" min="6401" max="6401"/>
    <col width="12.5" customWidth="1" style="55" min="6402" max="6402"/>
    <col width="10" customWidth="1" style="55" min="6403" max="6403"/>
    <col width="13" customWidth="1" style="55" min="6404" max="6404"/>
    <col width="11" customWidth="1" style="55" min="6405" max="6405"/>
    <col width="13.83203125" customWidth="1" style="55" min="6406" max="6406"/>
    <col width="11.33203125" customWidth="1" style="55" min="6407" max="6407"/>
    <col width="13" customWidth="1" style="55" min="6408" max="6408"/>
    <col width="9" customWidth="1" style="55" min="6409" max="6409"/>
    <col width="3.83203125" customWidth="1" style="55" min="6410" max="6410"/>
    <col width="18.5" customWidth="1" style="55" min="6411" max="6411"/>
    <col width="10" customWidth="1" style="55" min="6412" max="6412"/>
    <col width="9.1640625" customWidth="1" style="55" min="6413" max="6636"/>
    <col width="25.6640625" customWidth="1" style="55" min="6637" max="6637"/>
    <col width="9" customWidth="1" style="55" min="6638" max="6638"/>
    <col width="22" customWidth="1" style="55" min="6639" max="6639"/>
    <col width="4.5" customWidth="1" style="55" min="6640" max="6640"/>
    <col width="13.33203125" customWidth="1" style="55" min="6641" max="6641"/>
    <col width="14.1640625" customWidth="1" style="55" min="6642" max="6642"/>
    <col width="9.33203125" customWidth="1" style="55" min="6643" max="6643"/>
    <col width="11.1640625" customWidth="1" style="55" min="6644" max="6644"/>
    <col width="9.1640625" customWidth="1" style="55" min="6645" max="6645"/>
    <col width="10.33203125" customWidth="1" style="55" min="6646" max="6646"/>
    <col width="7.6640625" customWidth="1" style="55" min="6647" max="6647"/>
    <col width="12.6640625" customWidth="1" style="55" min="6648" max="6648"/>
    <col width="10.6640625" customWidth="1" style="55" min="6649" max="6649"/>
    <col width="12.83203125" customWidth="1" style="55" min="6650" max="6650"/>
    <col width="10.83203125" customWidth="1" style="55" min="6651" max="6651"/>
    <col width="12.5" customWidth="1" style="55" min="6652" max="6652"/>
    <col width="10.5" customWidth="1" style="55" min="6653" max="6653"/>
    <col width="13.1640625" customWidth="1" style="55" min="6654" max="6654"/>
    <col width="9.83203125" customWidth="1" style="55" min="6655" max="6655"/>
    <col width="13.6640625" customWidth="1" style="55" min="6656" max="6656"/>
    <col width="9.5" customWidth="1" style="55" min="6657" max="6657"/>
    <col width="12.5" customWidth="1" style="55" min="6658" max="6658"/>
    <col width="10" customWidth="1" style="55" min="6659" max="6659"/>
    <col width="13" customWidth="1" style="55" min="6660" max="6660"/>
    <col width="11" customWidth="1" style="55" min="6661" max="6661"/>
    <col width="13.83203125" customWidth="1" style="55" min="6662" max="6662"/>
    <col width="11.33203125" customWidth="1" style="55" min="6663" max="6663"/>
    <col width="13" customWidth="1" style="55" min="6664" max="6664"/>
    <col width="9" customWidth="1" style="55" min="6665" max="6665"/>
    <col width="3.83203125" customWidth="1" style="55" min="6666" max="6666"/>
    <col width="18.5" customWidth="1" style="55" min="6667" max="6667"/>
    <col width="10" customWidth="1" style="55" min="6668" max="6668"/>
    <col width="9.1640625" customWidth="1" style="55" min="6669" max="6892"/>
    <col width="25.6640625" customWidth="1" style="55" min="6893" max="6893"/>
    <col width="9" customWidth="1" style="55" min="6894" max="6894"/>
    <col width="22" customWidth="1" style="55" min="6895" max="6895"/>
    <col width="4.5" customWidth="1" style="55" min="6896" max="6896"/>
    <col width="13.33203125" customWidth="1" style="55" min="6897" max="6897"/>
    <col width="14.1640625" customWidth="1" style="55" min="6898" max="6898"/>
    <col width="9.33203125" customWidth="1" style="55" min="6899" max="6899"/>
    <col width="11.1640625" customWidth="1" style="55" min="6900" max="6900"/>
    <col width="9.1640625" customWidth="1" style="55" min="6901" max="6901"/>
    <col width="10.33203125" customWidth="1" style="55" min="6902" max="6902"/>
    <col width="7.6640625" customWidth="1" style="55" min="6903" max="6903"/>
    <col width="12.6640625" customWidth="1" style="55" min="6904" max="6904"/>
    <col width="10.6640625" customWidth="1" style="55" min="6905" max="6905"/>
    <col width="12.83203125" customWidth="1" style="55" min="6906" max="6906"/>
    <col width="10.83203125" customWidth="1" style="55" min="6907" max="6907"/>
    <col width="12.5" customWidth="1" style="55" min="6908" max="6908"/>
    <col width="10.5" customWidth="1" style="55" min="6909" max="6909"/>
    <col width="13.1640625" customWidth="1" style="55" min="6910" max="6910"/>
    <col width="9.83203125" customWidth="1" style="55" min="6911" max="6911"/>
    <col width="13.6640625" customWidth="1" style="55" min="6912" max="6912"/>
    <col width="9.5" customWidth="1" style="55" min="6913" max="6913"/>
    <col width="12.5" customWidth="1" style="55" min="6914" max="6914"/>
    <col width="10" customWidth="1" style="55" min="6915" max="6915"/>
    <col width="13" customWidth="1" style="55" min="6916" max="6916"/>
    <col width="11" customWidth="1" style="55" min="6917" max="6917"/>
    <col width="13.83203125" customWidth="1" style="55" min="6918" max="6918"/>
    <col width="11.33203125" customWidth="1" style="55" min="6919" max="6919"/>
    <col width="13" customWidth="1" style="55" min="6920" max="6920"/>
    <col width="9" customWidth="1" style="55" min="6921" max="6921"/>
    <col width="3.83203125" customWidth="1" style="55" min="6922" max="6922"/>
    <col width="18.5" customWidth="1" style="55" min="6923" max="6923"/>
    <col width="10" customWidth="1" style="55" min="6924" max="6924"/>
    <col width="9.1640625" customWidth="1" style="55" min="6925" max="7148"/>
    <col width="25.6640625" customWidth="1" style="55" min="7149" max="7149"/>
    <col width="9" customWidth="1" style="55" min="7150" max="7150"/>
    <col width="22" customWidth="1" style="55" min="7151" max="7151"/>
    <col width="4.5" customWidth="1" style="55" min="7152" max="7152"/>
    <col width="13.33203125" customWidth="1" style="55" min="7153" max="7153"/>
    <col width="14.1640625" customWidth="1" style="55" min="7154" max="7154"/>
    <col width="9.33203125" customWidth="1" style="55" min="7155" max="7155"/>
    <col width="11.1640625" customWidth="1" style="55" min="7156" max="7156"/>
    <col width="9.1640625" customWidth="1" style="55" min="7157" max="7157"/>
    <col width="10.33203125" customWidth="1" style="55" min="7158" max="7158"/>
    <col width="7.6640625" customWidth="1" style="55" min="7159" max="7159"/>
    <col width="12.6640625" customWidth="1" style="55" min="7160" max="7160"/>
    <col width="10.6640625" customWidth="1" style="55" min="7161" max="7161"/>
    <col width="12.83203125" customWidth="1" style="55" min="7162" max="7162"/>
    <col width="10.83203125" customWidth="1" style="55" min="7163" max="7163"/>
    <col width="12.5" customWidth="1" style="55" min="7164" max="7164"/>
    <col width="10.5" customWidth="1" style="55" min="7165" max="7165"/>
    <col width="13.1640625" customWidth="1" style="55" min="7166" max="7166"/>
    <col width="9.83203125" customWidth="1" style="55" min="7167" max="7167"/>
    <col width="13.6640625" customWidth="1" style="55" min="7168" max="7168"/>
    <col width="9.5" customWidth="1" style="55" min="7169" max="7169"/>
    <col width="12.5" customWidth="1" style="55" min="7170" max="7170"/>
    <col width="10" customWidth="1" style="55" min="7171" max="7171"/>
    <col width="13" customWidth="1" style="55" min="7172" max="7172"/>
    <col width="11" customWidth="1" style="55" min="7173" max="7173"/>
    <col width="13.83203125" customWidth="1" style="55" min="7174" max="7174"/>
    <col width="11.33203125" customWidth="1" style="55" min="7175" max="7175"/>
    <col width="13" customWidth="1" style="55" min="7176" max="7176"/>
    <col width="9" customWidth="1" style="55" min="7177" max="7177"/>
    <col width="3.83203125" customWidth="1" style="55" min="7178" max="7178"/>
    <col width="18.5" customWidth="1" style="55" min="7179" max="7179"/>
    <col width="10" customWidth="1" style="55" min="7180" max="7180"/>
    <col width="9.1640625" customWidth="1" style="55" min="7181" max="7404"/>
    <col width="25.6640625" customWidth="1" style="55" min="7405" max="7405"/>
    <col width="9" customWidth="1" style="55" min="7406" max="7406"/>
    <col width="22" customWidth="1" style="55" min="7407" max="7407"/>
    <col width="4.5" customWidth="1" style="55" min="7408" max="7408"/>
    <col width="13.33203125" customWidth="1" style="55" min="7409" max="7409"/>
    <col width="14.1640625" customWidth="1" style="55" min="7410" max="7410"/>
    <col width="9.33203125" customWidth="1" style="55" min="7411" max="7411"/>
    <col width="11.1640625" customWidth="1" style="55" min="7412" max="7412"/>
    <col width="9.1640625" customWidth="1" style="55" min="7413" max="7413"/>
    <col width="10.33203125" customWidth="1" style="55" min="7414" max="7414"/>
    <col width="7.6640625" customWidth="1" style="55" min="7415" max="7415"/>
    <col width="12.6640625" customWidth="1" style="55" min="7416" max="7416"/>
    <col width="10.6640625" customWidth="1" style="55" min="7417" max="7417"/>
    <col width="12.83203125" customWidth="1" style="55" min="7418" max="7418"/>
    <col width="10.83203125" customWidth="1" style="55" min="7419" max="7419"/>
    <col width="12.5" customWidth="1" style="55" min="7420" max="7420"/>
    <col width="10.5" customWidth="1" style="55" min="7421" max="7421"/>
    <col width="13.1640625" customWidth="1" style="55" min="7422" max="7422"/>
    <col width="9.83203125" customWidth="1" style="55" min="7423" max="7423"/>
    <col width="13.6640625" customWidth="1" style="55" min="7424" max="7424"/>
    <col width="9.5" customWidth="1" style="55" min="7425" max="7425"/>
    <col width="12.5" customWidth="1" style="55" min="7426" max="7426"/>
    <col width="10" customWidth="1" style="55" min="7427" max="7427"/>
    <col width="13" customWidth="1" style="55" min="7428" max="7428"/>
    <col width="11" customWidth="1" style="55" min="7429" max="7429"/>
    <col width="13.83203125" customWidth="1" style="55" min="7430" max="7430"/>
    <col width="11.33203125" customWidth="1" style="55" min="7431" max="7431"/>
    <col width="13" customWidth="1" style="55" min="7432" max="7432"/>
    <col width="9" customWidth="1" style="55" min="7433" max="7433"/>
    <col width="3.83203125" customWidth="1" style="55" min="7434" max="7434"/>
    <col width="18.5" customWidth="1" style="55" min="7435" max="7435"/>
    <col width="10" customWidth="1" style="55" min="7436" max="7436"/>
    <col width="9.1640625" customWidth="1" style="55" min="7437" max="7660"/>
    <col width="25.6640625" customWidth="1" style="55" min="7661" max="7661"/>
    <col width="9" customWidth="1" style="55" min="7662" max="7662"/>
    <col width="22" customWidth="1" style="55" min="7663" max="7663"/>
    <col width="4.5" customWidth="1" style="55" min="7664" max="7664"/>
    <col width="13.33203125" customWidth="1" style="55" min="7665" max="7665"/>
    <col width="14.1640625" customWidth="1" style="55" min="7666" max="7666"/>
    <col width="9.33203125" customWidth="1" style="55" min="7667" max="7667"/>
    <col width="11.1640625" customWidth="1" style="55" min="7668" max="7668"/>
    <col width="9.1640625" customWidth="1" style="55" min="7669" max="7669"/>
    <col width="10.33203125" customWidth="1" style="55" min="7670" max="7670"/>
    <col width="7.6640625" customWidth="1" style="55" min="7671" max="7671"/>
    <col width="12.6640625" customWidth="1" style="55" min="7672" max="7672"/>
    <col width="10.6640625" customWidth="1" style="55" min="7673" max="7673"/>
    <col width="12.83203125" customWidth="1" style="55" min="7674" max="7674"/>
    <col width="10.83203125" customWidth="1" style="55" min="7675" max="7675"/>
    <col width="12.5" customWidth="1" style="55" min="7676" max="7676"/>
    <col width="10.5" customWidth="1" style="55" min="7677" max="7677"/>
    <col width="13.1640625" customWidth="1" style="55" min="7678" max="7678"/>
    <col width="9.83203125" customWidth="1" style="55" min="7679" max="7679"/>
    <col width="13.6640625" customWidth="1" style="55" min="7680" max="7680"/>
    <col width="9.5" customWidth="1" style="55" min="7681" max="7681"/>
    <col width="12.5" customWidth="1" style="55" min="7682" max="7682"/>
    <col width="10" customWidth="1" style="55" min="7683" max="7683"/>
    <col width="13" customWidth="1" style="55" min="7684" max="7684"/>
    <col width="11" customWidth="1" style="55" min="7685" max="7685"/>
    <col width="13.83203125" customWidth="1" style="55" min="7686" max="7686"/>
    <col width="11.33203125" customWidth="1" style="55" min="7687" max="7687"/>
    <col width="13" customWidth="1" style="55" min="7688" max="7688"/>
    <col width="9" customWidth="1" style="55" min="7689" max="7689"/>
    <col width="3.83203125" customWidth="1" style="55" min="7690" max="7690"/>
    <col width="18.5" customWidth="1" style="55" min="7691" max="7691"/>
    <col width="10" customWidth="1" style="55" min="7692" max="7692"/>
    <col width="9.1640625" customWidth="1" style="55" min="7693" max="7916"/>
    <col width="25.6640625" customWidth="1" style="55" min="7917" max="7917"/>
    <col width="9" customWidth="1" style="55" min="7918" max="7918"/>
    <col width="22" customWidth="1" style="55" min="7919" max="7919"/>
    <col width="4.5" customWidth="1" style="55" min="7920" max="7920"/>
    <col width="13.33203125" customWidth="1" style="55" min="7921" max="7921"/>
    <col width="14.1640625" customWidth="1" style="55" min="7922" max="7922"/>
    <col width="9.33203125" customWidth="1" style="55" min="7923" max="7923"/>
    <col width="11.1640625" customWidth="1" style="55" min="7924" max="7924"/>
    <col width="9.1640625" customWidth="1" style="55" min="7925" max="7925"/>
    <col width="10.33203125" customWidth="1" style="55" min="7926" max="7926"/>
    <col width="7.6640625" customWidth="1" style="55" min="7927" max="7927"/>
    <col width="12.6640625" customWidth="1" style="55" min="7928" max="7928"/>
    <col width="10.6640625" customWidth="1" style="55" min="7929" max="7929"/>
    <col width="12.83203125" customWidth="1" style="55" min="7930" max="7930"/>
    <col width="10.83203125" customWidth="1" style="55" min="7931" max="7931"/>
    <col width="12.5" customWidth="1" style="55" min="7932" max="7932"/>
    <col width="10.5" customWidth="1" style="55" min="7933" max="7933"/>
    <col width="13.1640625" customWidth="1" style="55" min="7934" max="7934"/>
    <col width="9.83203125" customWidth="1" style="55" min="7935" max="7935"/>
    <col width="13.6640625" customWidth="1" style="55" min="7936" max="7936"/>
    <col width="9.5" customWidth="1" style="55" min="7937" max="7937"/>
    <col width="12.5" customWidth="1" style="55" min="7938" max="7938"/>
    <col width="10" customWidth="1" style="55" min="7939" max="7939"/>
    <col width="13" customWidth="1" style="55" min="7940" max="7940"/>
    <col width="11" customWidth="1" style="55" min="7941" max="7941"/>
    <col width="13.83203125" customWidth="1" style="55" min="7942" max="7942"/>
    <col width="11.33203125" customWidth="1" style="55" min="7943" max="7943"/>
    <col width="13" customWidth="1" style="55" min="7944" max="7944"/>
    <col width="9" customWidth="1" style="55" min="7945" max="7945"/>
    <col width="3.83203125" customWidth="1" style="55" min="7946" max="7946"/>
    <col width="18.5" customWidth="1" style="55" min="7947" max="7947"/>
    <col width="10" customWidth="1" style="55" min="7948" max="7948"/>
    <col width="9.1640625" customWidth="1" style="55" min="7949" max="8172"/>
    <col width="25.6640625" customWidth="1" style="55" min="8173" max="8173"/>
    <col width="9" customWidth="1" style="55" min="8174" max="8174"/>
    <col width="22" customWidth="1" style="55" min="8175" max="8175"/>
    <col width="4.5" customWidth="1" style="55" min="8176" max="8176"/>
    <col width="13.33203125" customWidth="1" style="55" min="8177" max="8177"/>
    <col width="14.1640625" customWidth="1" style="55" min="8178" max="8178"/>
    <col width="9.33203125" customWidth="1" style="55" min="8179" max="8179"/>
    <col width="11.1640625" customWidth="1" style="55" min="8180" max="8180"/>
    <col width="9.1640625" customWidth="1" style="55" min="8181" max="8181"/>
    <col width="10.33203125" customWidth="1" style="55" min="8182" max="8182"/>
    <col width="7.6640625" customWidth="1" style="55" min="8183" max="8183"/>
    <col width="12.6640625" customWidth="1" style="55" min="8184" max="8184"/>
    <col width="10.6640625" customWidth="1" style="55" min="8185" max="8185"/>
    <col width="12.83203125" customWidth="1" style="55" min="8186" max="8186"/>
    <col width="10.83203125" customWidth="1" style="55" min="8187" max="8187"/>
    <col width="12.5" customWidth="1" style="55" min="8188" max="8188"/>
    <col width="10.5" customWidth="1" style="55" min="8189" max="8189"/>
    <col width="13.1640625" customWidth="1" style="55" min="8190" max="8190"/>
    <col width="9.83203125" customWidth="1" style="55" min="8191" max="8191"/>
    <col width="13.6640625" customWidth="1" style="55" min="8192" max="8192"/>
    <col width="9.5" customWidth="1" style="55" min="8193" max="8193"/>
    <col width="12.5" customWidth="1" style="55" min="8194" max="8194"/>
    <col width="10" customWidth="1" style="55" min="8195" max="8195"/>
    <col width="13" customWidth="1" style="55" min="8196" max="8196"/>
    <col width="11" customWidth="1" style="55" min="8197" max="8197"/>
    <col width="13.83203125" customWidth="1" style="55" min="8198" max="8198"/>
    <col width="11.33203125" customWidth="1" style="55" min="8199" max="8199"/>
    <col width="13" customWidth="1" style="55" min="8200" max="8200"/>
    <col width="9" customWidth="1" style="55" min="8201" max="8201"/>
    <col width="3.83203125" customWidth="1" style="55" min="8202" max="8202"/>
    <col width="18.5" customWidth="1" style="55" min="8203" max="8203"/>
    <col width="10" customWidth="1" style="55" min="8204" max="8204"/>
    <col width="9.1640625" customWidth="1" style="55" min="8205" max="8428"/>
    <col width="25.6640625" customWidth="1" style="55" min="8429" max="8429"/>
    <col width="9" customWidth="1" style="55" min="8430" max="8430"/>
    <col width="22" customWidth="1" style="55" min="8431" max="8431"/>
    <col width="4.5" customWidth="1" style="55" min="8432" max="8432"/>
    <col width="13.33203125" customWidth="1" style="55" min="8433" max="8433"/>
    <col width="14.1640625" customWidth="1" style="55" min="8434" max="8434"/>
    <col width="9.33203125" customWidth="1" style="55" min="8435" max="8435"/>
    <col width="11.1640625" customWidth="1" style="55" min="8436" max="8436"/>
    <col width="9.1640625" customWidth="1" style="55" min="8437" max="8437"/>
    <col width="10.33203125" customWidth="1" style="55" min="8438" max="8438"/>
    <col width="7.6640625" customWidth="1" style="55" min="8439" max="8439"/>
    <col width="12.6640625" customWidth="1" style="55" min="8440" max="8440"/>
    <col width="10.6640625" customWidth="1" style="55" min="8441" max="8441"/>
    <col width="12.83203125" customWidth="1" style="55" min="8442" max="8442"/>
    <col width="10.83203125" customWidth="1" style="55" min="8443" max="8443"/>
    <col width="12.5" customWidth="1" style="55" min="8444" max="8444"/>
    <col width="10.5" customWidth="1" style="55" min="8445" max="8445"/>
    <col width="13.1640625" customWidth="1" style="55" min="8446" max="8446"/>
    <col width="9.83203125" customWidth="1" style="55" min="8447" max="8447"/>
    <col width="13.6640625" customWidth="1" style="55" min="8448" max="8448"/>
    <col width="9.5" customWidth="1" style="55" min="8449" max="8449"/>
    <col width="12.5" customWidth="1" style="55" min="8450" max="8450"/>
    <col width="10" customWidth="1" style="55" min="8451" max="8451"/>
    <col width="13" customWidth="1" style="55" min="8452" max="8452"/>
    <col width="11" customWidth="1" style="55" min="8453" max="8453"/>
    <col width="13.83203125" customWidth="1" style="55" min="8454" max="8454"/>
    <col width="11.33203125" customWidth="1" style="55" min="8455" max="8455"/>
    <col width="13" customWidth="1" style="55" min="8456" max="8456"/>
    <col width="9" customWidth="1" style="55" min="8457" max="8457"/>
    <col width="3.83203125" customWidth="1" style="55" min="8458" max="8458"/>
    <col width="18.5" customWidth="1" style="55" min="8459" max="8459"/>
    <col width="10" customWidth="1" style="55" min="8460" max="8460"/>
    <col width="9.1640625" customWidth="1" style="55" min="8461" max="8684"/>
    <col width="25.6640625" customWidth="1" style="55" min="8685" max="8685"/>
    <col width="9" customWidth="1" style="55" min="8686" max="8686"/>
    <col width="22" customWidth="1" style="55" min="8687" max="8687"/>
    <col width="4.5" customWidth="1" style="55" min="8688" max="8688"/>
    <col width="13.33203125" customWidth="1" style="55" min="8689" max="8689"/>
    <col width="14.1640625" customWidth="1" style="55" min="8690" max="8690"/>
    <col width="9.33203125" customWidth="1" style="55" min="8691" max="8691"/>
    <col width="11.1640625" customWidth="1" style="55" min="8692" max="8692"/>
    <col width="9.1640625" customWidth="1" style="55" min="8693" max="8693"/>
    <col width="10.33203125" customWidth="1" style="55" min="8694" max="8694"/>
    <col width="7.6640625" customWidth="1" style="55" min="8695" max="8695"/>
    <col width="12.6640625" customWidth="1" style="55" min="8696" max="8696"/>
    <col width="10.6640625" customWidth="1" style="55" min="8697" max="8697"/>
    <col width="12.83203125" customWidth="1" style="55" min="8698" max="8698"/>
    <col width="10.83203125" customWidth="1" style="55" min="8699" max="8699"/>
    <col width="12.5" customWidth="1" style="55" min="8700" max="8700"/>
    <col width="10.5" customWidth="1" style="55" min="8701" max="8701"/>
    <col width="13.1640625" customWidth="1" style="55" min="8702" max="8702"/>
    <col width="9.83203125" customWidth="1" style="55" min="8703" max="8703"/>
    <col width="13.6640625" customWidth="1" style="55" min="8704" max="8704"/>
    <col width="9.5" customWidth="1" style="55" min="8705" max="8705"/>
    <col width="12.5" customWidth="1" style="55" min="8706" max="8706"/>
    <col width="10" customWidth="1" style="55" min="8707" max="8707"/>
    <col width="13" customWidth="1" style="55" min="8708" max="8708"/>
    <col width="11" customWidth="1" style="55" min="8709" max="8709"/>
    <col width="13.83203125" customWidth="1" style="55" min="8710" max="8710"/>
    <col width="11.33203125" customWidth="1" style="55" min="8711" max="8711"/>
    <col width="13" customWidth="1" style="55" min="8712" max="8712"/>
    <col width="9" customWidth="1" style="55" min="8713" max="8713"/>
    <col width="3.83203125" customWidth="1" style="55" min="8714" max="8714"/>
    <col width="18.5" customWidth="1" style="55" min="8715" max="8715"/>
    <col width="10" customWidth="1" style="55" min="8716" max="8716"/>
    <col width="9.1640625" customWidth="1" style="55" min="8717" max="8940"/>
    <col width="25.6640625" customWidth="1" style="55" min="8941" max="8941"/>
    <col width="9" customWidth="1" style="55" min="8942" max="8942"/>
    <col width="22" customWidth="1" style="55" min="8943" max="8943"/>
    <col width="4.5" customWidth="1" style="55" min="8944" max="8944"/>
    <col width="13.33203125" customWidth="1" style="55" min="8945" max="8945"/>
    <col width="14.1640625" customWidth="1" style="55" min="8946" max="8946"/>
    <col width="9.33203125" customWidth="1" style="55" min="8947" max="8947"/>
    <col width="11.1640625" customWidth="1" style="55" min="8948" max="8948"/>
    <col width="9.1640625" customWidth="1" style="55" min="8949" max="8949"/>
    <col width="10.33203125" customWidth="1" style="55" min="8950" max="8950"/>
    <col width="7.6640625" customWidth="1" style="55" min="8951" max="8951"/>
    <col width="12.6640625" customWidth="1" style="55" min="8952" max="8952"/>
    <col width="10.6640625" customWidth="1" style="55" min="8953" max="8953"/>
    <col width="12.83203125" customWidth="1" style="55" min="8954" max="8954"/>
    <col width="10.83203125" customWidth="1" style="55" min="8955" max="8955"/>
    <col width="12.5" customWidth="1" style="55" min="8956" max="8956"/>
    <col width="10.5" customWidth="1" style="55" min="8957" max="8957"/>
    <col width="13.1640625" customWidth="1" style="55" min="8958" max="8958"/>
    <col width="9.83203125" customWidth="1" style="55" min="8959" max="8959"/>
    <col width="13.6640625" customWidth="1" style="55" min="8960" max="8960"/>
    <col width="9.5" customWidth="1" style="55" min="8961" max="8961"/>
    <col width="12.5" customWidth="1" style="55" min="8962" max="8962"/>
    <col width="10" customWidth="1" style="55" min="8963" max="8963"/>
    <col width="13" customWidth="1" style="55" min="8964" max="8964"/>
    <col width="11" customWidth="1" style="55" min="8965" max="8965"/>
    <col width="13.83203125" customWidth="1" style="55" min="8966" max="8966"/>
    <col width="11.33203125" customWidth="1" style="55" min="8967" max="8967"/>
    <col width="13" customWidth="1" style="55" min="8968" max="8968"/>
    <col width="9" customWidth="1" style="55" min="8969" max="8969"/>
    <col width="3.83203125" customWidth="1" style="55" min="8970" max="8970"/>
    <col width="18.5" customWidth="1" style="55" min="8971" max="8971"/>
    <col width="10" customWidth="1" style="55" min="8972" max="8972"/>
    <col width="9.1640625" customWidth="1" style="55" min="8973" max="9196"/>
    <col width="25.6640625" customWidth="1" style="55" min="9197" max="9197"/>
    <col width="9" customWidth="1" style="55" min="9198" max="9198"/>
    <col width="22" customWidth="1" style="55" min="9199" max="9199"/>
    <col width="4.5" customWidth="1" style="55" min="9200" max="9200"/>
    <col width="13.33203125" customWidth="1" style="55" min="9201" max="9201"/>
    <col width="14.1640625" customWidth="1" style="55" min="9202" max="9202"/>
    <col width="9.33203125" customWidth="1" style="55" min="9203" max="9203"/>
    <col width="11.1640625" customWidth="1" style="55" min="9204" max="9204"/>
    <col width="9.1640625" customWidth="1" style="55" min="9205" max="9205"/>
    <col width="10.33203125" customWidth="1" style="55" min="9206" max="9206"/>
    <col width="7.6640625" customWidth="1" style="55" min="9207" max="9207"/>
    <col width="12.6640625" customWidth="1" style="55" min="9208" max="9208"/>
    <col width="10.6640625" customWidth="1" style="55" min="9209" max="9209"/>
    <col width="12.83203125" customWidth="1" style="55" min="9210" max="9210"/>
    <col width="10.83203125" customWidth="1" style="55" min="9211" max="9211"/>
    <col width="12.5" customWidth="1" style="55" min="9212" max="9212"/>
    <col width="10.5" customWidth="1" style="55" min="9213" max="9213"/>
    <col width="13.1640625" customWidth="1" style="55" min="9214" max="9214"/>
    <col width="9.83203125" customWidth="1" style="55" min="9215" max="9215"/>
    <col width="13.6640625" customWidth="1" style="55" min="9216" max="9216"/>
    <col width="9.5" customWidth="1" style="55" min="9217" max="9217"/>
    <col width="12.5" customWidth="1" style="55" min="9218" max="9218"/>
    <col width="10" customWidth="1" style="55" min="9219" max="9219"/>
    <col width="13" customWidth="1" style="55" min="9220" max="9220"/>
    <col width="11" customWidth="1" style="55" min="9221" max="9221"/>
    <col width="13.83203125" customWidth="1" style="55" min="9222" max="9222"/>
    <col width="11.33203125" customWidth="1" style="55" min="9223" max="9223"/>
    <col width="13" customWidth="1" style="55" min="9224" max="9224"/>
    <col width="9" customWidth="1" style="55" min="9225" max="9225"/>
    <col width="3.83203125" customWidth="1" style="55" min="9226" max="9226"/>
    <col width="18.5" customWidth="1" style="55" min="9227" max="9227"/>
    <col width="10" customWidth="1" style="55" min="9228" max="9228"/>
    <col width="9.1640625" customWidth="1" style="55" min="9229" max="9452"/>
    <col width="25.6640625" customWidth="1" style="55" min="9453" max="9453"/>
    <col width="9" customWidth="1" style="55" min="9454" max="9454"/>
    <col width="22" customWidth="1" style="55" min="9455" max="9455"/>
    <col width="4.5" customWidth="1" style="55" min="9456" max="9456"/>
    <col width="13.33203125" customWidth="1" style="55" min="9457" max="9457"/>
    <col width="14.1640625" customWidth="1" style="55" min="9458" max="9458"/>
    <col width="9.33203125" customWidth="1" style="55" min="9459" max="9459"/>
    <col width="11.1640625" customWidth="1" style="55" min="9460" max="9460"/>
    <col width="9.1640625" customWidth="1" style="55" min="9461" max="9461"/>
    <col width="10.33203125" customWidth="1" style="55" min="9462" max="9462"/>
    <col width="7.6640625" customWidth="1" style="55" min="9463" max="9463"/>
    <col width="12.6640625" customWidth="1" style="55" min="9464" max="9464"/>
    <col width="10.6640625" customWidth="1" style="55" min="9465" max="9465"/>
    <col width="12.83203125" customWidth="1" style="55" min="9466" max="9466"/>
    <col width="10.83203125" customWidth="1" style="55" min="9467" max="9467"/>
    <col width="12.5" customWidth="1" style="55" min="9468" max="9468"/>
    <col width="10.5" customWidth="1" style="55" min="9469" max="9469"/>
    <col width="13.1640625" customWidth="1" style="55" min="9470" max="9470"/>
    <col width="9.83203125" customWidth="1" style="55" min="9471" max="9471"/>
    <col width="13.6640625" customWidth="1" style="55" min="9472" max="9472"/>
    <col width="9.5" customWidth="1" style="55" min="9473" max="9473"/>
    <col width="12.5" customWidth="1" style="55" min="9474" max="9474"/>
    <col width="10" customWidth="1" style="55" min="9475" max="9475"/>
    <col width="13" customWidth="1" style="55" min="9476" max="9476"/>
    <col width="11" customWidth="1" style="55" min="9477" max="9477"/>
    <col width="13.83203125" customWidth="1" style="55" min="9478" max="9478"/>
    <col width="11.33203125" customWidth="1" style="55" min="9479" max="9479"/>
    <col width="13" customWidth="1" style="55" min="9480" max="9480"/>
    <col width="9" customWidth="1" style="55" min="9481" max="9481"/>
    <col width="3.83203125" customWidth="1" style="55" min="9482" max="9482"/>
    <col width="18.5" customWidth="1" style="55" min="9483" max="9483"/>
    <col width="10" customWidth="1" style="55" min="9484" max="9484"/>
    <col width="9.1640625" customWidth="1" style="55" min="9485" max="9708"/>
    <col width="25.6640625" customWidth="1" style="55" min="9709" max="9709"/>
    <col width="9" customWidth="1" style="55" min="9710" max="9710"/>
    <col width="22" customWidth="1" style="55" min="9711" max="9711"/>
    <col width="4.5" customWidth="1" style="55" min="9712" max="9712"/>
    <col width="13.33203125" customWidth="1" style="55" min="9713" max="9713"/>
    <col width="14.1640625" customWidth="1" style="55" min="9714" max="9714"/>
    <col width="9.33203125" customWidth="1" style="55" min="9715" max="9715"/>
    <col width="11.1640625" customWidth="1" style="55" min="9716" max="9716"/>
    <col width="9.1640625" customWidth="1" style="55" min="9717" max="9717"/>
    <col width="10.33203125" customWidth="1" style="55" min="9718" max="9718"/>
    <col width="7.6640625" customWidth="1" style="55" min="9719" max="9719"/>
    <col width="12.6640625" customWidth="1" style="55" min="9720" max="9720"/>
    <col width="10.6640625" customWidth="1" style="55" min="9721" max="9721"/>
    <col width="12.83203125" customWidth="1" style="55" min="9722" max="9722"/>
    <col width="10.83203125" customWidth="1" style="55" min="9723" max="9723"/>
    <col width="12.5" customWidth="1" style="55" min="9724" max="9724"/>
    <col width="10.5" customWidth="1" style="55" min="9725" max="9725"/>
    <col width="13.1640625" customWidth="1" style="55" min="9726" max="9726"/>
    <col width="9.83203125" customWidth="1" style="55" min="9727" max="9727"/>
    <col width="13.6640625" customWidth="1" style="55" min="9728" max="9728"/>
    <col width="9.5" customWidth="1" style="55" min="9729" max="9729"/>
    <col width="12.5" customWidth="1" style="55" min="9730" max="9730"/>
    <col width="10" customWidth="1" style="55" min="9731" max="9731"/>
    <col width="13" customWidth="1" style="55" min="9732" max="9732"/>
    <col width="11" customWidth="1" style="55" min="9733" max="9733"/>
    <col width="13.83203125" customWidth="1" style="55" min="9734" max="9734"/>
    <col width="11.33203125" customWidth="1" style="55" min="9735" max="9735"/>
    <col width="13" customWidth="1" style="55" min="9736" max="9736"/>
    <col width="9" customWidth="1" style="55" min="9737" max="9737"/>
    <col width="3.83203125" customWidth="1" style="55" min="9738" max="9738"/>
    <col width="18.5" customWidth="1" style="55" min="9739" max="9739"/>
    <col width="10" customWidth="1" style="55" min="9740" max="9740"/>
    <col width="9.1640625" customWidth="1" style="55" min="9741" max="9964"/>
    <col width="25.6640625" customWidth="1" style="55" min="9965" max="9965"/>
    <col width="9" customWidth="1" style="55" min="9966" max="9966"/>
    <col width="22" customWidth="1" style="55" min="9967" max="9967"/>
    <col width="4.5" customWidth="1" style="55" min="9968" max="9968"/>
    <col width="13.33203125" customWidth="1" style="55" min="9969" max="9969"/>
    <col width="14.1640625" customWidth="1" style="55" min="9970" max="9970"/>
    <col width="9.33203125" customWidth="1" style="55" min="9971" max="9971"/>
    <col width="11.1640625" customWidth="1" style="55" min="9972" max="9972"/>
    <col width="9.1640625" customWidth="1" style="55" min="9973" max="9973"/>
    <col width="10.33203125" customWidth="1" style="55" min="9974" max="9974"/>
    <col width="7.6640625" customWidth="1" style="55" min="9975" max="9975"/>
    <col width="12.6640625" customWidth="1" style="55" min="9976" max="9976"/>
    <col width="10.6640625" customWidth="1" style="55" min="9977" max="9977"/>
    <col width="12.83203125" customWidth="1" style="55" min="9978" max="9978"/>
    <col width="10.83203125" customWidth="1" style="55" min="9979" max="9979"/>
    <col width="12.5" customWidth="1" style="55" min="9980" max="9980"/>
    <col width="10.5" customWidth="1" style="55" min="9981" max="9981"/>
    <col width="13.1640625" customWidth="1" style="55" min="9982" max="9982"/>
    <col width="9.83203125" customWidth="1" style="55" min="9983" max="9983"/>
    <col width="13.6640625" customWidth="1" style="55" min="9984" max="9984"/>
    <col width="9.5" customWidth="1" style="55" min="9985" max="9985"/>
    <col width="12.5" customWidth="1" style="55" min="9986" max="9986"/>
    <col width="10" customWidth="1" style="55" min="9987" max="9987"/>
    <col width="13" customWidth="1" style="55" min="9988" max="9988"/>
    <col width="11" customWidth="1" style="55" min="9989" max="9989"/>
    <col width="13.83203125" customWidth="1" style="55" min="9990" max="9990"/>
    <col width="11.33203125" customWidth="1" style="55" min="9991" max="9991"/>
    <col width="13" customWidth="1" style="55" min="9992" max="9992"/>
    <col width="9" customWidth="1" style="55" min="9993" max="9993"/>
    <col width="3.83203125" customWidth="1" style="55" min="9994" max="9994"/>
    <col width="18.5" customWidth="1" style="55" min="9995" max="9995"/>
    <col width="10" customWidth="1" style="55" min="9996" max="9996"/>
    <col width="9.1640625" customWidth="1" style="55" min="9997" max="10220"/>
    <col width="25.6640625" customWidth="1" style="55" min="10221" max="10221"/>
    <col width="9" customWidth="1" style="55" min="10222" max="10222"/>
    <col width="22" customWidth="1" style="55" min="10223" max="10223"/>
    <col width="4.5" customWidth="1" style="55" min="10224" max="10224"/>
    <col width="13.33203125" customWidth="1" style="55" min="10225" max="10225"/>
    <col width="14.1640625" customWidth="1" style="55" min="10226" max="10226"/>
    <col width="9.33203125" customWidth="1" style="55" min="10227" max="10227"/>
    <col width="11.1640625" customWidth="1" style="55" min="10228" max="10228"/>
    <col width="9.1640625" customWidth="1" style="55" min="10229" max="10229"/>
    <col width="10.33203125" customWidth="1" style="55" min="10230" max="10230"/>
    <col width="7.6640625" customWidth="1" style="55" min="10231" max="10231"/>
    <col width="12.6640625" customWidth="1" style="55" min="10232" max="10232"/>
    <col width="10.6640625" customWidth="1" style="55" min="10233" max="10233"/>
    <col width="12.83203125" customWidth="1" style="55" min="10234" max="10234"/>
    <col width="10.83203125" customWidth="1" style="55" min="10235" max="10235"/>
    <col width="12.5" customWidth="1" style="55" min="10236" max="10236"/>
    <col width="10.5" customWidth="1" style="55" min="10237" max="10237"/>
    <col width="13.1640625" customWidth="1" style="55" min="10238" max="10238"/>
    <col width="9.83203125" customWidth="1" style="55" min="10239" max="10239"/>
    <col width="13.6640625" customWidth="1" style="55" min="10240" max="10240"/>
    <col width="9.5" customWidth="1" style="55" min="10241" max="10241"/>
    <col width="12.5" customWidth="1" style="55" min="10242" max="10242"/>
    <col width="10" customWidth="1" style="55" min="10243" max="10243"/>
    <col width="13" customWidth="1" style="55" min="10244" max="10244"/>
    <col width="11" customWidth="1" style="55" min="10245" max="10245"/>
    <col width="13.83203125" customWidth="1" style="55" min="10246" max="10246"/>
    <col width="11.33203125" customWidth="1" style="55" min="10247" max="10247"/>
    <col width="13" customWidth="1" style="55" min="10248" max="10248"/>
    <col width="9" customWidth="1" style="55" min="10249" max="10249"/>
    <col width="3.83203125" customWidth="1" style="55" min="10250" max="10250"/>
    <col width="18.5" customWidth="1" style="55" min="10251" max="10251"/>
    <col width="10" customWidth="1" style="55" min="10252" max="10252"/>
    <col width="9.1640625" customWidth="1" style="55" min="10253" max="10476"/>
    <col width="25.6640625" customWidth="1" style="55" min="10477" max="10477"/>
    <col width="9" customWidth="1" style="55" min="10478" max="10478"/>
    <col width="22" customWidth="1" style="55" min="10479" max="10479"/>
    <col width="4.5" customWidth="1" style="55" min="10480" max="10480"/>
    <col width="13.33203125" customWidth="1" style="55" min="10481" max="10481"/>
    <col width="14.1640625" customWidth="1" style="55" min="10482" max="10482"/>
    <col width="9.33203125" customWidth="1" style="55" min="10483" max="10483"/>
    <col width="11.1640625" customWidth="1" style="55" min="10484" max="10484"/>
    <col width="9.1640625" customWidth="1" style="55" min="10485" max="10485"/>
    <col width="10.33203125" customWidth="1" style="55" min="10486" max="10486"/>
    <col width="7.6640625" customWidth="1" style="55" min="10487" max="10487"/>
    <col width="12.6640625" customWidth="1" style="55" min="10488" max="10488"/>
    <col width="10.6640625" customWidth="1" style="55" min="10489" max="10489"/>
    <col width="12.83203125" customWidth="1" style="55" min="10490" max="10490"/>
    <col width="10.83203125" customWidth="1" style="55" min="10491" max="10491"/>
    <col width="12.5" customWidth="1" style="55" min="10492" max="10492"/>
    <col width="10.5" customWidth="1" style="55" min="10493" max="10493"/>
    <col width="13.1640625" customWidth="1" style="55" min="10494" max="10494"/>
    <col width="9.83203125" customWidth="1" style="55" min="10495" max="10495"/>
    <col width="13.6640625" customWidth="1" style="55" min="10496" max="10496"/>
    <col width="9.5" customWidth="1" style="55" min="10497" max="10497"/>
    <col width="12.5" customWidth="1" style="55" min="10498" max="10498"/>
    <col width="10" customWidth="1" style="55" min="10499" max="10499"/>
    <col width="13" customWidth="1" style="55" min="10500" max="10500"/>
    <col width="11" customWidth="1" style="55" min="10501" max="10501"/>
    <col width="13.83203125" customWidth="1" style="55" min="10502" max="10502"/>
    <col width="11.33203125" customWidth="1" style="55" min="10503" max="10503"/>
    <col width="13" customWidth="1" style="55" min="10504" max="10504"/>
    <col width="9" customWidth="1" style="55" min="10505" max="10505"/>
    <col width="3.83203125" customWidth="1" style="55" min="10506" max="10506"/>
    <col width="18.5" customWidth="1" style="55" min="10507" max="10507"/>
    <col width="10" customWidth="1" style="55" min="10508" max="10508"/>
    <col width="9.1640625" customWidth="1" style="55" min="10509" max="10732"/>
    <col width="25.6640625" customWidth="1" style="55" min="10733" max="10733"/>
    <col width="9" customWidth="1" style="55" min="10734" max="10734"/>
    <col width="22" customWidth="1" style="55" min="10735" max="10735"/>
    <col width="4.5" customWidth="1" style="55" min="10736" max="10736"/>
    <col width="13.33203125" customWidth="1" style="55" min="10737" max="10737"/>
    <col width="14.1640625" customWidth="1" style="55" min="10738" max="10738"/>
    <col width="9.33203125" customWidth="1" style="55" min="10739" max="10739"/>
    <col width="11.1640625" customWidth="1" style="55" min="10740" max="10740"/>
    <col width="9.1640625" customWidth="1" style="55" min="10741" max="10741"/>
    <col width="10.33203125" customWidth="1" style="55" min="10742" max="10742"/>
    <col width="7.6640625" customWidth="1" style="55" min="10743" max="10743"/>
    <col width="12.6640625" customWidth="1" style="55" min="10744" max="10744"/>
    <col width="10.6640625" customWidth="1" style="55" min="10745" max="10745"/>
    <col width="12.83203125" customWidth="1" style="55" min="10746" max="10746"/>
    <col width="10.83203125" customWidth="1" style="55" min="10747" max="10747"/>
    <col width="12.5" customWidth="1" style="55" min="10748" max="10748"/>
    <col width="10.5" customWidth="1" style="55" min="10749" max="10749"/>
    <col width="13.1640625" customWidth="1" style="55" min="10750" max="10750"/>
    <col width="9.83203125" customWidth="1" style="55" min="10751" max="10751"/>
    <col width="13.6640625" customWidth="1" style="55" min="10752" max="10752"/>
    <col width="9.5" customWidth="1" style="55" min="10753" max="10753"/>
    <col width="12.5" customWidth="1" style="55" min="10754" max="10754"/>
    <col width="10" customWidth="1" style="55" min="10755" max="10755"/>
    <col width="13" customWidth="1" style="55" min="10756" max="10756"/>
    <col width="11" customWidth="1" style="55" min="10757" max="10757"/>
    <col width="13.83203125" customWidth="1" style="55" min="10758" max="10758"/>
    <col width="11.33203125" customWidth="1" style="55" min="10759" max="10759"/>
    <col width="13" customWidth="1" style="55" min="10760" max="10760"/>
    <col width="9" customWidth="1" style="55" min="10761" max="10761"/>
    <col width="3.83203125" customWidth="1" style="55" min="10762" max="10762"/>
    <col width="18.5" customWidth="1" style="55" min="10763" max="10763"/>
    <col width="10" customWidth="1" style="55" min="10764" max="10764"/>
    <col width="9.1640625" customWidth="1" style="55" min="10765" max="10988"/>
    <col width="25.6640625" customWidth="1" style="55" min="10989" max="10989"/>
    <col width="9" customWidth="1" style="55" min="10990" max="10990"/>
    <col width="22" customWidth="1" style="55" min="10991" max="10991"/>
    <col width="4.5" customWidth="1" style="55" min="10992" max="10992"/>
    <col width="13.33203125" customWidth="1" style="55" min="10993" max="10993"/>
    <col width="14.1640625" customWidth="1" style="55" min="10994" max="10994"/>
    <col width="9.33203125" customWidth="1" style="55" min="10995" max="10995"/>
    <col width="11.1640625" customWidth="1" style="55" min="10996" max="10996"/>
    <col width="9.1640625" customWidth="1" style="55" min="10997" max="10997"/>
    <col width="10.33203125" customWidth="1" style="55" min="10998" max="10998"/>
    <col width="7.6640625" customWidth="1" style="55" min="10999" max="10999"/>
    <col width="12.6640625" customWidth="1" style="55" min="11000" max="11000"/>
    <col width="10.6640625" customWidth="1" style="55" min="11001" max="11001"/>
    <col width="12.83203125" customWidth="1" style="55" min="11002" max="11002"/>
    <col width="10.83203125" customWidth="1" style="55" min="11003" max="11003"/>
    <col width="12.5" customWidth="1" style="55" min="11004" max="11004"/>
    <col width="10.5" customWidth="1" style="55" min="11005" max="11005"/>
    <col width="13.1640625" customWidth="1" style="55" min="11006" max="11006"/>
    <col width="9.83203125" customWidth="1" style="55" min="11007" max="11007"/>
    <col width="13.6640625" customWidth="1" style="55" min="11008" max="11008"/>
    <col width="9.5" customWidth="1" style="55" min="11009" max="11009"/>
    <col width="12.5" customWidth="1" style="55" min="11010" max="11010"/>
    <col width="10" customWidth="1" style="55" min="11011" max="11011"/>
    <col width="13" customWidth="1" style="55" min="11012" max="11012"/>
    <col width="11" customWidth="1" style="55" min="11013" max="11013"/>
    <col width="13.83203125" customWidth="1" style="55" min="11014" max="11014"/>
    <col width="11.33203125" customWidth="1" style="55" min="11015" max="11015"/>
    <col width="13" customWidth="1" style="55" min="11016" max="11016"/>
    <col width="9" customWidth="1" style="55" min="11017" max="11017"/>
    <col width="3.83203125" customWidth="1" style="55" min="11018" max="11018"/>
    <col width="18.5" customWidth="1" style="55" min="11019" max="11019"/>
    <col width="10" customWidth="1" style="55" min="11020" max="11020"/>
    <col width="9.1640625" customWidth="1" style="55" min="11021" max="11244"/>
    <col width="25.6640625" customWidth="1" style="55" min="11245" max="11245"/>
    <col width="9" customWidth="1" style="55" min="11246" max="11246"/>
    <col width="22" customWidth="1" style="55" min="11247" max="11247"/>
    <col width="4.5" customWidth="1" style="55" min="11248" max="11248"/>
    <col width="13.33203125" customWidth="1" style="55" min="11249" max="11249"/>
    <col width="14.1640625" customWidth="1" style="55" min="11250" max="11250"/>
    <col width="9.33203125" customWidth="1" style="55" min="11251" max="11251"/>
    <col width="11.1640625" customWidth="1" style="55" min="11252" max="11252"/>
    <col width="9.1640625" customWidth="1" style="55" min="11253" max="11253"/>
    <col width="10.33203125" customWidth="1" style="55" min="11254" max="11254"/>
    <col width="7.6640625" customWidth="1" style="55" min="11255" max="11255"/>
    <col width="12.6640625" customWidth="1" style="55" min="11256" max="11256"/>
    <col width="10.6640625" customWidth="1" style="55" min="11257" max="11257"/>
    <col width="12.83203125" customWidth="1" style="55" min="11258" max="11258"/>
    <col width="10.83203125" customWidth="1" style="55" min="11259" max="11259"/>
    <col width="12.5" customWidth="1" style="55" min="11260" max="11260"/>
    <col width="10.5" customWidth="1" style="55" min="11261" max="11261"/>
    <col width="13.1640625" customWidth="1" style="55" min="11262" max="11262"/>
    <col width="9.83203125" customWidth="1" style="55" min="11263" max="11263"/>
    <col width="13.6640625" customWidth="1" style="55" min="11264" max="11264"/>
    <col width="9.5" customWidth="1" style="55" min="11265" max="11265"/>
    <col width="12.5" customWidth="1" style="55" min="11266" max="11266"/>
    <col width="10" customWidth="1" style="55" min="11267" max="11267"/>
    <col width="13" customWidth="1" style="55" min="11268" max="11268"/>
    <col width="11" customWidth="1" style="55" min="11269" max="11269"/>
    <col width="13.83203125" customWidth="1" style="55" min="11270" max="11270"/>
    <col width="11.33203125" customWidth="1" style="55" min="11271" max="11271"/>
    <col width="13" customWidth="1" style="55" min="11272" max="11272"/>
    <col width="9" customWidth="1" style="55" min="11273" max="11273"/>
    <col width="3.83203125" customWidth="1" style="55" min="11274" max="11274"/>
    <col width="18.5" customWidth="1" style="55" min="11275" max="11275"/>
    <col width="10" customWidth="1" style="55" min="11276" max="11276"/>
    <col width="9.1640625" customWidth="1" style="55" min="11277" max="11500"/>
    <col width="25.6640625" customWidth="1" style="55" min="11501" max="11501"/>
    <col width="9" customWidth="1" style="55" min="11502" max="11502"/>
    <col width="22" customWidth="1" style="55" min="11503" max="11503"/>
    <col width="4.5" customWidth="1" style="55" min="11504" max="11504"/>
    <col width="13.33203125" customWidth="1" style="55" min="11505" max="11505"/>
    <col width="14.1640625" customWidth="1" style="55" min="11506" max="11506"/>
    <col width="9.33203125" customWidth="1" style="55" min="11507" max="11507"/>
    <col width="11.1640625" customWidth="1" style="55" min="11508" max="11508"/>
    <col width="9.1640625" customWidth="1" style="55" min="11509" max="11509"/>
    <col width="10.33203125" customWidth="1" style="55" min="11510" max="11510"/>
    <col width="7.6640625" customWidth="1" style="55" min="11511" max="11511"/>
    <col width="12.6640625" customWidth="1" style="55" min="11512" max="11512"/>
    <col width="10.6640625" customWidth="1" style="55" min="11513" max="11513"/>
    <col width="12.83203125" customWidth="1" style="55" min="11514" max="11514"/>
    <col width="10.83203125" customWidth="1" style="55" min="11515" max="11515"/>
    <col width="12.5" customWidth="1" style="55" min="11516" max="11516"/>
    <col width="10.5" customWidth="1" style="55" min="11517" max="11517"/>
    <col width="13.1640625" customWidth="1" style="55" min="11518" max="11518"/>
    <col width="9.83203125" customWidth="1" style="55" min="11519" max="11519"/>
    <col width="13.6640625" customWidth="1" style="55" min="11520" max="11520"/>
    <col width="9.5" customWidth="1" style="55" min="11521" max="11521"/>
    <col width="12.5" customWidth="1" style="55" min="11522" max="11522"/>
    <col width="10" customWidth="1" style="55" min="11523" max="11523"/>
    <col width="13" customWidth="1" style="55" min="11524" max="11524"/>
    <col width="11" customWidth="1" style="55" min="11525" max="11525"/>
    <col width="13.83203125" customWidth="1" style="55" min="11526" max="11526"/>
    <col width="11.33203125" customWidth="1" style="55" min="11527" max="11527"/>
    <col width="13" customWidth="1" style="55" min="11528" max="11528"/>
    <col width="9" customWidth="1" style="55" min="11529" max="11529"/>
    <col width="3.83203125" customWidth="1" style="55" min="11530" max="11530"/>
    <col width="18.5" customWidth="1" style="55" min="11531" max="11531"/>
    <col width="10" customWidth="1" style="55" min="11532" max="11532"/>
    <col width="9.1640625" customWidth="1" style="55" min="11533" max="11756"/>
    <col width="25.6640625" customWidth="1" style="55" min="11757" max="11757"/>
    <col width="9" customWidth="1" style="55" min="11758" max="11758"/>
    <col width="22" customWidth="1" style="55" min="11759" max="11759"/>
    <col width="4.5" customWidth="1" style="55" min="11760" max="11760"/>
    <col width="13.33203125" customWidth="1" style="55" min="11761" max="11761"/>
    <col width="14.1640625" customWidth="1" style="55" min="11762" max="11762"/>
    <col width="9.33203125" customWidth="1" style="55" min="11763" max="11763"/>
    <col width="11.1640625" customWidth="1" style="55" min="11764" max="11764"/>
    <col width="9.1640625" customWidth="1" style="55" min="11765" max="11765"/>
    <col width="10.33203125" customWidth="1" style="55" min="11766" max="11766"/>
    <col width="7.6640625" customWidth="1" style="55" min="11767" max="11767"/>
    <col width="12.6640625" customWidth="1" style="55" min="11768" max="11768"/>
    <col width="10.6640625" customWidth="1" style="55" min="11769" max="11769"/>
    <col width="12.83203125" customWidth="1" style="55" min="11770" max="11770"/>
    <col width="10.83203125" customWidth="1" style="55" min="11771" max="11771"/>
    <col width="12.5" customWidth="1" style="55" min="11772" max="11772"/>
    <col width="10.5" customWidth="1" style="55" min="11773" max="11773"/>
    <col width="13.1640625" customWidth="1" style="55" min="11774" max="11774"/>
    <col width="9.83203125" customWidth="1" style="55" min="11775" max="11775"/>
    <col width="13.6640625" customWidth="1" style="55" min="11776" max="11776"/>
    <col width="9.5" customWidth="1" style="55" min="11777" max="11777"/>
    <col width="12.5" customWidth="1" style="55" min="11778" max="11778"/>
    <col width="10" customWidth="1" style="55" min="11779" max="11779"/>
    <col width="13" customWidth="1" style="55" min="11780" max="11780"/>
    <col width="11" customWidth="1" style="55" min="11781" max="11781"/>
    <col width="13.83203125" customWidth="1" style="55" min="11782" max="11782"/>
    <col width="11.33203125" customWidth="1" style="55" min="11783" max="11783"/>
    <col width="13" customWidth="1" style="55" min="11784" max="11784"/>
    <col width="9" customWidth="1" style="55" min="11785" max="11785"/>
    <col width="3.83203125" customWidth="1" style="55" min="11786" max="11786"/>
    <col width="18.5" customWidth="1" style="55" min="11787" max="11787"/>
    <col width="10" customWidth="1" style="55" min="11788" max="11788"/>
    <col width="9.1640625" customWidth="1" style="55" min="11789" max="12012"/>
    <col width="25.6640625" customWidth="1" style="55" min="12013" max="12013"/>
    <col width="9" customWidth="1" style="55" min="12014" max="12014"/>
    <col width="22" customWidth="1" style="55" min="12015" max="12015"/>
    <col width="4.5" customWidth="1" style="55" min="12016" max="12016"/>
    <col width="13.33203125" customWidth="1" style="55" min="12017" max="12017"/>
    <col width="14.1640625" customWidth="1" style="55" min="12018" max="12018"/>
    <col width="9.33203125" customWidth="1" style="55" min="12019" max="12019"/>
    <col width="11.1640625" customWidth="1" style="55" min="12020" max="12020"/>
    <col width="9.1640625" customWidth="1" style="55" min="12021" max="12021"/>
    <col width="10.33203125" customWidth="1" style="55" min="12022" max="12022"/>
    <col width="7.6640625" customWidth="1" style="55" min="12023" max="12023"/>
    <col width="12.6640625" customWidth="1" style="55" min="12024" max="12024"/>
    <col width="10.6640625" customWidth="1" style="55" min="12025" max="12025"/>
    <col width="12.83203125" customWidth="1" style="55" min="12026" max="12026"/>
    <col width="10.83203125" customWidth="1" style="55" min="12027" max="12027"/>
    <col width="12.5" customWidth="1" style="55" min="12028" max="12028"/>
    <col width="10.5" customWidth="1" style="55" min="12029" max="12029"/>
    <col width="13.1640625" customWidth="1" style="55" min="12030" max="12030"/>
    <col width="9.83203125" customWidth="1" style="55" min="12031" max="12031"/>
    <col width="13.6640625" customWidth="1" style="55" min="12032" max="12032"/>
    <col width="9.5" customWidth="1" style="55" min="12033" max="12033"/>
    <col width="12.5" customWidth="1" style="55" min="12034" max="12034"/>
    <col width="10" customWidth="1" style="55" min="12035" max="12035"/>
    <col width="13" customWidth="1" style="55" min="12036" max="12036"/>
    <col width="11" customWidth="1" style="55" min="12037" max="12037"/>
    <col width="13.83203125" customWidth="1" style="55" min="12038" max="12038"/>
    <col width="11.33203125" customWidth="1" style="55" min="12039" max="12039"/>
    <col width="13" customWidth="1" style="55" min="12040" max="12040"/>
    <col width="9" customWidth="1" style="55" min="12041" max="12041"/>
    <col width="3.83203125" customWidth="1" style="55" min="12042" max="12042"/>
    <col width="18.5" customWidth="1" style="55" min="12043" max="12043"/>
    <col width="10" customWidth="1" style="55" min="12044" max="12044"/>
    <col width="9.1640625" customWidth="1" style="55" min="12045" max="12268"/>
    <col width="25.6640625" customWidth="1" style="55" min="12269" max="12269"/>
    <col width="9" customWidth="1" style="55" min="12270" max="12270"/>
    <col width="22" customWidth="1" style="55" min="12271" max="12271"/>
    <col width="4.5" customWidth="1" style="55" min="12272" max="12272"/>
    <col width="13.33203125" customWidth="1" style="55" min="12273" max="12273"/>
    <col width="14.1640625" customWidth="1" style="55" min="12274" max="12274"/>
    <col width="9.33203125" customWidth="1" style="55" min="12275" max="12275"/>
    <col width="11.1640625" customWidth="1" style="55" min="12276" max="12276"/>
    <col width="9.1640625" customWidth="1" style="55" min="12277" max="12277"/>
    <col width="10.33203125" customWidth="1" style="55" min="12278" max="12278"/>
    <col width="7.6640625" customWidth="1" style="55" min="12279" max="12279"/>
    <col width="12.6640625" customWidth="1" style="55" min="12280" max="12280"/>
    <col width="10.6640625" customWidth="1" style="55" min="12281" max="12281"/>
    <col width="12.83203125" customWidth="1" style="55" min="12282" max="12282"/>
    <col width="10.83203125" customWidth="1" style="55" min="12283" max="12283"/>
    <col width="12.5" customWidth="1" style="55" min="12284" max="12284"/>
    <col width="10.5" customWidth="1" style="55" min="12285" max="12285"/>
    <col width="13.1640625" customWidth="1" style="55" min="12286" max="12286"/>
    <col width="9.83203125" customWidth="1" style="55" min="12287" max="12287"/>
    <col width="13.6640625" customWidth="1" style="55" min="12288" max="12288"/>
    <col width="9.5" customWidth="1" style="55" min="12289" max="12289"/>
    <col width="12.5" customWidth="1" style="55" min="12290" max="12290"/>
    <col width="10" customWidth="1" style="55" min="12291" max="12291"/>
    <col width="13" customWidth="1" style="55" min="12292" max="12292"/>
    <col width="11" customWidth="1" style="55" min="12293" max="12293"/>
    <col width="13.83203125" customWidth="1" style="55" min="12294" max="12294"/>
    <col width="11.33203125" customWidth="1" style="55" min="12295" max="12295"/>
    <col width="13" customWidth="1" style="55" min="12296" max="12296"/>
    <col width="9" customWidth="1" style="55" min="12297" max="12297"/>
    <col width="3.83203125" customWidth="1" style="55" min="12298" max="12298"/>
    <col width="18.5" customWidth="1" style="55" min="12299" max="12299"/>
    <col width="10" customWidth="1" style="55" min="12300" max="12300"/>
    <col width="9.1640625" customWidth="1" style="55" min="12301" max="12524"/>
    <col width="25.6640625" customWidth="1" style="55" min="12525" max="12525"/>
    <col width="9" customWidth="1" style="55" min="12526" max="12526"/>
    <col width="22" customWidth="1" style="55" min="12527" max="12527"/>
    <col width="4.5" customWidth="1" style="55" min="12528" max="12528"/>
    <col width="13.33203125" customWidth="1" style="55" min="12529" max="12529"/>
    <col width="14.1640625" customWidth="1" style="55" min="12530" max="12530"/>
    <col width="9.33203125" customWidth="1" style="55" min="12531" max="12531"/>
    <col width="11.1640625" customWidth="1" style="55" min="12532" max="12532"/>
    <col width="9.1640625" customWidth="1" style="55" min="12533" max="12533"/>
    <col width="10.33203125" customWidth="1" style="55" min="12534" max="12534"/>
    <col width="7.6640625" customWidth="1" style="55" min="12535" max="12535"/>
    <col width="12.6640625" customWidth="1" style="55" min="12536" max="12536"/>
    <col width="10.6640625" customWidth="1" style="55" min="12537" max="12537"/>
    <col width="12.83203125" customWidth="1" style="55" min="12538" max="12538"/>
    <col width="10.83203125" customWidth="1" style="55" min="12539" max="12539"/>
    <col width="12.5" customWidth="1" style="55" min="12540" max="12540"/>
    <col width="10.5" customWidth="1" style="55" min="12541" max="12541"/>
    <col width="13.1640625" customWidth="1" style="55" min="12542" max="12542"/>
    <col width="9.83203125" customWidth="1" style="55" min="12543" max="12543"/>
    <col width="13.6640625" customWidth="1" style="55" min="12544" max="12544"/>
    <col width="9.5" customWidth="1" style="55" min="12545" max="12545"/>
    <col width="12.5" customWidth="1" style="55" min="12546" max="12546"/>
    <col width="10" customWidth="1" style="55" min="12547" max="12547"/>
    <col width="13" customWidth="1" style="55" min="12548" max="12548"/>
    <col width="11" customWidth="1" style="55" min="12549" max="12549"/>
    <col width="13.83203125" customWidth="1" style="55" min="12550" max="12550"/>
    <col width="11.33203125" customWidth="1" style="55" min="12551" max="12551"/>
    <col width="13" customWidth="1" style="55" min="12552" max="12552"/>
    <col width="9" customWidth="1" style="55" min="12553" max="12553"/>
    <col width="3.83203125" customWidth="1" style="55" min="12554" max="12554"/>
    <col width="18.5" customWidth="1" style="55" min="12555" max="12555"/>
    <col width="10" customWidth="1" style="55" min="12556" max="12556"/>
    <col width="9.1640625" customWidth="1" style="55" min="12557" max="12780"/>
    <col width="25.6640625" customWidth="1" style="55" min="12781" max="12781"/>
    <col width="9" customWidth="1" style="55" min="12782" max="12782"/>
    <col width="22" customWidth="1" style="55" min="12783" max="12783"/>
    <col width="4.5" customWidth="1" style="55" min="12784" max="12784"/>
    <col width="13.33203125" customWidth="1" style="55" min="12785" max="12785"/>
    <col width="14.1640625" customWidth="1" style="55" min="12786" max="12786"/>
    <col width="9.33203125" customWidth="1" style="55" min="12787" max="12787"/>
    <col width="11.1640625" customWidth="1" style="55" min="12788" max="12788"/>
    <col width="9.1640625" customWidth="1" style="55" min="12789" max="12789"/>
    <col width="10.33203125" customWidth="1" style="55" min="12790" max="12790"/>
    <col width="7.6640625" customWidth="1" style="55" min="12791" max="12791"/>
    <col width="12.6640625" customWidth="1" style="55" min="12792" max="12792"/>
    <col width="10.6640625" customWidth="1" style="55" min="12793" max="12793"/>
    <col width="12.83203125" customWidth="1" style="55" min="12794" max="12794"/>
    <col width="10.83203125" customWidth="1" style="55" min="12795" max="12795"/>
    <col width="12.5" customWidth="1" style="55" min="12796" max="12796"/>
    <col width="10.5" customWidth="1" style="55" min="12797" max="12797"/>
    <col width="13.1640625" customWidth="1" style="55" min="12798" max="12798"/>
    <col width="9.83203125" customWidth="1" style="55" min="12799" max="12799"/>
    <col width="13.6640625" customWidth="1" style="55" min="12800" max="12800"/>
    <col width="9.5" customWidth="1" style="55" min="12801" max="12801"/>
    <col width="12.5" customWidth="1" style="55" min="12802" max="12802"/>
    <col width="10" customWidth="1" style="55" min="12803" max="12803"/>
    <col width="13" customWidth="1" style="55" min="12804" max="12804"/>
    <col width="11" customWidth="1" style="55" min="12805" max="12805"/>
    <col width="13.83203125" customWidth="1" style="55" min="12806" max="12806"/>
    <col width="11.33203125" customWidth="1" style="55" min="12807" max="12807"/>
    <col width="13" customWidth="1" style="55" min="12808" max="12808"/>
    <col width="9" customWidth="1" style="55" min="12809" max="12809"/>
    <col width="3.83203125" customWidth="1" style="55" min="12810" max="12810"/>
    <col width="18.5" customWidth="1" style="55" min="12811" max="12811"/>
    <col width="10" customWidth="1" style="55" min="12812" max="12812"/>
    <col width="9.1640625" customWidth="1" style="55" min="12813" max="13036"/>
    <col width="25.6640625" customWidth="1" style="55" min="13037" max="13037"/>
    <col width="9" customWidth="1" style="55" min="13038" max="13038"/>
    <col width="22" customWidth="1" style="55" min="13039" max="13039"/>
    <col width="4.5" customWidth="1" style="55" min="13040" max="13040"/>
    <col width="13.33203125" customWidth="1" style="55" min="13041" max="13041"/>
    <col width="14.1640625" customWidth="1" style="55" min="13042" max="13042"/>
    <col width="9.33203125" customWidth="1" style="55" min="13043" max="13043"/>
    <col width="11.1640625" customWidth="1" style="55" min="13044" max="13044"/>
    <col width="9.1640625" customWidth="1" style="55" min="13045" max="13045"/>
    <col width="10.33203125" customWidth="1" style="55" min="13046" max="13046"/>
    <col width="7.6640625" customWidth="1" style="55" min="13047" max="13047"/>
    <col width="12.6640625" customWidth="1" style="55" min="13048" max="13048"/>
    <col width="10.6640625" customWidth="1" style="55" min="13049" max="13049"/>
    <col width="12.83203125" customWidth="1" style="55" min="13050" max="13050"/>
    <col width="10.83203125" customWidth="1" style="55" min="13051" max="13051"/>
    <col width="12.5" customWidth="1" style="55" min="13052" max="13052"/>
    <col width="10.5" customWidth="1" style="55" min="13053" max="13053"/>
    <col width="13.1640625" customWidth="1" style="55" min="13054" max="13054"/>
    <col width="9.83203125" customWidth="1" style="55" min="13055" max="13055"/>
    <col width="13.6640625" customWidth="1" style="55" min="13056" max="13056"/>
    <col width="9.5" customWidth="1" style="55" min="13057" max="13057"/>
    <col width="12.5" customWidth="1" style="55" min="13058" max="13058"/>
    <col width="10" customWidth="1" style="55" min="13059" max="13059"/>
    <col width="13" customWidth="1" style="55" min="13060" max="13060"/>
    <col width="11" customWidth="1" style="55" min="13061" max="13061"/>
    <col width="13.83203125" customWidth="1" style="55" min="13062" max="13062"/>
    <col width="11.33203125" customWidth="1" style="55" min="13063" max="13063"/>
    <col width="13" customWidth="1" style="55" min="13064" max="13064"/>
    <col width="9" customWidth="1" style="55" min="13065" max="13065"/>
    <col width="3.83203125" customWidth="1" style="55" min="13066" max="13066"/>
    <col width="18.5" customWidth="1" style="55" min="13067" max="13067"/>
    <col width="10" customWidth="1" style="55" min="13068" max="13068"/>
    <col width="9.1640625" customWidth="1" style="55" min="13069" max="13292"/>
    <col width="25.6640625" customWidth="1" style="55" min="13293" max="13293"/>
    <col width="9" customWidth="1" style="55" min="13294" max="13294"/>
    <col width="22" customWidth="1" style="55" min="13295" max="13295"/>
    <col width="4.5" customWidth="1" style="55" min="13296" max="13296"/>
    <col width="13.33203125" customWidth="1" style="55" min="13297" max="13297"/>
    <col width="14.1640625" customWidth="1" style="55" min="13298" max="13298"/>
    <col width="9.33203125" customWidth="1" style="55" min="13299" max="13299"/>
    <col width="11.1640625" customWidth="1" style="55" min="13300" max="13300"/>
    <col width="9.1640625" customWidth="1" style="55" min="13301" max="13301"/>
    <col width="10.33203125" customWidth="1" style="55" min="13302" max="13302"/>
    <col width="7.6640625" customWidth="1" style="55" min="13303" max="13303"/>
    <col width="12.6640625" customWidth="1" style="55" min="13304" max="13304"/>
    <col width="10.6640625" customWidth="1" style="55" min="13305" max="13305"/>
    <col width="12.83203125" customWidth="1" style="55" min="13306" max="13306"/>
    <col width="10.83203125" customWidth="1" style="55" min="13307" max="13307"/>
    <col width="12.5" customWidth="1" style="55" min="13308" max="13308"/>
    <col width="10.5" customWidth="1" style="55" min="13309" max="13309"/>
    <col width="13.1640625" customWidth="1" style="55" min="13310" max="13310"/>
    <col width="9.83203125" customWidth="1" style="55" min="13311" max="13311"/>
    <col width="13.6640625" customWidth="1" style="55" min="13312" max="13312"/>
    <col width="9.5" customWidth="1" style="55" min="13313" max="13313"/>
    <col width="12.5" customWidth="1" style="55" min="13314" max="13314"/>
    <col width="10" customWidth="1" style="55" min="13315" max="13315"/>
    <col width="13" customWidth="1" style="55" min="13316" max="13316"/>
    <col width="11" customWidth="1" style="55" min="13317" max="13317"/>
    <col width="13.83203125" customWidth="1" style="55" min="13318" max="13318"/>
    <col width="11.33203125" customWidth="1" style="55" min="13319" max="13319"/>
    <col width="13" customWidth="1" style="55" min="13320" max="13320"/>
    <col width="9" customWidth="1" style="55" min="13321" max="13321"/>
    <col width="3.83203125" customWidth="1" style="55" min="13322" max="13322"/>
    <col width="18.5" customWidth="1" style="55" min="13323" max="13323"/>
    <col width="10" customWidth="1" style="55" min="13324" max="13324"/>
    <col width="9.1640625" customWidth="1" style="55" min="13325" max="13548"/>
    <col width="25.6640625" customWidth="1" style="55" min="13549" max="13549"/>
    <col width="9" customWidth="1" style="55" min="13550" max="13550"/>
    <col width="22" customWidth="1" style="55" min="13551" max="13551"/>
    <col width="4.5" customWidth="1" style="55" min="13552" max="13552"/>
    <col width="13.33203125" customWidth="1" style="55" min="13553" max="13553"/>
    <col width="14.1640625" customWidth="1" style="55" min="13554" max="13554"/>
    <col width="9.33203125" customWidth="1" style="55" min="13555" max="13555"/>
    <col width="11.1640625" customWidth="1" style="55" min="13556" max="13556"/>
    <col width="9.1640625" customWidth="1" style="55" min="13557" max="13557"/>
    <col width="10.33203125" customWidth="1" style="55" min="13558" max="13558"/>
    <col width="7.6640625" customWidth="1" style="55" min="13559" max="13559"/>
    <col width="12.6640625" customWidth="1" style="55" min="13560" max="13560"/>
    <col width="10.6640625" customWidth="1" style="55" min="13561" max="13561"/>
    <col width="12.83203125" customWidth="1" style="55" min="13562" max="13562"/>
    <col width="10.83203125" customWidth="1" style="55" min="13563" max="13563"/>
    <col width="12.5" customWidth="1" style="55" min="13564" max="13564"/>
    <col width="10.5" customWidth="1" style="55" min="13565" max="13565"/>
    <col width="13.1640625" customWidth="1" style="55" min="13566" max="13566"/>
    <col width="9.83203125" customWidth="1" style="55" min="13567" max="13567"/>
    <col width="13.6640625" customWidth="1" style="55" min="13568" max="13568"/>
    <col width="9.5" customWidth="1" style="55" min="13569" max="13569"/>
    <col width="12.5" customWidth="1" style="55" min="13570" max="13570"/>
    <col width="10" customWidth="1" style="55" min="13571" max="13571"/>
    <col width="13" customWidth="1" style="55" min="13572" max="13572"/>
    <col width="11" customWidth="1" style="55" min="13573" max="13573"/>
    <col width="13.83203125" customWidth="1" style="55" min="13574" max="13574"/>
    <col width="11.33203125" customWidth="1" style="55" min="13575" max="13575"/>
    <col width="13" customWidth="1" style="55" min="13576" max="13576"/>
    <col width="9" customWidth="1" style="55" min="13577" max="13577"/>
    <col width="3.83203125" customWidth="1" style="55" min="13578" max="13578"/>
    <col width="18.5" customWidth="1" style="55" min="13579" max="13579"/>
    <col width="10" customWidth="1" style="55" min="13580" max="13580"/>
    <col width="9.1640625" customWidth="1" style="55" min="13581" max="13804"/>
    <col width="25.6640625" customWidth="1" style="55" min="13805" max="13805"/>
    <col width="9" customWidth="1" style="55" min="13806" max="13806"/>
    <col width="22" customWidth="1" style="55" min="13807" max="13807"/>
    <col width="4.5" customWidth="1" style="55" min="13808" max="13808"/>
    <col width="13.33203125" customWidth="1" style="55" min="13809" max="13809"/>
    <col width="14.1640625" customWidth="1" style="55" min="13810" max="13810"/>
    <col width="9.33203125" customWidth="1" style="55" min="13811" max="13811"/>
    <col width="11.1640625" customWidth="1" style="55" min="13812" max="13812"/>
    <col width="9.1640625" customWidth="1" style="55" min="13813" max="13813"/>
    <col width="10.33203125" customWidth="1" style="55" min="13814" max="13814"/>
    <col width="7.6640625" customWidth="1" style="55" min="13815" max="13815"/>
    <col width="12.6640625" customWidth="1" style="55" min="13816" max="13816"/>
    <col width="10.6640625" customWidth="1" style="55" min="13817" max="13817"/>
    <col width="12.83203125" customWidth="1" style="55" min="13818" max="13818"/>
    <col width="10.83203125" customWidth="1" style="55" min="13819" max="13819"/>
    <col width="12.5" customWidth="1" style="55" min="13820" max="13820"/>
    <col width="10.5" customWidth="1" style="55" min="13821" max="13821"/>
    <col width="13.1640625" customWidth="1" style="55" min="13822" max="13822"/>
    <col width="9.83203125" customWidth="1" style="55" min="13823" max="13823"/>
    <col width="13.6640625" customWidth="1" style="55" min="13824" max="13824"/>
    <col width="9.5" customWidth="1" style="55" min="13825" max="13825"/>
    <col width="12.5" customWidth="1" style="55" min="13826" max="13826"/>
    <col width="10" customWidth="1" style="55" min="13827" max="13827"/>
    <col width="13" customWidth="1" style="55" min="13828" max="13828"/>
    <col width="11" customWidth="1" style="55" min="13829" max="13829"/>
    <col width="13.83203125" customWidth="1" style="55" min="13830" max="13830"/>
    <col width="11.33203125" customWidth="1" style="55" min="13831" max="13831"/>
    <col width="13" customWidth="1" style="55" min="13832" max="13832"/>
    <col width="9" customWidth="1" style="55" min="13833" max="13833"/>
    <col width="3.83203125" customWidth="1" style="55" min="13834" max="13834"/>
    <col width="18.5" customWidth="1" style="55" min="13835" max="13835"/>
    <col width="10" customWidth="1" style="55" min="13836" max="13836"/>
    <col width="9.1640625" customWidth="1" style="55" min="13837" max="14060"/>
    <col width="25.6640625" customWidth="1" style="55" min="14061" max="14061"/>
    <col width="9" customWidth="1" style="55" min="14062" max="14062"/>
    <col width="22" customWidth="1" style="55" min="14063" max="14063"/>
    <col width="4.5" customWidth="1" style="55" min="14064" max="14064"/>
    <col width="13.33203125" customWidth="1" style="55" min="14065" max="14065"/>
    <col width="14.1640625" customWidth="1" style="55" min="14066" max="14066"/>
    <col width="9.33203125" customWidth="1" style="55" min="14067" max="14067"/>
    <col width="11.1640625" customWidth="1" style="55" min="14068" max="14068"/>
    <col width="9.1640625" customWidth="1" style="55" min="14069" max="14069"/>
    <col width="10.33203125" customWidth="1" style="55" min="14070" max="14070"/>
    <col width="7.6640625" customWidth="1" style="55" min="14071" max="14071"/>
    <col width="12.6640625" customWidth="1" style="55" min="14072" max="14072"/>
    <col width="10.6640625" customWidth="1" style="55" min="14073" max="14073"/>
    <col width="12.83203125" customWidth="1" style="55" min="14074" max="14074"/>
    <col width="10.83203125" customWidth="1" style="55" min="14075" max="14075"/>
    <col width="12.5" customWidth="1" style="55" min="14076" max="14076"/>
    <col width="10.5" customWidth="1" style="55" min="14077" max="14077"/>
    <col width="13.1640625" customWidth="1" style="55" min="14078" max="14078"/>
    <col width="9.83203125" customWidth="1" style="55" min="14079" max="14079"/>
    <col width="13.6640625" customWidth="1" style="55" min="14080" max="14080"/>
    <col width="9.5" customWidth="1" style="55" min="14081" max="14081"/>
    <col width="12.5" customWidth="1" style="55" min="14082" max="14082"/>
    <col width="10" customWidth="1" style="55" min="14083" max="14083"/>
    <col width="13" customWidth="1" style="55" min="14084" max="14084"/>
    <col width="11" customWidth="1" style="55" min="14085" max="14085"/>
    <col width="13.83203125" customWidth="1" style="55" min="14086" max="14086"/>
    <col width="11.33203125" customWidth="1" style="55" min="14087" max="14087"/>
    <col width="13" customWidth="1" style="55" min="14088" max="14088"/>
    <col width="9" customWidth="1" style="55" min="14089" max="14089"/>
    <col width="3.83203125" customWidth="1" style="55" min="14090" max="14090"/>
    <col width="18.5" customWidth="1" style="55" min="14091" max="14091"/>
    <col width="10" customWidth="1" style="55" min="14092" max="14092"/>
    <col width="9.1640625" customWidth="1" style="55" min="14093" max="14316"/>
    <col width="25.6640625" customWidth="1" style="55" min="14317" max="14317"/>
    <col width="9" customWidth="1" style="55" min="14318" max="14318"/>
    <col width="22" customWidth="1" style="55" min="14319" max="14319"/>
    <col width="4.5" customWidth="1" style="55" min="14320" max="14320"/>
    <col width="13.33203125" customWidth="1" style="55" min="14321" max="14321"/>
    <col width="14.1640625" customWidth="1" style="55" min="14322" max="14322"/>
    <col width="9.33203125" customWidth="1" style="55" min="14323" max="14323"/>
    <col width="11.1640625" customWidth="1" style="55" min="14324" max="14324"/>
    <col width="9.1640625" customWidth="1" style="55" min="14325" max="14325"/>
    <col width="10.33203125" customWidth="1" style="55" min="14326" max="14326"/>
    <col width="7.6640625" customWidth="1" style="55" min="14327" max="14327"/>
    <col width="12.6640625" customWidth="1" style="55" min="14328" max="14328"/>
    <col width="10.6640625" customWidth="1" style="55" min="14329" max="14329"/>
    <col width="12.83203125" customWidth="1" style="55" min="14330" max="14330"/>
    <col width="10.83203125" customWidth="1" style="55" min="14331" max="14331"/>
    <col width="12.5" customWidth="1" style="55" min="14332" max="14332"/>
    <col width="10.5" customWidth="1" style="55" min="14333" max="14333"/>
    <col width="13.1640625" customWidth="1" style="55" min="14334" max="14334"/>
    <col width="9.83203125" customWidth="1" style="55" min="14335" max="14335"/>
    <col width="13.6640625" customWidth="1" style="55" min="14336" max="14336"/>
    <col width="9.5" customWidth="1" style="55" min="14337" max="14337"/>
    <col width="12.5" customWidth="1" style="55" min="14338" max="14338"/>
    <col width="10" customWidth="1" style="55" min="14339" max="14339"/>
    <col width="13" customWidth="1" style="55" min="14340" max="14340"/>
    <col width="11" customWidth="1" style="55" min="14341" max="14341"/>
    <col width="13.83203125" customWidth="1" style="55" min="14342" max="14342"/>
    <col width="11.33203125" customWidth="1" style="55" min="14343" max="14343"/>
    <col width="13" customWidth="1" style="55" min="14344" max="14344"/>
    <col width="9" customWidth="1" style="55" min="14345" max="14345"/>
    <col width="3.83203125" customWidth="1" style="55" min="14346" max="14346"/>
    <col width="18.5" customWidth="1" style="55" min="14347" max="14347"/>
    <col width="10" customWidth="1" style="55" min="14348" max="14348"/>
    <col width="9.1640625" customWidth="1" style="55" min="14349" max="14572"/>
    <col width="25.6640625" customWidth="1" style="55" min="14573" max="14573"/>
    <col width="9" customWidth="1" style="55" min="14574" max="14574"/>
    <col width="22" customWidth="1" style="55" min="14575" max="14575"/>
    <col width="4.5" customWidth="1" style="55" min="14576" max="14576"/>
    <col width="13.33203125" customWidth="1" style="55" min="14577" max="14577"/>
    <col width="14.1640625" customWidth="1" style="55" min="14578" max="14578"/>
    <col width="9.33203125" customWidth="1" style="55" min="14579" max="14579"/>
    <col width="11.1640625" customWidth="1" style="55" min="14580" max="14580"/>
    <col width="9.1640625" customWidth="1" style="55" min="14581" max="14581"/>
    <col width="10.33203125" customWidth="1" style="55" min="14582" max="14582"/>
    <col width="7.6640625" customWidth="1" style="55" min="14583" max="14583"/>
    <col width="12.6640625" customWidth="1" style="55" min="14584" max="14584"/>
    <col width="10.6640625" customWidth="1" style="55" min="14585" max="14585"/>
    <col width="12.83203125" customWidth="1" style="55" min="14586" max="14586"/>
    <col width="10.83203125" customWidth="1" style="55" min="14587" max="14587"/>
    <col width="12.5" customWidth="1" style="55" min="14588" max="14588"/>
    <col width="10.5" customWidth="1" style="55" min="14589" max="14589"/>
    <col width="13.1640625" customWidth="1" style="55" min="14590" max="14590"/>
    <col width="9.83203125" customWidth="1" style="55" min="14591" max="14591"/>
    <col width="13.6640625" customWidth="1" style="55" min="14592" max="14592"/>
    <col width="9.5" customWidth="1" style="55" min="14593" max="14593"/>
    <col width="12.5" customWidth="1" style="55" min="14594" max="14594"/>
    <col width="10" customWidth="1" style="55" min="14595" max="14595"/>
    <col width="13" customWidth="1" style="55" min="14596" max="14596"/>
    <col width="11" customWidth="1" style="55" min="14597" max="14597"/>
    <col width="13.83203125" customWidth="1" style="55" min="14598" max="14598"/>
    <col width="11.33203125" customWidth="1" style="55" min="14599" max="14599"/>
    <col width="13" customWidth="1" style="55" min="14600" max="14600"/>
    <col width="9" customWidth="1" style="55" min="14601" max="14601"/>
    <col width="3.83203125" customWidth="1" style="55" min="14602" max="14602"/>
    <col width="18.5" customWidth="1" style="55" min="14603" max="14603"/>
    <col width="10" customWidth="1" style="55" min="14604" max="14604"/>
    <col width="9.1640625" customWidth="1" style="55" min="14605" max="14828"/>
    <col width="25.6640625" customWidth="1" style="55" min="14829" max="14829"/>
    <col width="9" customWidth="1" style="55" min="14830" max="14830"/>
    <col width="22" customWidth="1" style="55" min="14831" max="14831"/>
    <col width="4.5" customWidth="1" style="55" min="14832" max="14832"/>
    <col width="13.33203125" customWidth="1" style="55" min="14833" max="14833"/>
    <col width="14.1640625" customWidth="1" style="55" min="14834" max="14834"/>
    <col width="9.33203125" customWidth="1" style="55" min="14835" max="14835"/>
    <col width="11.1640625" customWidth="1" style="55" min="14836" max="14836"/>
    <col width="9.1640625" customWidth="1" style="55" min="14837" max="14837"/>
    <col width="10.33203125" customWidth="1" style="55" min="14838" max="14838"/>
    <col width="7.6640625" customWidth="1" style="55" min="14839" max="14839"/>
    <col width="12.6640625" customWidth="1" style="55" min="14840" max="14840"/>
    <col width="10.6640625" customWidth="1" style="55" min="14841" max="14841"/>
    <col width="12.83203125" customWidth="1" style="55" min="14842" max="14842"/>
    <col width="10.83203125" customWidth="1" style="55" min="14843" max="14843"/>
    <col width="12.5" customWidth="1" style="55" min="14844" max="14844"/>
    <col width="10.5" customWidth="1" style="55" min="14845" max="14845"/>
    <col width="13.1640625" customWidth="1" style="55" min="14846" max="14846"/>
    <col width="9.83203125" customWidth="1" style="55" min="14847" max="14847"/>
    <col width="13.6640625" customWidth="1" style="55" min="14848" max="14848"/>
    <col width="9.5" customWidth="1" style="55" min="14849" max="14849"/>
    <col width="12.5" customWidth="1" style="55" min="14850" max="14850"/>
    <col width="10" customWidth="1" style="55" min="14851" max="14851"/>
    <col width="13" customWidth="1" style="55" min="14852" max="14852"/>
    <col width="11" customWidth="1" style="55" min="14853" max="14853"/>
    <col width="13.83203125" customWidth="1" style="55" min="14854" max="14854"/>
    <col width="11.33203125" customWidth="1" style="55" min="14855" max="14855"/>
    <col width="13" customWidth="1" style="55" min="14856" max="14856"/>
    <col width="9" customWidth="1" style="55" min="14857" max="14857"/>
    <col width="3.83203125" customWidth="1" style="55" min="14858" max="14858"/>
    <col width="18.5" customWidth="1" style="55" min="14859" max="14859"/>
    <col width="10" customWidth="1" style="55" min="14860" max="14860"/>
    <col width="9.1640625" customWidth="1" style="55" min="14861" max="15084"/>
    <col width="25.6640625" customWidth="1" style="55" min="15085" max="15085"/>
    <col width="9" customWidth="1" style="55" min="15086" max="15086"/>
    <col width="22" customWidth="1" style="55" min="15087" max="15087"/>
    <col width="4.5" customWidth="1" style="55" min="15088" max="15088"/>
    <col width="13.33203125" customWidth="1" style="55" min="15089" max="15089"/>
    <col width="14.1640625" customWidth="1" style="55" min="15090" max="15090"/>
    <col width="9.33203125" customWidth="1" style="55" min="15091" max="15091"/>
    <col width="11.1640625" customWidth="1" style="55" min="15092" max="15092"/>
    <col width="9.1640625" customWidth="1" style="55" min="15093" max="15093"/>
    <col width="10.33203125" customWidth="1" style="55" min="15094" max="15094"/>
    <col width="7.6640625" customWidth="1" style="55" min="15095" max="15095"/>
    <col width="12.6640625" customWidth="1" style="55" min="15096" max="15096"/>
    <col width="10.6640625" customWidth="1" style="55" min="15097" max="15097"/>
    <col width="12.83203125" customWidth="1" style="55" min="15098" max="15098"/>
    <col width="10.83203125" customWidth="1" style="55" min="15099" max="15099"/>
    <col width="12.5" customWidth="1" style="55" min="15100" max="15100"/>
    <col width="10.5" customWidth="1" style="55" min="15101" max="15101"/>
    <col width="13.1640625" customWidth="1" style="55" min="15102" max="15102"/>
    <col width="9.83203125" customWidth="1" style="55" min="15103" max="15103"/>
    <col width="13.6640625" customWidth="1" style="55" min="15104" max="15104"/>
    <col width="9.5" customWidth="1" style="55" min="15105" max="15105"/>
    <col width="12.5" customWidth="1" style="55" min="15106" max="15106"/>
    <col width="10" customWidth="1" style="55" min="15107" max="15107"/>
    <col width="13" customWidth="1" style="55" min="15108" max="15108"/>
    <col width="11" customWidth="1" style="55" min="15109" max="15109"/>
    <col width="13.83203125" customWidth="1" style="55" min="15110" max="15110"/>
    <col width="11.33203125" customWidth="1" style="55" min="15111" max="15111"/>
    <col width="13" customWidth="1" style="55" min="15112" max="15112"/>
    <col width="9" customWidth="1" style="55" min="15113" max="15113"/>
    <col width="3.83203125" customWidth="1" style="55" min="15114" max="15114"/>
    <col width="18.5" customWidth="1" style="55" min="15115" max="15115"/>
    <col width="10" customWidth="1" style="55" min="15116" max="15116"/>
    <col width="9.1640625" customWidth="1" style="55" min="15117" max="15340"/>
    <col width="25.6640625" customWidth="1" style="55" min="15341" max="15341"/>
    <col width="9" customWidth="1" style="55" min="15342" max="15342"/>
    <col width="22" customWidth="1" style="55" min="15343" max="15343"/>
    <col width="4.5" customWidth="1" style="55" min="15344" max="15344"/>
    <col width="13.33203125" customWidth="1" style="55" min="15345" max="15345"/>
    <col width="14.1640625" customWidth="1" style="55" min="15346" max="15346"/>
    <col width="9.33203125" customWidth="1" style="55" min="15347" max="15347"/>
    <col width="11.1640625" customWidth="1" style="55" min="15348" max="15348"/>
    <col width="9.1640625" customWidth="1" style="55" min="15349" max="15349"/>
    <col width="10.33203125" customWidth="1" style="55" min="15350" max="15350"/>
    <col width="7.6640625" customWidth="1" style="55" min="15351" max="15351"/>
    <col width="12.6640625" customWidth="1" style="55" min="15352" max="15352"/>
    <col width="10.6640625" customWidth="1" style="55" min="15353" max="15353"/>
    <col width="12.83203125" customWidth="1" style="55" min="15354" max="15354"/>
    <col width="10.83203125" customWidth="1" style="55" min="15355" max="15355"/>
    <col width="12.5" customWidth="1" style="55" min="15356" max="15356"/>
    <col width="10.5" customWidth="1" style="55" min="15357" max="15357"/>
    <col width="13.1640625" customWidth="1" style="55" min="15358" max="15358"/>
    <col width="9.83203125" customWidth="1" style="55" min="15359" max="15359"/>
    <col width="13.6640625" customWidth="1" style="55" min="15360" max="15360"/>
    <col width="9.5" customWidth="1" style="55" min="15361" max="15361"/>
    <col width="12.5" customWidth="1" style="55" min="15362" max="15362"/>
    <col width="10" customWidth="1" style="55" min="15363" max="15363"/>
    <col width="13" customWidth="1" style="55" min="15364" max="15364"/>
    <col width="11" customWidth="1" style="55" min="15365" max="15365"/>
    <col width="13.83203125" customWidth="1" style="55" min="15366" max="15366"/>
    <col width="11.33203125" customWidth="1" style="55" min="15367" max="15367"/>
    <col width="13" customWidth="1" style="55" min="15368" max="15368"/>
    <col width="9" customWidth="1" style="55" min="15369" max="15369"/>
    <col width="3.83203125" customWidth="1" style="55" min="15370" max="15370"/>
    <col width="18.5" customWidth="1" style="55" min="15371" max="15371"/>
    <col width="10" customWidth="1" style="55" min="15372" max="15372"/>
    <col width="9.1640625" customWidth="1" style="55" min="15373" max="15596"/>
    <col width="25.6640625" customWidth="1" style="55" min="15597" max="15597"/>
    <col width="9" customWidth="1" style="55" min="15598" max="15598"/>
    <col width="22" customWidth="1" style="55" min="15599" max="15599"/>
    <col width="4.5" customWidth="1" style="55" min="15600" max="15600"/>
    <col width="13.33203125" customWidth="1" style="55" min="15601" max="15601"/>
    <col width="14.1640625" customWidth="1" style="55" min="15602" max="15602"/>
    <col width="9.33203125" customWidth="1" style="55" min="15603" max="15603"/>
    <col width="11.1640625" customWidth="1" style="55" min="15604" max="15604"/>
    <col width="9.1640625" customWidth="1" style="55" min="15605" max="15605"/>
    <col width="10.33203125" customWidth="1" style="55" min="15606" max="15606"/>
    <col width="7.6640625" customWidth="1" style="55" min="15607" max="15607"/>
    <col width="12.6640625" customWidth="1" style="55" min="15608" max="15608"/>
    <col width="10.6640625" customWidth="1" style="55" min="15609" max="15609"/>
    <col width="12.83203125" customWidth="1" style="55" min="15610" max="15610"/>
    <col width="10.83203125" customWidth="1" style="55" min="15611" max="15611"/>
    <col width="12.5" customWidth="1" style="55" min="15612" max="15612"/>
    <col width="10.5" customWidth="1" style="55" min="15613" max="15613"/>
    <col width="13.1640625" customWidth="1" style="55" min="15614" max="15614"/>
    <col width="9.83203125" customWidth="1" style="55" min="15615" max="15615"/>
    <col width="13.6640625" customWidth="1" style="55" min="15616" max="15616"/>
    <col width="9.5" customWidth="1" style="55" min="15617" max="15617"/>
    <col width="12.5" customWidth="1" style="55" min="15618" max="15618"/>
    <col width="10" customWidth="1" style="55" min="15619" max="15619"/>
    <col width="13" customWidth="1" style="55" min="15620" max="15620"/>
    <col width="11" customWidth="1" style="55" min="15621" max="15621"/>
    <col width="13.83203125" customWidth="1" style="55" min="15622" max="15622"/>
    <col width="11.33203125" customWidth="1" style="55" min="15623" max="15623"/>
    <col width="13" customWidth="1" style="55" min="15624" max="15624"/>
    <col width="9" customWidth="1" style="55" min="15625" max="15625"/>
    <col width="3.83203125" customWidth="1" style="55" min="15626" max="15626"/>
    <col width="18.5" customWidth="1" style="55" min="15627" max="15627"/>
    <col width="10" customWidth="1" style="55" min="15628" max="15628"/>
    <col width="9.1640625" customWidth="1" style="55" min="15629" max="15852"/>
    <col width="25.6640625" customWidth="1" style="55" min="15853" max="15853"/>
    <col width="9" customWidth="1" style="55" min="15854" max="15854"/>
    <col width="22" customWidth="1" style="55" min="15855" max="15855"/>
    <col width="4.5" customWidth="1" style="55" min="15856" max="15856"/>
    <col width="13.33203125" customWidth="1" style="55" min="15857" max="15857"/>
    <col width="14.1640625" customWidth="1" style="55" min="15858" max="15858"/>
    <col width="9.33203125" customWidth="1" style="55" min="15859" max="15859"/>
    <col width="11.1640625" customWidth="1" style="55" min="15860" max="15860"/>
    <col width="9.1640625" customWidth="1" style="55" min="15861" max="15861"/>
    <col width="10.33203125" customWidth="1" style="55" min="15862" max="15862"/>
    <col width="7.6640625" customWidth="1" style="55" min="15863" max="15863"/>
    <col width="12.6640625" customWidth="1" style="55" min="15864" max="15864"/>
    <col width="10.6640625" customWidth="1" style="55" min="15865" max="15865"/>
    <col width="12.83203125" customWidth="1" style="55" min="15866" max="15866"/>
    <col width="10.83203125" customWidth="1" style="55" min="15867" max="15867"/>
    <col width="12.5" customWidth="1" style="55" min="15868" max="15868"/>
    <col width="10.5" customWidth="1" style="55" min="15869" max="15869"/>
    <col width="13.1640625" customWidth="1" style="55" min="15870" max="15870"/>
    <col width="9.83203125" customWidth="1" style="55" min="15871" max="15871"/>
    <col width="13.6640625" customWidth="1" style="55" min="15872" max="15872"/>
    <col width="9.5" customWidth="1" style="55" min="15873" max="15873"/>
    <col width="12.5" customWidth="1" style="55" min="15874" max="15874"/>
    <col width="10" customWidth="1" style="55" min="15875" max="15875"/>
    <col width="13" customWidth="1" style="55" min="15876" max="15876"/>
    <col width="11" customWidth="1" style="55" min="15877" max="15877"/>
    <col width="13.83203125" customWidth="1" style="55" min="15878" max="15878"/>
    <col width="11.33203125" customWidth="1" style="55" min="15879" max="15879"/>
    <col width="13" customWidth="1" style="55" min="15880" max="15880"/>
    <col width="9" customWidth="1" style="55" min="15881" max="15881"/>
    <col width="3.83203125" customWidth="1" style="55" min="15882" max="15882"/>
    <col width="18.5" customWidth="1" style="55" min="15883" max="15883"/>
    <col width="10" customWidth="1" style="55" min="15884" max="15884"/>
    <col width="9.1640625" customWidth="1" style="55" min="15885" max="16108"/>
    <col width="25.6640625" customWidth="1" style="55" min="16109" max="16109"/>
    <col width="9" customWidth="1" style="55" min="16110" max="16110"/>
    <col width="22" customWidth="1" style="55" min="16111" max="16111"/>
    <col width="4.5" customWidth="1" style="55" min="16112" max="16112"/>
    <col width="13.33203125" customWidth="1" style="55" min="16113" max="16113"/>
    <col width="14.1640625" customWidth="1" style="55" min="16114" max="16114"/>
    <col width="9.33203125" customWidth="1" style="55" min="16115" max="16115"/>
    <col width="11.1640625" customWidth="1" style="55" min="16116" max="16116"/>
    <col width="9.1640625" customWidth="1" style="55" min="16117" max="16117"/>
    <col width="10.33203125" customWidth="1" style="55" min="16118" max="16118"/>
    <col width="7.6640625" customWidth="1" style="55" min="16119" max="16119"/>
    <col width="12.6640625" customWidth="1" style="55" min="16120" max="16120"/>
    <col width="10.6640625" customWidth="1" style="55" min="16121" max="16121"/>
    <col width="12.83203125" customWidth="1" style="55" min="16122" max="16122"/>
    <col width="10.83203125" customWidth="1" style="55" min="16123" max="16123"/>
    <col width="12.5" customWidth="1" style="55" min="16124" max="16124"/>
    <col width="10.5" customWidth="1" style="55" min="16125" max="16125"/>
    <col width="13.1640625" customWidth="1" style="55" min="16126" max="16126"/>
    <col width="9.83203125" customWidth="1" style="55" min="16127" max="16127"/>
    <col width="13.6640625" customWidth="1" style="55" min="16128" max="16128"/>
    <col width="9.5" customWidth="1" style="55" min="16129" max="16129"/>
    <col width="12.5" customWidth="1" style="55" min="16130" max="16130"/>
    <col width="10" customWidth="1" style="55" min="16131" max="16131"/>
    <col width="13" customWidth="1" style="55" min="16132" max="16132"/>
    <col width="11" customWidth="1" style="55" min="16133" max="16133"/>
    <col width="13.83203125" customWidth="1" style="55" min="16134" max="16134"/>
    <col width="11.33203125" customWidth="1" style="55" min="16135" max="16135"/>
    <col width="13" customWidth="1" style="55" min="16136" max="16136"/>
    <col width="9" customWidth="1" style="55" min="16137" max="16137"/>
    <col width="3.83203125" customWidth="1" style="55" min="16138" max="16138"/>
    <col width="18.5" customWidth="1" style="55" min="16139" max="16139"/>
    <col width="10" customWidth="1" style="55" min="16140" max="16140"/>
    <col width="9.1640625" customWidth="1" style="55" min="16141" max="16384"/>
  </cols>
  <sheetData>
    <row r="1" ht="15" customFormat="1" customHeight="1" s="1158">
      <c r="B1" s="1148" t="inlineStr">
        <is>
          <t>F24-19  AEROLYS COST SHEET</t>
        </is>
      </c>
      <c r="D1" s="156" t="n"/>
      <c r="E1" s="157" t="n"/>
      <c r="F1" s="158" t="n"/>
      <c r="G1" s="356" t="n"/>
      <c r="H1" s="356" t="n"/>
      <c r="I1" s="357" t="n"/>
      <c r="J1" s="356" t="n"/>
      <c r="K1" s="356" t="n"/>
      <c r="L1" s="975" t="inlineStr">
        <is>
          <t>JAN25-19</t>
        </is>
      </c>
      <c r="R1" s="41" t="n"/>
      <c r="S1" s="42" t="n"/>
      <c r="Z1" s="43" t="n"/>
      <c r="AC1" s="44" t="n"/>
    </row>
    <row r="2" ht="15" customFormat="1" customHeight="1" s="1158">
      <c r="C2" s="301" t="n"/>
      <c r="D2" s="45" t="n"/>
      <c r="E2" s="46" t="n"/>
      <c r="F2" s="47" t="n"/>
      <c r="G2" s="358" t="n"/>
      <c r="H2" s="359" t="n"/>
      <c r="I2" s="51" t="n"/>
      <c r="J2" s="360" t="n"/>
      <c r="K2" s="360" t="n"/>
      <c r="L2" s="359" t="n"/>
      <c r="R2" s="48" t="n"/>
      <c r="W2" s="49" t="n"/>
      <c r="Y2" s="43" t="n"/>
      <c r="AB2" s="44" t="n"/>
    </row>
    <row r="3" ht="15" customFormat="1" customHeight="1" s="1158">
      <c r="B3" s="50" t="inlineStr">
        <is>
          <t>Job No.</t>
        </is>
      </c>
      <c r="C3" s="1074">
        <f>IF(CANOPY!C3="","",CANOPY!C3)</f>
        <v/>
      </c>
      <c r="E3" s="1129" t="n"/>
      <c r="F3" s="177" t="inlineStr">
        <is>
          <t>Project Name</t>
        </is>
      </c>
      <c r="G3" s="1074">
        <f>IF(CANOPY!G3="","",CANOPY!G3)</f>
        <v/>
      </c>
      <c r="I3" s="51" t="n"/>
      <c r="J3" s="360" t="n"/>
      <c r="K3" s="360" t="n"/>
      <c r="L3" s="359" t="n"/>
      <c r="R3" s="48" t="n"/>
      <c r="Y3" s="43" t="n"/>
      <c r="AB3" s="44" t="n"/>
    </row>
    <row r="4" ht="15" customFormat="1" customHeight="1" s="1158">
      <c r="C4" s="471" t="n"/>
      <c r="D4" s="472" t="n"/>
      <c r="E4" s="178" t="n"/>
      <c r="F4" s="179" t="n"/>
      <c r="G4" s="471" t="n"/>
      <c r="H4" s="471" t="n"/>
      <c r="I4" s="51" t="n"/>
      <c r="J4" s="360" t="n"/>
      <c r="K4" s="360" t="n"/>
      <c r="L4" s="359" t="n"/>
      <c r="R4" s="48" t="n"/>
      <c r="Y4" s="43" t="n"/>
      <c r="AB4" s="44" t="n"/>
    </row>
    <row r="5" ht="15" customFormat="1" customHeight="1" s="1158">
      <c r="B5" s="50" t="inlineStr">
        <is>
          <t>Customer</t>
        </is>
      </c>
      <c r="C5" s="1147">
        <f>IF(CANOPY!C5="","",CANOPY!C5)</f>
        <v/>
      </c>
      <c r="E5" s="173" t="n"/>
      <c r="F5" s="177" t="inlineStr">
        <is>
          <t>Location</t>
        </is>
      </c>
      <c r="G5" s="1074">
        <f>IF(CANOPY!G5="","",CANOPY!G5)</f>
        <v/>
      </c>
      <c r="I5" s="51" t="n"/>
      <c r="J5" s="360" t="n"/>
      <c r="K5" s="360" t="n"/>
      <c r="L5" s="359" t="n"/>
      <c r="O5" s="52" t="n"/>
      <c r="P5" s="52" t="n"/>
      <c r="R5" s="48" t="n"/>
      <c r="S5" s="49" t="n"/>
      <c r="Y5" s="43" t="n"/>
      <c r="AB5" s="44" t="n"/>
    </row>
    <row r="6" ht="15" customFormat="1" customHeight="1" s="1158">
      <c r="B6" s="50" t="n"/>
      <c r="C6" s="321" t="n"/>
      <c r="D6" s="471" t="n"/>
      <c r="E6" s="180" t="n"/>
      <c r="F6" s="179" t="n"/>
      <c r="G6" s="471" t="n"/>
      <c r="H6" s="471" t="n"/>
      <c r="I6" s="51" t="n"/>
      <c r="J6" s="360" t="n"/>
      <c r="K6" s="360" t="n"/>
      <c r="L6" s="359" t="n"/>
      <c r="O6" s="52" t="n"/>
      <c r="P6" s="52" t="n"/>
      <c r="R6" s="48" t="n"/>
      <c r="S6" s="49" t="n"/>
      <c r="Y6" s="53" t="n"/>
      <c r="AB6" s="44" t="n"/>
    </row>
    <row r="7" ht="15" customFormat="1" customHeight="1" s="1158">
      <c r="B7" s="80" t="inlineStr">
        <is>
          <t>Sales Manager / Estimator initials</t>
        </is>
      </c>
      <c r="C7" s="1147">
        <f>IF(CANOPY!C7="","",CANOPY!C7)</f>
        <v/>
      </c>
      <c r="E7" s="180" t="n"/>
      <c r="F7" s="181" t="inlineStr">
        <is>
          <t>Date</t>
        </is>
      </c>
      <c r="G7" s="1075">
        <f>IF(CANOPY!G7="","",CANOPY!G7)</f>
        <v/>
      </c>
      <c r="I7" s="51" t="n"/>
      <c r="J7" s="361" t="n"/>
      <c r="K7" s="361" t="inlineStr">
        <is>
          <t>Revision No</t>
        </is>
      </c>
      <c r="L7" s="576">
        <f>IF(CANOPY!O7="","",CANOPY!O7)</f>
        <v/>
      </c>
      <c r="M7" s="1091" t="inlineStr">
        <is>
          <t>GP SHOULD BE MINIMUM 44%</t>
        </is>
      </c>
      <c r="R7" s="48" t="n"/>
      <c r="S7" s="49" t="n"/>
      <c r="Y7" s="53" t="n"/>
      <c r="AB7" s="44" t="n"/>
    </row>
    <row r="8" ht="15" customFormat="1" customHeight="1" s="1158">
      <c r="C8" s="51" t="n"/>
      <c r="D8" s="51" t="n"/>
      <c r="E8" s="43" t="n"/>
      <c r="F8" s="47" t="n"/>
      <c r="G8" s="360" t="n"/>
      <c r="H8" s="359" t="n"/>
      <c r="I8" s="51" t="n"/>
      <c r="J8" s="360" t="n"/>
      <c r="K8" s="360" t="n"/>
      <c r="L8" s="359" t="n"/>
      <c r="R8" s="48" t="n"/>
      <c r="Y8" s="53" t="n"/>
      <c r="AB8" s="44" t="n"/>
    </row>
    <row r="9" ht="15" customFormat="1" customHeight="1" s="1158">
      <c r="B9" s="38" t="inlineStr">
        <is>
          <t>CURRENCY</t>
        </is>
      </c>
      <c r="C9" s="950" t="n">
        <v>0</v>
      </c>
      <c r="D9" s="377">
        <f>IF(C9=0,0,(SUBTOTAL(9,J15:J61)/(1-C9))-J9)</f>
        <v/>
      </c>
      <c r="E9" s="155" t="n"/>
      <c r="F9" s="155" t="n"/>
      <c r="H9" s="25">
        <f>SUBTOTAL(9,H11:H61)</f>
        <v/>
      </c>
      <c r="I9" s="967">
        <f>IF(L9=0,"-",L9/J9)</f>
        <v/>
      </c>
      <c r="J9" s="25">
        <f>SUBTOTAL(9,J11:J61)</f>
        <v/>
      </c>
      <c r="K9" s="464">
        <f>SUBTOTAL(9,K11:K61)</f>
        <v/>
      </c>
      <c r="L9" s="25">
        <f>SUBTOTAL(9,L11:L61)</f>
        <v/>
      </c>
      <c r="T9" s="48" t="n"/>
      <c r="W9" s="48" t="n"/>
      <c r="Z9" s="48" t="n"/>
      <c r="AI9" s="48" t="n"/>
    </row>
    <row r="10" ht="15" customFormat="1" customHeight="1" s="1158">
      <c r="B10" s="317" t="inlineStr">
        <is>
          <t>CURRENCY</t>
        </is>
      </c>
      <c r="C10" s="317" t="inlineStr">
        <is>
          <t>%</t>
        </is>
      </c>
      <c r="D10" s="317" t="inlineStr">
        <is>
          <t>COMMISSION</t>
        </is>
      </c>
      <c r="E10" s="2" t="n"/>
      <c r="F10" s="2" t="n"/>
      <c r="G10" s="1" t="inlineStr">
        <is>
          <t>COST</t>
        </is>
      </c>
      <c r="H10" s="2" t="inlineStr">
        <is>
          <t>TOTAL COST</t>
        </is>
      </c>
      <c r="I10" s="3" t="inlineStr">
        <is>
          <t>GP</t>
        </is>
      </c>
      <c r="J10" s="4" t="inlineStr">
        <is>
          <t>Sell</t>
        </is>
      </c>
      <c r="K10" s="4" t="inlineStr">
        <is>
          <t>SELL</t>
        </is>
      </c>
      <c r="L10" s="5" t="inlineStr">
        <is>
          <t>PROFIT</t>
        </is>
      </c>
      <c r="Q10" s="587" t="n"/>
      <c r="T10" s="48" t="n"/>
      <c r="W10" s="48" t="n"/>
      <c r="Z10" s="48" t="n"/>
      <c r="AI10" s="48" t="n"/>
    </row>
    <row r="11" ht="15" customHeight="1" s="1085">
      <c r="D11" s="55" t="n"/>
    </row>
    <row r="12" ht="15" customHeight="1" s="1085">
      <c r="B12" s="56" t="inlineStr">
        <is>
          <t>m³/s</t>
        </is>
      </c>
      <c r="D12" s="55" t="n"/>
      <c r="E12" s="155" t="n"/>
      <c r="F12" s="155" t="n"/>
    </row>
    <row r="13" ht="15" customHeight="1" s="1085">
      <c r="B13" s="492" t="inlineStr">
        <is>
          <t>AEROLYS AEU-</t>
        </is>
      </c>
      <c r="C13" s="38" t="inlineStr">
        <is>
          <t>INTERNAL</t>
        </is>
      </c>
      <c r="D13" s="58" t="n"/>
      <c r="E13" s="390" t="inlineStr">
        <is>
          <t>GP</t>
        </is>
      </c>
      <c r="F13" s="391" t="n">
        <v>0.4</v>
      </c>
      <c r="G13" s="61" t="n"/>
      <c r="H13" s="61">
        <f>SUBTOTAL(9,H15:H49)</f>
        <v/>
      </c>
      <c r="I13" s="39">
        <f>IF(H13=0,"-",L13/J13)</f>
        <v/>
      </c>
      <c r="J13" s="61">
        <f>SUBTOTAL(9,J15:J49)</f>
        <v/>
      </c>
      <c r="K13" s="465">
        <f>SUBTOTAL(9,K15:K49)</f>
        <v/>
      </c>
      <c r="L13" s="61">
        <f>SUBTOTAL(9,L15:L49)</f>
        <v/>
      </c>
    </row>
    <row r="14" ht="15" customHeight="1" s="1085">
      <c r="B14" s="35" t="inlineStr">
        <is>
          <t>ITEM</t>
        </is>
      </c>
      <c r="C14" s="54" t="inlineStr">
        <is>
          <t>SIZE</t>
        </is>
      </c>
      <c r="D14" s="54" t="inlineStr">
        <is>
          <t>QTY</t>
        </is>
      </c>
      <c r="E14" s="246" t="n"/>
      <c r="F14" s="247" t="n"/>
      <c r="G14" s="248" t="n"/>
      <c r="H14" s="248" t="n"/>
      <c r="I14" s="249" t="n"/>
      <c r="J14" s="248" t="n"/>
      <c r="K14" s="248" t="n"/>
      <c r="L14" s="248" t="n"/>
    </row>
    <row r="15" ht="15" customHeight="1" s="1085">
      <c r="B15" s="269" t="inlineStr">
        <is>
          <t xml:space="preserve">PANEL / BAG FILTER </t>
        </is>
      </c>
      <c r="C15" s="84" t="inlineStr">
        <is>
          <t>Size</t>
        </is>
      </c>
      <c r="D15" s="87" t="n"/>
      <c r="E15" s="82" t="n"/>
      <c r="F15" s="82" t="n"/>
      <c r="G15" s="380">
        <f>IF(C13="external",VLOOKUP(C15,'Base Costs'!$AP$6:$AR$16,2,FALSE),VLOOKUP(C15,'Base Costs'!$AP$6:$AR$16,3,FALSE))</f>
        <v/>
      </c>
      <c r="H15" s="378">
        <f>D15*G15</f>
        <v/>
      </c>
      <c r="I15" s="463" t="n">
        <v>0.44</v>
      </c>
      <c r="J15" s="311">
        <f>H15/(1-I15)*(1+$C$9)</f>
        <v/>
      </c>
      <c r="K15" s="378">
        <f>J15*VLOOKUP($B$9,'Base Costs'!$A$32:$B$37,2,FALSE)</f>
        <v/>
      </c>
      <c r="L15" s="379">
        <f>K15-H15</f>
        <v/>
      </c>
    </row>
    <row r="16" ht="15" customHeight="1" s="1085">
      <c r="B16" s="269" t="inlineStr">
        <is>
          <t>ELEC / LPHW FROST COIL</t>
        </is>
      </c>
      <c r="C16" s="84" t="inlineStr">
        <is>
          <t>Size</t>
        </is>
      </c>
      <c r="D16" s="87" t="n"/>
      <c r="E16" s="82" t="n"/>
      <c r="F16" s="82" t="n"/>
      <c r="G16" s="380" t="n"/>
      <c r="H16" s="378">
        <f>D16*G16</f>
        <v/>
      </c>
      <c r="I16" s="463" t="n">
        <v>0.44</v>
      </c>
      <c r="J16" s="311">
        <f>H16/(1-I16)*(1+$C$9)</f>
        <v/>
      </c>
      <c r="K16" s="378">
        <f>J16*VLOOKUP($B$9,'Base Costs'!$A$32:$B$37,2,FALSE)</f>
        <v/>
      </c>
      <c r="L16" s="379">
        <f>K16-H16</f>
        <v/>
      </c>
    </row>
    <row r="17" ht="15" customHeight="1" s="1085">
      <c r="B17" s="269" t="inlineStr">
        <is>
          <t>UV FILTER</t>
        </is>
      </c>
      <c r="C17" s="84" t="inlineStr">
        <is>
          <t>Size</t>
        </is>
      </c>
      <c r="D17" s="87" t="n"/>
      <c r="E17" s="82" t="n"/>
      <c r="F17" s="82" t="n"/>
      <c r="G17" s="380" t="n"/>
      <c r="H17" s="378">
        <f>D17*G17</f>
        <v/>
      </c>
      <c r="I17" s="463" t="n">
        <v>0.44</v>
      </c>
      <c r="J17" s="311">
        <f>H17/(1-I17)*(1+$C$9)</f>
        <v/>
      </c>
      <c r="K17" s="378">
        <f>J17*VLOOKUP($B$9,'Base Costs'!$A$32:$B$37,2,FALSE)</f>
        <v/>
      </c>
      <c r="L17" s="379">
        <f>K17-H17</f>
        <v/>
      </c>
    </row>
    <row r="18" ht="15" customHeight="1" s="1085">
      <c r="B18" s="269" t="inlineStr">
        <is>
          <t>COOLING COIL</t>
        </is>
      </c>
      <c r="C18" s="84" t="inlineStr">
        <is>
          <t>Size</t>
        </is>
      </c>
      <c r="D18" s="87" t="n"/>
      <c r="E18" s="82" t="n"/>
      <c r="F18" s="82" t="n"/>
      <c r="G18" s="380" t="n"/>
      <c r="H18" s="378">
        <f>D18*G18</f>
        <v/>
      </c>
      <c r="I18" s="463" t="n">
        <v>0.44</v>
      </c>
      <c r="J18" s="311">
        <f>H18/(1-I18)*(1+$C$9)</f>
        <v/>
      </c>
      <c r="K18" s="378">
        <f>J18*VLOOKUP($B$9,'Base Costs'!$A$32:$B$37,2,FALSE)</f>
        <v/>
      </c>
      <c r="L18" s="379">
        <f>K18-H18</f>
        <v/>
      </c>
      <c r="O18" s="949" t="n"/>
    </row>
    <row r="19" ht="15" customFormat="1" customHeight="1" s="1159">
      <c r="B19" s="269" t="inlineStr">
        <is>
          <t>LPHW HEATER</t>
        </is>
      </c>
      <c r="C19" s="84" t="inlineStr">
        <is>
          <t>Size</t>
        </is>
      </c>
      <c r="D19" s="87" t="n"/>
      <c r="E19" s="83" t="n"/>
      <c r="F19" s="83" t="n"/>
      <c r="G19" s="380" t="n"/>
      <c r="H19" s="378">
        <f>D19*G19</f>
        <v/>
      </c>
      <c r="I19" s="463" t="n">
        <v>0.44</v>
      </c>
      <c r="J19" s="311">
        <f>H19/(1-I19)*(1+$C$9)</f>
        <v/>
      </c>
      <c r="K19" s="378">
        <f>J19*VLOOKUP($B$9,'Base Costs'!$A$32:$B$37,2,FALSE)</f>
        <v/>
      </c>
      <c r="L19" s="379">
        <f>K19-H19</f>
        <v/>
      </c>
    </row>
    <row r="20" ht="15" customFormat="1" customHeight="1" s="1159">
      <c r="B20" s="269" t="inlineStr">
        <is>
          <t>HEAT RECLAIM COIL</t>
        </is>
      </c>
      <c r="C20" s="84" t="inlineStr">
        <is>
          <t>Size</t>
        </is>
      </c>
      <c r="D20" s="87" t="n"/>
      <c r="E20" s="83" t="n"/>
      <c r="F20" s="83" t="n"/>
      <c r="G20" s="380" t="n"/>
      <c r="H20" s="378">
        <f>D20*G20</f>
        <v/>
      </c>
      <c r="I20" s="463" t="n">
        <v>0.44</v>
      </c>
      <c r="J20" s="311">
        <f>H20/(1-I20)*(1+$C$9)</f>
        <v/>
      </c>
      <c r="K20" s="378">
        <f>J20*VLOOKUP($B$9,'Base Costs'!$A$32:$B$37,2,FALSE)</f>
        <v/>
      </c>
      <c r="L20" s="379">
        <f>K20-H20</f>
        <v/>
      </c>
    </row>
    <row r="21" ht="15" customFormat="1" customHeight="1" s="1159">
      <c r="B21" s="269" t="inlineStr">
        <is>
          <t>FAN SECTION</t>
        </is>
      </c>
      <c r="C21" s="84" t="inlineStr">
        <is>
          <t>Size</t>
        </is>
      </c>
      <c r="D21" s="87" t="n"/>
      <c r="E21" s="83" t="n"/>
      <c r="F21" s="83" t="n"/>
      <c r="G21" s="380">
        <f>IF(C13="external",VLOOKUP(C21,'Base Costs'!$AP$85:$AR$95,2,FALSE),VLOOKUP(C21,'Base Costs'!$AP$85:$AR$95,3,FALSE))</f>
        <v/>
      </c>
      <c r="H21" s="378">
        <f>D21*G21</f>
        <v/>
      </c>
      <c r="I21" s="463" t="n">
        <v>0.44</v>
      </c>
      <c r="J21" s="311">
        <f>H21/(1-I21)*(1+$C$9)</f>
        <v/>
      </c>
      <c r="K21" s="378">
        <f>J21*VLOOKUP($B$9,'Base Costs'!$A$32:$B$37,2,FALSE)</f>
        <v/>
      </c>
      <c r="L21" s="379">
        <f>K21-H21</f>
        <v/>
      </c>
    </row>
    <row r="22" ht="15" customFormat="1" customHeight="1" s="1159">
      <c r="B22" s="269" t="inlineStr">
        <is>
          <t>ACCESS SECTION</t>
        </is>
      </c>
      <c r="C22" s="84" t="inlineStr">
        <is>
          <t>Size</t>
        </is>
      </c>
      <c r="D22" s="87" t="n"/>
      <c r="E22" s="83" t="n"/>
      <c r="F22" s="83" t="n"/>
      <c r="G22" s="380">
        <f>IF(C13="external",VLOOKUP(C22,'Base Costs'!$AP$98:$AR$108,2,FALSE),VLOOKUP(C22,'Base Costs'!$AP$98:$AR$108,3,FALSE))</f>
        <v/>
      </c>
      <c r="H22" s="378">
        <f>D22*G22</f>
        <v/>
      </c>
      <c r="I22" s="463" t="n">
        <v>0.44</v>
      </c>
      <c r="J22" s="311">
        <f>H22/(1-I22)*(1+$C$9)</f>
        <v/>
      </c>
      <c r="K22" s="378">
        <f>J22*VLOOKUP($B$9,'Base Costs'!$A$32:$B$37,2,FALSE)</f>
        <v/>
      </c>
      <c r="L22" s="379">
        <f>K22-H22</f>
        <v/>
      </c>
    </row>
    <row r="23" ht="15" customHeight="1" s="1085">
      <c r="B23" s="269" t="n"/>
      <c r="C23" s="88" t="n"/>
      <c r="D23" s="89" t="n"/>
      <c r="E23" s="88" t="n"/>
      <c r="F23" s="88" t="n"/>
      <c r="G23" s="380" t="n"/>
      <c r="H23" s="378" t="n"/>
      <c r="I23" s="463" t="n">
        <v>0.44</v>
      </c>
      <c r="J23" s="311">
        <f>H23/(1-I23)*(1+$C$9)</f>
        <v/>
      </c>
      <c r="K23" s="378">
        <f>J23*VLOOKUP($B$9,'Base Costs'!$A$32:$B$37,2,FALSE)</f>
        <v/>
      </c>
      <c r="L23" s="379">
        <f>K23-H23</f>
        <v/>
      </c>
    </row>
    <row r="24" ht="15" customHeight="1" s="1085">
      <c r="B24" s="978" t="inlineStr">
        <is>
          <t>BIM/REVIT PER UNIT</t>
        </is>
      </c>
      <c r="C24" s="1018" t="n"/>
      <c r="D24" s="1019" t="n">
        <v>1</v>
      </c>
      <c r="E24" s="1020" t="n"/>
      <c r="F24" s="1020" t="n"/>
      <c r="G24" s="995" t="n">
        <v>50</v>
      </c>
      <c r="H24" s="996">
        <f>D24*G24</f>
        <v/>
      </c>
      <c r="I24" s="1021" t="n">
        <v>0.44</v>
      </c>
      <c r="J24" s="998">
        <f>H24/(1-I24)*(1+$C$9)</f>
        <v/>
      </c>
      <c r="K24" s="996">
        <f>J24*VLOOKUP($B$9,'Base Costs'!$A$32:$B$37,2,FALSE)</f>
        <v/>
      </c>
      <c r="L24" s="999">
        <f>K24-H24</f>
        <v/>
      </c>
      <c r="M24" s="1020" t="inlineStr">
        <is>
          <t>always include</t>
        </is>
      </c>
    </row>
    <row r="25" ht="15" customFormat="1" customHeight="1" s="1159">
      <c r="B25" s="269" t="inlineStr">
        <is>
          <t>ATTENUATORS</t>
        </is>
      </c>
      <c r="C25" s="90" t="n"/>
      <c r="D25" s="87" t="n"/>
      <c r="E25" s="73" t="n"/>
      <c r="F25" s="73" t="n"/>
      <c r="G25" s="380" t="n"/>
      <c r="H25" s="378">
        <f>D25*G25</f>
        <v/>
      </c>
      <c r="I25" s="463" t="n">
        <v>0.44</v>
      </c>
      <c r="J25" s="311">
        <f>H25/(1-I25)*(1+$C$9)</f>
        <v/>
      </c>
      <c r="K25" s="378">
        <f>J25*VLOOKUP($B$9,'Base Costs'!$A$32:$B$37,2,FALSE)</f>
        <v/>
      </c>
      <c r="L25" s="379">
        <f>K25-H25</f>
        <v/>
      </c>
    </row>
    <row r="26" ht="15" customFormat="1" customHeight="1" s="1159">
      <c r="B26" s="269" t="n"/>
      <c r="C26" s="92" t="n"/>
      <c r="D26" s="93" t="n">
        <v>0</v>
      </c>
      <c r="E26" s="473" t="n"/>
      <c r="F26" s="73" t="n"/>
      <c r="G26" s="380" t="n"/>
      <c r="H26" s="378">
        <f>D26*G26</f>
        <v/>
      </c>
      <c r="I26" s="463" t="n">
        <v>0.44</v>
      </c>
      <c r="J26" s="311">
        <f>H26/(1-I26)*(1+$C$9)</f>
        <v/>
      </c>
      <c r="K26" s="378">
        <f>J26*VLOOKUP($B$9,'Base Costs'!$A$32:$B$37,2,FALSE)</f>
        <v/>
      </c>
      <c r="L26" s="379">
        <f>K26-H26</f>
        <v/>
      </c>
    </row>
    <row r="27" ht="15" customFormat="1" customHeight="1" s="1159">
      <c r="B27" s="269" t="inlineStr">
        <is>
          <t>W/PROOF SINGLE PITCH ROOF</t>
        </is>
      </c>
      <c r="C27" s="474" t="inlineStr">
        <is>
          <t>PEU01-06</t>
        </is>
      </c>
      <c r="D27" s="475" t="n"/>
      <c r="E27" s="83" t="inlineStr">
        <is>
          <t>Metre</t>
        </is>
      </c>
      <c r="F27" s="83" t="n"/>
      <c r="G27" s="380" t="n">
        <v>103</v>
      </c>
      <c r="H27" s="378">
        <f>D27*G27</f>
        <v/>
      </c>
      <c r="I27" s="463" t="n">
        <v>0.44</v>
      </c>
      <c r="J27" s="311">
        <f>H27/(1-I27)*(1+$C$9)</f>
        <v/>
      </c>
      <c r="K27" s="378">
        <f>J27*VLOOKUP($B$9,'Base Costs'!$A$32:$B$37,2,FALSE)</f>
        <v/>
      </c>
      <c r="L27" s="379">
        <f>K27-H27</f>
        <v/>
      </c>
    </row>
    <row r="28" ht="15" customFormat="1" customHeight="1" s="1159">
      <c r="B28" s="269" t="inlineStr">
        <is>
          <t>W/PROOF SINGLE PITCH ROOF</t>
        </is>
      </c>
      <c r="C28" s="476" t="inlineStr">
        <is>
          <t>PEU07-10</t>
        </is>
      </c>
      <c r="D28" s="475" t="n"/>
      <c r="E28" s="83" t="inlineStr">
        <is>
          <t>Metre</t>
        </is>
      </c>
      <c r="F28" s="83" t="n"/>
      <c r="G28" s="380" t="n">
        <v>135</v>
      </c>
      <c r="H28" s="378">
        <f>D28*G28</f>
        <v/>
      </c>
      <c r="I28" s="463" t="n">
        <v>0.44</v>
      </c>
      <c r="J28" s="311">
        <f>H28/(1-I28)*(1+$C$9)</f>
        <v/>
      </c>
      <c r="K28" s="378">
        <f>J28*VLOOKUP($B$9,'Base Costs'!$A$32:$B$37,2,FALSE)</f>
        <v/>
      </c>
      <c r="L28" s="379">
        <f>K28-H28</f>
        <v/>
      </c>
    </row>
    <row r="29" ht="15" customFormat="1" customHeight="1" s="1159">
      <c r="B29" s="269" t="n"/>
      <c r="C29" s="81" t="n"/>
      <c r="D29" s="91" t="n">
        <v>0</v>
      </c>
      <c r="E29" s="83" t="n"/>
      <c r="F29" s="83" t="n"/>
      <c r="G29" s="380" t="n"/>
      <c r="H29" s="378">
        <f>D29*G29</f>
        <v/>
      </c>
      <c r="I29" s="463" t="n">
        <v>0.44</v>
      </c>
      <c r="J29" s="311">
        <f>H29/(1-I29)*(1+$C$9)</f>
        <v/>
      </c>
      <c r="K29" s="378">
        <f>J29*VLOOKUP($B$9,'Base Costs'!$A$32:$B$37,2,FALSE)</f>
        <v/>
      </c>
      <c r="L29" s="379">
        <f>K29-H29</f>
        <v/>
      </c>
    </row>
    <row r="30" hidden="1" ht="15" customFormat="1" customHeight="1" s="1159">
      <c r="B30" s="308" t="n"/>
      <c r="C30" s="81" t="n"/>
      <c r="D30" s="91" t="n"/>
      <c r="E30" s="83" t="n"/>
      <c r="F30" s="83" t="n"/>
      <c r="G30" s="380" t="n"/>
      <c r="H30" s="378" t="n"/>
      <c r="I30" s="463" t="n">
        <v>0.44</v>
      </c>
      <c r="J30" s="311">
        <f>H30/(1-I30)*(1+$C$9)</f>
        <v/>
      </c>
      <c r="K30" s="378">
        <f>J30*VLOOKUP($B$9,'Base Costs'!$A$32:$B$37,2,FALSE)</f>
        <v/>
      </c>
      <c r="L30" s="379">
        <f>K30-H30</f>
        <v/>
      </c>
    </row>
    <row r="31" hidden="1" ht="15" customFormat="1" customHeight="1" s="1159">
      <c r="B31" s="308" t="inlineStr">
        <is>
          <t>MCD</t>
        </is>
      </c>
      <c r="C31" s="459" t="n"/>
      <c r="D31" s="87" t="n">
        <v>1</v>
      </c>
      <c r="E31" s="83" t="n"/>
      <c r="F31" s="83" t="n"/>
      <c r="G31" s="380">
        <f>C31</f>
        <v/>
      </c>
      <c r="H31" s="378">
        <f>D31*G31</f>
        <v/>
      </c>
      <c r="I31" s="463" t="n">
        <v>0.44</v>
      </c>
      <c r="J31" s="311">
        <f>H31/(1-I31)*(1+$C$9)</f>
        <v/>
      </c>
      <c r="K31" s="378">
        <f>J31*VLOOKUP($B$9,'Base Costs'!$A$32:$B$37,2,FALSE)</f>
        <v/>
      </c>
      <c r="L31" s="379">
        <f>K31-H31</f>
        <v/>
      </c>
    </row>
    <row r="32" hidden="1" ht="15" customFormat="1" customHeight="1" s="1159">
      <c r="B32" s="308" t="inlineStr">
        <is>
          <t>ACCOUSTIC LINED</t>
        </is>
      </c>
      <c r="C32" s="459" t="n"/>
      <c r="D32" s="477" t="n">
        <v>1</v>
      </c>
      <c r="E32" s="83" t="n"/>
      <c r="F32" s="83" t="n"/>
      <c r="G32" s="380">
        <f>C32</f>
        <v/>
      </c>
      <c r="H32" s="378">
        <f>D32*G32</f>
        <v/>
      </c>
      <c r="I32" s="463" t="n">
        <v>0.44</v>
      </c>
      <c r="J32" s="311">
        <f>H32/(1-I32)*(1+$C$9)</f>
        <v/>
      </c>
      <c r="K32" s="378">
        <f>J32*VLOOKUP($B$9,'Base Costs'!$A$32:$B$37,2,FALSE)</f>
        <v/>
      </c>
      <c r="L32" s="379">
        <f>K32-H32</f>
        <v/>
      </c>
    </row>
    <row r="33" ht="15" customFormat="1" customHeight="1" s="1159">
      <c r="B33" s="476" t="inlineStr">
        <is>
          <t>EXTRA OVER FOR VERTICAL</t>
        </is>
      </c>
      <c r="C33" s="478" t="inlineStr">
        <is>
          <t xml:space="preserve">25% OF TOTAL UNIT </t>
        </is>
      </c>
      <c r="D33" s="478" t="n"/>
      <c r="E33" s="476" t="n"/>
      <c r="F33" s="478" t="n"/>
      <c r="G33" s="380">
        <f>SUM(H15:H22)*0.25</f>
        <v/>
      </c>
      <c r="H33" s="378">
        <f>D33*G33</f>
        <v/>
      </c>
      <c r="I33" s="463" t="n">
        <v>0.44</v>
      </c>
      <c r="J33" s="311">
        <f>H33/(1-I33)*(1+$C$9)</f>
        <v/>
      </c>
      <c r="K33" s="378">
        <f>J33*VLOOKUP($B$9,'Base Costs'!$A$32:$B$37,2,FALSE)</f>
        <v/>
      </c>
      <c r="L33" s="379">
        <f>K33-H33</f>
        <v/>
      </c>
    </row>
    <row r="34" ht="15" customFormat="1" customHeight="1" s="1159">
      <c r="B34" s="476" t="inlineStr">
        <is>
          <t>BULKHEAD LIGHTING</t>
        </is>
      </c>
      <c r="C34" s="478" t="n"/>
      <c r="D34" s="478" t="n"/>
      <c r="E34" s="476" t="n"/>
      <c r="F34" s="478" t="n"/>
      <c r="G34" s="380" t="n">
        <v>107</v>
      </c>
      <c r="H34" s="378">
        <f>D34*G34</f>
        <v/>
      </c>
      <c r="I34" s="463" t="n">
        <v>0.44</v>
      </c>
      <c r="J34" s="311">
        <f>H34/(1-I34)*(1+$C$9)</f>
        <v/>
      </c>
      <c r="K34" s="378">
        <f>J34*VLOOKUP($B$9,'Base Costs'!$A$32:$B$37,2,FALSE)</f>
        <v/>
      </c>
      <c r="L34" s="379">
        <f>K34-H34</f>
        <v/>
      </c>
    </row>
    <row r="35" ht="15" customFormat="1" customHeight="1" s="1159">
      <c r="B35" s="476" t="inlineStr">
        <is>
          <t>VIEWING PANEL</t>
        </is>
      </c>
      <c r="C35" s="478" t="n"/>
      <c r="D35" s="478" t="n"/>
      <c r="E35" s="476" t="n"/>
      <c r="F35" s="478" t="n"/>
      <c r="G35" s="380" t="n">
        <v>30</v>
      </c>
      <c r="H35" s="378">
        <f>D35*G35</f>
        <v/>
      </c>
      <c r="I35" s="463" t="n">
        <v>0.44</v>
      </c>
      <c r="J35" s="311">
        <f>H35/(1-I35)*(1+$C$9)</f>
        <v/>
      </c>
      <c r="K35" s="378">
        <f>J35*VLOOKUP($B$9,'Base Costs'!$A$32:$B$37,2,FALSE)</f>
        <v/>
      </c>
      <c r="L35" s="379">
        <f>K35-H35</f>
        <v/>
      </c>
    </row>
    <row r="36" ht="15" customFormat="1" customHeight="1" s="1159">
      <c r="B36" s="476" t="inlineStr">
        <is>
          <t>DAMPERS</t>
        </is>
      </c>
      <c r="C36" s="476" t="n"/>
      <c r="D36" s="478" t="n"/>
      <c r="E36" s="476" t="n"/>
      <c r="F36" s="478" t="inlineStr">
        <is>
          <t>Each</t>
        </is>
      </c>
      <c r="G36" s="380" t="n">
        <v>0</v>
      </c>
      <c r="H36" s="378">
        <f>D36*G36</f>
        <v/>
      </c>
      <c r="I36" s="463" t="n">
        <v>0.44</v>
      </c>
      <c r="J36" s="311">
        <f>H36/(1-I36)*(1+$C$9)</f>
        <v/>
      </c>
      <c r="K36" s="378">
        <f>J36*VLOOKUP($B$9,'Base Costs'!$A$32:$B$37,2,FALSE)</f>
        <v/>
      </c>
      <c r="L36" s="379">
        <f>K36-H36</f>
        <v/>
      </c>
    </row>
    <row r="37" ht="15" customFormat="1" customHeight="1" s="1159">
      <c r="B37" s="67" t="n"/>
      <c r="D37" s="64" t="n"/>
      <c r="E37" s="62" t="n"/>
      <c r="F37" s="479" t="n"/>
      <c r="G37" s="364" t="n"/>
      <c r="H37" s="365" t="n"/>
      <c r="I37" s="96" t="n"/>
      <c r="J37" s="365" t="n"/>
      <c r="K37" s="366" t="n"/>
      <c r="L37" s="366" t="n"/>
      <c r="O37" s="1160" t="inlineStr">
        <is>
          <t>3-Port Valve</t>
        </is>
      </c>
      <c r="R37" s="1159" t="inlineStr">
        <is>
          <t>Actuator</t>
        </is>
      </c>
      <c r="S37" s="864" t="inlineStr">
        <is>
          <t>Total</t>
        </is>
      </c>
    </row>
    <row r="38" ht="15" customFormat="1" customHeight="1" s="1159">
      <c r="B38" s="476" t="inlineStr">
        <is>
          <t>Control platform, fil/htg/clg/fan</t>
        </is>
      </c>
      <c r="C38" s="476" t="n"/>
      <c r="D38" s="480" t="n"/>
      <c r="E38" s="481" t="n"/>
      <c r="F38" s="476" t="n"/>
      <c r="G38" s="380" t="n">
        <v>1995</v>
      </c>
      <c r="H38" s="378">
        <f>D38*G38</f>
        <v/>
      </c>
      <c r="I38" s="463" t="n">
        <v>0.35</v>
      </c>
      <c r="J38" s="311">
        <f>H38/(1-I38)*(1+$C$9)</f>
        <v/>
      </c>
      <c r="K38" s="378">
        <f>J38*VLOOKUP($B$9,'Base Costs'!$A$32:$B$37,2,FALSE)</f>
        <v/>
      </c>
      <c r="L38" s="379">
        <f>K38-H38</f>
        <v/>
      </c>
      <c r="O38" s="865" t="inlineStr">
        <is>
          <t>15mm</t>
        </is>
      </c>
      <c r="P38" s="1159" t="inlineStr">
        <is>
          <t>Screwed</t>
        </is>
      </c>
      <c r="Q38" s="1159" t="n">
        <v>96.44</v>
      </c>
      <c r="R38" s="1159" t="n">
        <v>216.71</v>
      </c>
      <c r="S38" s="865">
        <f>SUM(Q38:R38)</f>
        <v/>
      </c>
    </row>
    <row r="39" ht="15" customFormat="1" customHeight="1" s="1159">
      <c r="B39" s="476" t="inlineStr">
        <is>
          <t>Control platform, filters &amp; fan</t>
        </is>
      </c>
      <c r="C39" s="476" t="n"/>
      <c r="D39" s="482" t="n"/>
      <c r="E39" s="483" t="n"/>
      <c r="F39" s="476" t="n"/>
      <c r="G39" s="380" t="n">
        <v>1810</v>
      </c>
      <c r="H39" s="378">
        <f>D39*G39</f>
        <v/>
      </c>
      <c r="I39" s="463" t="n">
        <v>0.35</v>
      </c>
      <c r="J39" s="311">
        <f>H39/(1-I39)*(1+$C$9)</f>
        <v/>
      </c>
      <c r="K39" s="378">
        <f>J39*VLOOKUP($B$9,'Base Costs'!$A$32:$B$37,2,FALSE)</f>
        <v/>
      </c>
      <c r="L39" s="379">
        <f>K39-H39</f>
        <v/>
      </c>
      <c r="O39" s="865" t="inlineStr">
        <is>
          <t>20mm</t>
        </is>
      </c>
      <c r="P39" s="1159" t="inlineStr">
        <is>
          <t>Screwed</t>
        </is>
      </c>
      <c r="Q39" s="1159" t="n">
        <v>75.59</v>
      </c>
      <c r="R39" s="1159" t="n">
        <v>216.71</v>
      </c>
      <c r="S39" s="865">
        <f>SUM(Q39:R39)</f>
        <v/>
      </c>
    </row>
    <row r="40" ht="15" customFormat="1" customHeight="1" s="1159">
      <c r="B40" s="476" t="n"/>
      <c r="C40" s="476" t="n"/>
      <c r="D40" s="484" t="n"/>
      <c r="E40" s="483" t="n"/>
      <c r="F40" s="868" t="n"/>
      <c r="G40" s="800" t="n"/>
      <c r="H40" s="378">
        <f>D40*G40</f>
        <v/>
      </c>
      <c r="I40" s="463" t="n">
        <v>0</v>
      </c>
      <c r="J40" s="311">
        <f>H40/(1-I40)*(1+$C$9)</f>
        <v/>
      </c>
      <c r="K40" s="378">
        <f>J40*VLOOKUP($B$9,'Base Costs'!$A$32:$B$37,2,FALSE)</f>
        <v/>
      </c>
      <c r="L40" s="379">
        <f>K40-H40</f>
        <v/>
      </c>
      <c r="O40" s="865" t="inlineStr">
        <is>
          <t>25mm</t>
        </is>
      </c>
      <c r="P40" s="1159" t="inlineStr">
        <is>
          <t>Screwed</t>
        </is>
      </c>
      <c r="Q40" s="1159" t="n">
        <v>82.12</v>
      </c>
      <c r="R40" s="1159" t="n">
        <v>216.71</v>
      </c>
      <c r="S40" s="865">
        <f>SUM(Q40:R40)</f>
        <v/>
      </c>
      <c r="U40" s="485" t="n"/>
    </row>
    <row r="41" ht="15" customFormat="1" customHeight="1" s="1159">
      <c r="B41" s="476" t="n"/>
      <c r="C41" s="476" t="n"/>
      <c r="D41" s="484" t="n"/>
      <c r="E41" s="483" t="n"/>
      <c r="F41" s="885" t="n"/>
      <c r="G41" s="800" t="n"/>
      <c r="H41" s="378">
        <f>D41*G41</f>
        <v/>
      </c>
      <c r="I41" s="463" t="n">
        <v>0</v>
      </c>
      <c r="J41" s="311">
        <f>H41/(1-I41)*(1+$C$9)</f>
        <v/>
      </c>
      <c r="K41" s="378">
        <f>J41*VLOOKUP($B$9,'Base Costs'!$A$32:$B$37,2,FALSE)</f>
        <v/>
      </c>
      <c r="L41" s="379">
        <f>K41-H41</f>
        <v/>
      </c>
      <c r="O41" s="865" t="inlineStr">
        <is>
          <t>32mm</t>
        </is>
      </c>
      <c r="P41" s="1159" t="inlineStr">
        <is>
          <t>Screwed</t>
        </is>
      </c>
      <c r="Q41" s="1159" t="n">
        <v>87.86</v>
      </c>
      <c r="R41" s="1159" t="n">
        <v>216.71</v>
      </c>
      <c r="S41" s="865">
        <f>SUM(Q41:R41)</f>
        <v/>
      </c>
    </row>
    <row r="42" ht="15" customFormat="1" customHeight="1" s="1159">
      <c r="B42" s="476" t="n"/>
      <c r="C42" s="476" t="n"/>
      <c r="D42" s="484" t="n"/>
      <c r="E42" s="483" t="n"/>
      <c r="F42" s="868" t="n"/>
      <c r="G42" s="870" t="n"/>
      <c r="H42" s="378">
        <f>D42*G42</f>
        <v/>
      </c>
      <c r="I42" s="463" t="n">
        <v>0</v>
      </c>
      <c r="J42" s="311">
        <f>H42/(1-I42)*(1+$C$9)</f>
        <v/>
      </c>
      <c r="K42" s="378">
        <f>J42*VLOOKUP($B$9,'Base Costs'!$A$32:$B$37,2,FALSE)</f>
        <v/>
      </c>
      <c r="L42" s="379">
        <f>K42-H42</f>
        <v/>
      </c>
      <c r="O42" s="865" t="inlineStr">
        <is>
          <t>40mm</t>
        </is>
      </c>
      <c r="P42" s="1159" t="inlineStr">
        <is>
          <t>Screwed</t>
        </is>
      </c>
      <c r="Q42" s="1159" t="n">
        <v>154.57</v>
      </c>
      <c r="R42" s="1159" t="n">
        <v>216.71</v>
      </c>
      <c r="S42" s="865">
        <f>SUM(Q42:R42)</f>
        <v/>
      </c>
    </row>
    <row r="43" ht="15" customFormat="1" customHeight="1" s="1159">
      <c r="B43" s="476" t="n"/>
      <c r="C43" s="476" t="n"/>
      <c r="D43" s="486" t="n"/>
      <c r="E43" s="487" t="n"/>
      <c r="F43" s="867" t="n"/>
      <c r="G43" s="800" t="n"/>
      <c r="H43" s="378">
        <f>D43*G43</f>
        <v/>
      </c>
      <c r="I43" s="463" t="n">
        <v>0.35</v>
      </c>
      <c r="J43" s="311">
        <f>H43/(1-I43)*(1+$C$9)</f>
        <v/>
      </c>
      <c r="K43" s="378">
        <f>J43*VLOOKUP($B$9,'Base Costs'!$A$32:$B$37,2,FALSE)</f>
        <v/>
      </c>
      <c r="L43" s="379">
        <f>K43-H43</f>
        <v/>
      </c>
      <c r="O43" s="865" t="inlineStr">
        <is>
          <t>50mm</t>
        </is>
      </c>
      <c r="P43" s="1159" t="inlineStr">
        <is>
          <t>Flanged</t>
        </is>
      </c>
      <c r="Q43" s="1159" t="n">
        <v>384.14</v>
      </c>
      <c r="R43" s="1159" t="n">
        <v>216.71</v>
      </c>
      <c r="S43" s="865">
        <f>SUM(Q43:R43)</f>
        <v/>
      </c>
    </row>
    <row r="44" ht="15" customFormat="1" customHeight="1" s="1159">
      <c r="B44" s="476" t="inlineStr">
        <is>
          <t>Damper control</t>
        </is>
      </c>
      <c r="C44" s="476" t="n"/>
      <c r="D44" s="482" t="n"/>
      <c r="E44" s="483" t="n"/>
      <c r="F44" s="868" t="n"/>
      <c r="G44" s="800" t="n">
        <v>110</v>
      </c>
      <c r="H44" s="489">
        <f>D44*G44</f>
        <v/>
      </c>
      <c r="I44" s="463" t="n">
        <v>0.35</v>
      </c>
      <c r="J44" s="311">
        <f>H44/(1-I44)*(1+$C$9)</f>
        <v/>
      </c>
      <c r="K44" s="378">
        <f>J44*VLOOKUP($B$9,'Base Costs'!$A$32:$B$37,2,FALSE)</f>
        <v/>
      </c>
      <c r="L44" s="379">
        <f>K44-H44</f>
        <v/>
      </c>
      <c r="O44" s="865" t="inlineStr">
        <is>
          <t>65mm</t>
        </is>
      </c>
      <c r="P44" s="1159" t="inlineStr">
        <is>
          <t>Flanged</t>
        </is>
      </c>
      <c r="Q44" s="1159" t="n">
        <v>421.21</v>
      </c>
      <c r="R44" s="1159" t="n">
        <v>216.71</v>
      </c>
      <c r="S44" s="865">
        <f>SUM(Q44:R44)</f>
        <v/>
      </c>
    </row>
    <row r="45" ht="15" customFormat="1" customHeight="1" s="1159">
      <c r="B45" s="917" t="inlineStr">
        <is>
          <t>W/shop commissioning 1</t>
        </is>
      </c>
      <c r="C45" s="918" t="inlineStr">
        <is>
          <t>Standard cost</t>
        </is>
      </c>
      <c r="D45" s="871" t="n"/>
      <c r="E45" s="483" t="n"/>
      <c r="F45" s="869" t="n"/>
      <c r="G45" s="800" t="n">
        <v>100</v>
      </c>
      <c r="H45" s="489">
        <f>D45*G45</f>
        <v/>
      </c>
      <c r="I45" s="463" t="n">
        <v>0</v>
      </c>
      <c r="J45" s="311">
        <f>H45/(1-I45)*(1+$C$9)</f>
        <v/>
      </c>
      <c r="K45" s="378">
        <f>J45*VLOOKUP($B$9,'Base Costs'!$A$32:$B$37,2,FALSE)</f>
        <v/>
      </c>
      <c r="L45" s="379">
        <f>K45-H45</f>
        <v/>
      </c>
    </row>
    <row r="46" ht="15" customFormat="1" customHeight="1" s="1159">
      <c r="B46" s="801" t="inlineStr">
        <is>
          <t>W/shop commissioning 2</t>
        </is>
      </c>
      <c r="C46" s="476" t="inlineStr">
        <is>
          <t>Extra over for Extenso</t>
        </is>
      </c>
      <c r="D46" s="482" t="n"/>
      <c r="E46" s="483" t="n"/>
      <c r="F46" s="868" t="inlineStr">
        <is>
          <t>Not req'd if in Pollustop</t>
        </is>
      </c>
      <c r="G46" s="800" t="n">
        <v>100</v>
      </c>
      <c r="H46" s="489">
        <f>D46*G46</f>
        <v/>
      </c>
      <c r="I46" s="463" t="n">
        <v>0.35</v>
      </c>
      <c r="J46" s="311">
        <f>H46/(1-I46)*(1+$C$9)</f>
        <v/>
      </c>
      <c r="K46" s="378">
        <f>J46*VLOOKUP($B$9,'Base Costs'!$A$32:$B$37,2,FALSE)</f>
        <v/>
      </c>
      <c r="L46" s="379">
        <f>K46-H46</f>
        <v/>
      </c>
      <c r="O46" s="1159" t="inlineStr">
        <is>
          <t>Frost 'stat</t>
        </is>
      </c>
      <c r="P46" s="1159" t="inlineStr">
        <is>
          <t>Supply</t>
        </is>
      </c>
      <c r="Q46" s="1159" t="n">
        <v>57</v>
      </c>
    </row>
    <row r="47" ht="15" customFormat="1" customHeight="1" s="1159">
      <c r="B47" s="801" t="inlineStr">
        <is>
          <t>3-Port diverting valve</t>
        </is>
      </c>
      <c r="C47" s="476" t="n"/>
      <c r="D47" s="482" t="n"/>
      <c r="E47" s="483" t="n"/>
      <c r="F47" s="867" t="n"/>
      <c r="G47" s="800" t="n">
        <v>0</v>
      </c>
      <c r="H47" s="489">
        <f>D47*G47</f>
        <v/>
      </c>
      <c r="I47" s="463" t="n">
        <v>0.35</v>
      </c>
      <c r="J47" s="311">
        <f>H47/(1-I47)*(1+$C$9)</f>
        <v/>
      </c>
      <c r="K47" s="378">
        <f>J47*VLOOKUP($B$9,'Base Costs'!$A$32:$B$37,2,FALSE)</f>
        <v/>
      </c>
      <c r="L47" s="379">
        <f>K47-H47</f>
        <v/>
      </c>
      <c r="O47" s="1159" t="inlineStr">
        <is>
          <t>Inlet 'stat</t>
        </is>
      </c>
      <c r="P47" s="1159" t="inlineStr">
        <is>
          <t>Supply</t>
        </is>
      </c>
      <c r="Q47" s="1159" t="n">
        <v>57</v>
      </c>
    </row>
    <row r="48" ht="15" customFormat="1" customHeight="1" s="1159">
      <c r="B48" s="289" t="inlineStr">
        <is>
          <t>Duct Sensor</t>
        </is>
      </c>
      <c r="C48" s="866" t="inlineStr">
        <is>
          <t xml:space="preserve">A1K-2W-DO-6'20' CLZP </t>
        </is>
      </c>
      <c r="D48" s="482" t="n"/>
      <c r="E48" s="483" t="n"/>
      <c r="F48" s="869" t="n"/>
      <c r="G48" s="800" t="n">
        <v>57</v>
      </c>
      <c r="H48" s="489">
        <f>D48*G48</f>
        <v/>
      </c>
      <c r="I48" s="463" t="n">
        <v>0.35</v>
      </c>
      <c r="J48" s="311">
        <f>H48/(1-I48)*(1+$C$9)</f>
        <v/>
      </c>
      <c r="K48" s="378">
        <f>J48*VLOOKUP($B$9,'Base Costs'!$A$32:$B$37,2,FALSE)</f>
        <v/>
      </c>
      <c r="L48" s="379">
        <f>K48-H48</f>
        <v/>
      </c>
      <c r="O48" s="1159" t="inlineStr">
        <is>
          <t>Outlet 'stat</t>
        </is>
      </c>
      <c r="P48" s="1159" t="inlineStr">
        <is>
          <t>Supply</t>
        </is>
      </c>
      <c r="Q48" s="1159" t="n">
        <v>57</v>
      </c>
    </row>
    <row r="49" ht="15" customFormat="1" customHeight="1" s="1159">
      <c r="B49" s="289" t="inlineStr">
        <is>
          <t>Pipe Sensor (HR ONLY)</t>
        </is>
      </c>
      <c r="C49" s="866" t="inlineStr">
        <is>
          <t xml:space="preserve">A1K-2W-5-4x </t>
        </is>
      </c>
      <c r="D49" s="482" t="n"/>
      <c r="E49" s="483" t="n"/>
      <c r="F49" s="869" t="n"/>
      <c r="G49" s="800" t="n">
        <v>65</v>
      </c>
      <c r="H49" s="489">
        <f>D49*G49</f>
        <v/>
      </c>
      <c r="I49" s="463" t="n">
        <v>0.35</v>
      </c>
      <c r="J49" s="311">
        <f>H49/(1-I49)*(1+$C$9)</f>
        <v/>
      </c>
      <c r="K49" s="378">
        <f>J49*VLOOKUP($B$9,'Base Costs'!$A$32:$B$37,2,FALSE)</f>
        <v/>
      </c>
      <c r="L49" s="379">
        <f>K49-H49</f>
        <v/>
      </c>
      <c r="O49" s="1159" t="inlineStr">
        <is>
          <t>Extract 'stat</t>
        </is>
      </c>
      <c r="P49" s="1159" t="inlineStr">
        <is>
          <t>Extract</t>
        </is>
      </c>
      <c r="Q49" s="1159" t="n">
        <v>57</v>
      </c>
    </row>
    <row r="50" ht="15" customFormat="1" customHeight="1" s="1159">
      <c r="B50" s="68" t="n"/>
      <c r="C50" s="68" t="n"/>
      <c r="D50" s="69" t="n"/>
      <c r="E50" s="70" t="n"/>
      <c r="F50" s="71" t="n"/>
      <c r="G50" s="367" t="n"/>
      <c r="H50" s="490" t="n"/>
      <c r="I50" s="56" t="n"/>
      <c r="J50" s="362" t="n"/>
      <c r="K50" s="490" t="n"/>
      <c r="L50" s="362" t="n"/>
      <c r="O50" s="1159" t="inlineStr">
        <is>
          <t>HR 'stat</t>
        </is>
      </c>
      <c r="P50" s="1159" t="inlineStr">
        <is>
          <t>Extract</t>
        </is>
      </c>
      <c r="Q50" s="1159" t="n">
        <v>57</v>
      </c>
    </row>
    <row r="51" ht="15" customFormat="1" customHeight="1" s="1159">
      <c r="B51" s="85" t="inlineStr">
        <is>
          <t>DELIVERY &amp; INSTALLATION</t>
        </is>
      </c>
      <c r="C51" s="85" t="n"/>
      <c r="D51" s="86" t="n"/>
      <c r="E51" s="85" t="n"/>
      <c r="F51" s="85" t="n"/>
      <c r="G51" s="61" t="n"/>
      <c r="H51" s="154">
        <f>SUBTOTAL(9,H52:H61)</f>
        <v/>
      </c>
      <c r="I51" s="15">
        <f>IF(H52=0,"-",L51/J51)</f>
        <v/>
      </c>
      <c r="J51" s="154">
        <f>SUBTOTAL(9,J52:J62)</f>
        <v/>
      </c>
      <c r="K51" s="466">
        <f>SUBTOTAL(9,K52:K61)</f>
        <v/>
      </c>
      <c r="L51" s="154">
        <f>SUBTOTAL(9,L52:L61)</f>
        <v/>
      </c>
      <c r="O51" s="1159" t="inlineStr">
        <is>
          <t>Frost 'stat</t>
        </is>
      </c>
      <c r="P51" s="1159" t="inlineStr">
        <is>
          <t>Extract</t>
        </is>
      </c>
      <c r="Q51" s="1159" t="n">
        <v>57</v>
      </c>
    </row>
    <row r="52" ht="15" customFormat="1" customHeight="1" s="1159">
      <c r="B52" s="308" t="inlineStr">
        <is>
          <t xml:space="preserve">DELIVERIES </t>
        </is>
      </c>
      <c r="C52" s="95" t="n"/>
      <c r="D52" s="289" t="inlineStr">
        <is>
          <t>SELECT LOCATION…</t>
        </is>
      </c>
      <c r="E52" s="616" t="inlineStr">
        <is>
          <t>Hiab for PST04 and above (£650.00 London)</t>
        </is>
      </c>
      <c r="F52" s="617" t="n"/>
      <c r="G52" s="380" t="n">
        <v>900</v>
      </c>
      <c r="H52" s="378">
        <f>C52*G52</f>
        <v/>
      </c>
      <c r="I52" s="491" t="n">
        <v>0.33</v>
      </c>
      <c r="J52" s="311">
        <f>H52/(1-I52)*(1+$C$9)</f>
        <v/>
      </c>
      <c r="K52" s="378">
        <f>J52*VLOOKUP($B$9,'Base Costs'!$A$32:$B$37,2,FALSE)</f>
        <v/>
      </c>
      <c r="L52" s="379">
        <f>J52-H52</f>
        <v/>
      </c>
      <c r="O52" s="1159" t="inlineStr">
        <is>
          <t>HR pipe 'stat</t>
        </is>
      </c>
      <c r="P52" s="1159" t="inlineStr">
        <is>
          <t>Extract</t>
        </is>
      </c>
      <c r="Q52" s="1159" t="n">
        <v>65</v>
      </c>
    </row>
    <row r="53" ht="15" customFormat="1" customHeight="1" s="1159">
      <c r="B53" s="308" t="inlineStr">
        <is>
          <t>PLANT HIRE</t>
        </is>
      </c>
      <c r="C53" s="95" t="n"/>
      <c r="D53" s="289" t="inlineStr">
        <is>
          <t>PLANT SELECTION (weekly)</t>
        </is>
      </c>
      <c r="E53" s="73" t="n"/>
      <c r="F53" s="73" t="n"/>
      <c r="G53" s="380" t="n">
        <v>250</v>
      </c>
      <c r="H53" s="378">
        <f>C53*G53</f>
        <v/>
      </c>
      <c r="I53" s="491" t="n">
        <v>0.33</v>
      </c>
      <c r="J53" s="311">
        <f>H53/(1-I53)*(1+$C$9)</f>
        <v/>
      </c>
      <c r="K53" s="378">
        <f>J53*VLOOKUP($B$9,'Base Costs'!$A$32:$B$37,2,FALSE)</f>
        <v/>
      </c>
      <c r="L53" s="379">
        <f>J53-H53</f>
        <v/>
      </c>
    </row>
    <row r="54" ht="15" customFormat="1" customHeight="1" s="1159">
      <c r="B54" s="1013" t="inlineStr">
        <is>
          <t>WHEELS</t>
        </is>
      </c>
      <c r="C54" s="1014" t="n">
        <v>1</v>
      </c>
      <c r="D54" s="1015" t="inlineStr">
        <is>
          <t>PER M3</t>
        </is>
      </c>
      <c r="E54" s="1016" t="n"/>
      <c r="F54" s="1016" t="n"/>
      <c r="G54" s="995" t="n">
        <v>160</v>
      </c>
      <c r="H54" s="996">
        <f>C54*G54</f>
        <v/>
      </c>
      <c r="I54" s="1017" t="n">
        <v>0.33</v>
      </c>
      <c r="J54" s="998">
        <f>H54/(1-I54)*(1+$C$9)</f>
        <v/>
      </c>
      <c r="K54" s="996">
        <f>J54*VLOOKUP($B$9,'Base Costs'!$A$32:$B$37,2,FALSE)</f>
        <v/>
      </c>
      <c r="L54" s="999">
        <f>J54-H54</f>
        <v/>
      </c>
      <c r="M54" s="1016" t="inlineStr">
        <is>
          <t>always include</t>
        </is>
      </c>
    </row>
    <row r="55" ht="15" customFormat="1" customHeight="1" s="1159">
      <c r="B55" s="28" t="inlineStr">
        <is>
          <t>INSTALLATION NORMAL HOURS</t>
        </is>
      </c>
      <c r="C55" s="95" t="n"/>
      <c r="D55" s="28" t="inlineStr">
        <is>
          <t>PER TEAM PER DAY</t>
        </is>
      </c>
      <c r="E55" s="73" t="n"/>
      <c r="F55" s="73" t="n"/>
      <c r="G55" s="380" t="n">
        <v>610</v>
      </c>
      <c r="H55" s="378">
        <f>C55*G55</f>
        <v/>
      </c>
      <c r="I55" s="491" t="n">
        <v>0.4</v>
      </c>
      <c r="J55" s="311">
        <f>H55/(1-I55)*(1+$C$9)</f>
        <v/>
      </c>
      <c r="K55" s="378">
        <f>J55*VLOOKUP($B$9,'Base Costs'!$A$32:$B$37,2,FALSE)</f>
        <v/>
      </c>
      <c r="L55" s="379">
        <f>J55-H55</f>
        <v/>
      </c>
    </row>
    <row r="56" ht="15" customFormat="1" customHeight="1" s="1159">
      <c r="B56" s="28" t="inlineStr">
        <is>
          <t>INSTALLATION AFTER HOURS</t>
        </is>
      </c>
      <c r="C56" s="95" t="n"/>
      <c r="D56" s="28" t="inlineStr">
        <is>
          <t>PER TEAM PER DAY</t>
        </is>
      </c>
      <c r="E56" s="73" t="n"/>
      <c r="F56" s="73" t="n"/>
      <c r="G56" s="380" t="n">
        <v>1220</v>
      </c>
      <c r="H56" s="378">
        <f>C56*G56</f>
        <v/>
      </c>
      <c r="I56" s="491" t="n">
        <v>0.4</v>
      </c>
      <c r="J56" s="311">
        <f>H56/(1-I56)*(1+$C$9)</f>
        <v/>
      </c>
      <c r="K56" s="378">
        <f>J56*VLOOKUP($B$9,'Base Costs'!$A$32:$B$37,2,FALSE)</f>
        <v/>
      </c>
      <c r="L56" s="379">
        <f>J56-H56</f>
        <v/>
      </c>
    </row>
    <row r="57" ht="15" customFormat="1" customHeight="1" s="1159">
      <c r="B57" s="28" t="inlineStr">
        <is>
          <t>ACCOMODATION</t>
        </is>
      </c>
      <c r="C57" s="95" t="n"/>
      <c r="D57" s="28" t="inlineStr">
        <is>
          <t>PER NIGHT PER TEAM</t>
        </is>
      </c>
      <c r="E57" s="73" t="n"/>
      <c r="F57" s="73" t="n"/>
      <c r="G57" s="380" t="n">
        <v>220</v>
      </c>
      <c r="H57" s="378">
        <f>C57*G57</f>
        <v/>
      </c>
      <c r="I57" s="491" t="n">
        <v>0.33</v>
      </c>
      <c r="J57" s="311">
        <f>H57/(1-I57)*(1+$C$9)</f>
        <v/>
      </c>
      <c r="K57" s="378">
        <f>J57*VLOOKUP($B$9,'Base Costs'!$A$32:$B$37,2,FALSE)</f>
        <v/>
      </c>
      <c r="L57" s="379">
        <f>J57-H57</f>
        <v/>
      </c>
    </row>
    <row r="58" ht="15" customFormat="1" customHeight="1" s="1159">
      <c r="B58" s="308" t="inlineStr">
        <is>
          <t>TRAVEL EXPENSES</t>
        </is>
      </c>
      <c r="C58" s="95" t="n"/>
      <c r="D58" s="28" t="inlineStr">
        <is>
          <t>PER NIGHT PER TEAM</t>
        </is>
      </c>
      <c r="E58" s="73" t="n"/>
      <c r="F58" s="73" t="n"/>
      <c r="G58" s="380" t="n">
        <v>150</v>
      </c>
      <c r="H58" s="378">
        <f>C58*G58</f>
        <v/>
      </c>
      <c r="I58" s="491" t="n">
        <v>0.33</v>
      </c>
      <c r="J58" s="311">
        <f>H58/(1-I58)*(1+$C$9)</f>
        <v/>
      </c>
      <c r="K58" s="378">
        <f>J58*VLOOKUP($B$9,'Base Costs'!$A$32:$B$37,2,FALSE)</f>
        <v/>
      </c>
      <c r="L58" s="379">
        <f>J58-H58</f>
        <v/>
      </c>
    </row>
    <row r="59" ht="15" customFormat="1" customHeight="1" s="1159">
      <c r="B59" s="308" t="inlineStr">
        <is>
          <t xml:space="preserve">CONSUMABLES </t>
        </is>
      </c>
      <c r="C59" s="95" t="n"/>
      <c r="D59" s="28" t="inlineStr">
        <is>
          <t>SITE SPECIFIC</t>
        </is>
      </c>
      <c r="E59" s="73" t="n"/>
      <c r="F59" s="73" t="n"/>
      <c r="G59" s="380" t="n">
        <v>50</v>
      </c>
      <c r="H59" s="378">
        <f>C59*G59</f>
        <v/>
      </c>
      <c r="I59" s="491" t="n">
        <v>0.33</v>
      </c>
      <c r="J59" s="311">
        <f>H59/(1-I59)*(1+$C$9)</f>
        <v/>
      </c>
      <c r="K59" s="378">
        <f>J59*VLOOKUP($B$9,'Base Costs'!$A$32:$B$37,2,FALSE)</f>
        <v/>
      </c>
      <c r="L59" s="379">
        <f>J59-H59</f>
        <v/>
      </c>
    </row>
    <row r="60" ht="15" customFormat="1" customHeight="1" s="1159">
      <c r="B60" s="308" t="inlineStr">
        <is>
          <t>TEST &amp; COMMISSION SITE</t>
        </is>
      </c>
      <c r="C60" s="95" t="n">
        <v>2</v>
      </c>
      <c r="D60" s="1115" t="inlineStr">
        <is>
          <t>ONE Engineer, 2 days per Aerolys</t>
        </is>
      </c>
      <c r="G60" s="380" t="n">
        <v>604</v>
      </c>
      <c r="H60" s="378">
        <f>C60*G60</f>
        <v/>
      </c>
      <c r="I60" s="491" t="n">
        <v>0.33</v>
      </c>
      <c r="J60" s="311">
        <f>H60/(1-I60)*(1+$C$9)</f>
        <v/>
      </c>
      <c r="K60" s="378">
        <f>J60*VLOOKUP($B$9,'Base Costs'!$A$32:$B$37,2,FALSE)</f>
        <v/>
      </c>
      <c r="L60" s="379">
        <f>J60-H60</f>
        <v/>
      </c>
      <c r="M60" s="1016" t="inlineStr">
        <is>
          <t>always include</t>
        </is>
      </c>
    </row>
    <row r="61" ht="15" customFormat="1" customHeight="1" s="1159">
      <c r="B61" s="28" t="inlineStr">
        <is>
          <t>SITE INSTALLATION CHECK</t>
        </is>
      </c>
      <c r="C61" s="250" t="n"/>
      <c r="D61" s="1103" t="inlineStr">
        <is>
          <t>IF BEING INSTALLED BY A 3RD PARTY</t>
        </is>
      </c>
      <c r="G61" s="380" t="n">
        <v>603</v>
      </c>
      <c r="H61" s="378">
        <f>C61*G61</f>
        <v/>
      </c>
      <c r="I61" s="491" t="n">
        <v>0.33</v>
      </c>
      <c r="J61" s="311">
        <f>H61/(1-I61)*(1+$C$9)</f>
        <v/>
      </c>
      <c r="K61" s="378">
        <f>J61*VLOOKUP($B$9,'Base Costs'!$A$32:$B$37,2,FALSE)</f>
        <v/>
      </c>
      <c r="L61" s="379">
        <f>J61-H61</f>
        <v/>
      </c>
    </row>
    <row r="62" ht="15" customFormat="1" customHeight="1" s="1159">
      <c r="B62" s="55" t="n"/>
      <c r="C62" s="74" t="n"/>
      <c r="D62" s="56" t="n"/>
      <c r="E62" s="55" t="n"/>
      <c r="F62" s="55" t="n"/>
      <c r="G62" s="362" t="n"/>
      <c r="H62" s="362" t="n"/>
      <c r="I62" s="56" t="n"/>
      <c r="J62" s="362" t="n"/>
      <c r="K62" s="362" t="n"/>
      <c r="L62" s="362" t="n"/>
    </row>
    <row r="63" ht="15" customFormat="1" customHeight="1" s="1159">
      <c r="B63" s="197" t="inlineStr">
        <is>
          <t>Office Use Only</t>
        </is>
      </c>
      <c r="C63" s="198" t="n"/>
      <c r="D63" s="199" t="n"/>
      <c r="E63" s="199" t="n"/>
      <c r="F63" s="198" t="n"/>
      <c r="G63" s="200" t="n"/>
      <c r="H63" s="198" t="n"/>
      <c r="I63" s="198" t="n"/>
      <c r="J63" s="198" t="n"/>
      <c r="K63" s="198" t="n"/>
      <c r="L63" s="198" t="n"/>
    </row>
    <row r="64" ht="15" customFormat="1" customHeight="1" s="1159">
      <c r="B64" s="202" t="n"/>
      <c r="C64" s="203" t="n"/>
      <c r="D64" s="202" t="n"/>
      <c r="E64" s="204" t="n"/>
      <c r="F64" s="202" t="n"/>
      <c r="G64" s="209" t="n"/>
      <c r="H64" s="203" t="n"/>
      <c r="I64" s="203" t="n"/>
      <c r="J64" s="203" t="n"/>
      <c r="K64" s="205" t="n"/>
      <c r="L64" s="205" t="n"/>
    </row>
    <row r="65" ht="15" customFormat="1" customHeight="1" s="1159">
      <c r="B65" s="202" t="n"/>
      <c r="C65" s="203" t="n"/>
      <c r="D65" s="202" t="n"/>
      <c r="E65" s="204" t="n"/>
      <c r="F65" s="202" t="n"/>
      <c r="G65" s="209" t="n"/>
      <c r="H65" s="203" t="n"/>
      <c r="I65" s="203" t="n"/>
      <c r="J65" s="203" t="n"/>
      <c r="K65" s="205" t="n"/>
      <c r="L65" s="205" t="n"/>
    </row>
    <row r="66" ht="15" customFormat="1" customHeight="1" s="1159">
      <c r="B66" s="202" t="n"/>
      <c r="C66" s="203" t="n"/>
      <c r="D66" s="202" t="n"/>
      <c r="E66" s="204" t="n"/>
      <c r="F66" s="202" t="n"/>
      <c r="G66" s="209" t="n"/>
      <c r="H66" s="203" t="n"/>
      <c r="I66" s="203" t="n"/>
      <c r="J66" s="203" t="n"/>
      <c r="K66" s="209" t="n"/>
      <c r="L66" s="209" t="n"/>
    </row>
    <row r="67" ht="15" customFormat="1" customHeight="1" s="1159">
      <c r="B67" s="202" t="n"/>
      <c r="C67" s="203" t="n"/>
      <c r="D67" s="202" t="n"/>
      <c r="E67" s="204" t="n"/>
      <c r="F67" s="202" t="n"/>
      <c r="G67" s="209" t="n"/>
      <c r="H67" s="206" t="n"/>
      <c r="I67" s="203" t="n"/>
      <c r="J67" s="203" t="n"/>
      <c r="K67" s="209" t="n"/>
      <c r="L67" s="209" t="n"/>
    </row>
    <row r="68" ht="15" customFormat="1" customHeight="1" s="1159">
      <c r="B68" s="202" t="n"/>
      <c r="C68" s="203" t="n"/>
      <c r="D68" s="202" t="n"/>
      <c r="E68" s="202" t="n"/>
      <c r="F68" s="202" t="n"/>
      <c r="G68" s="207" t="n"/>
      <c r="H68" s="209" t="n"/>
      <c r="I68" s="203" t="n"/>
      <c r="J68" s="203" t="n"/>
      <c r="K68" s="205" t="n"/>
      <c r="L68" s="205" t="n"/>
    </row>
    <row r="69" ht="15" customFormat="1" customHeight="1" s="1159">
      <c r="B69" s="202" t="n"/>
      <c r="C69" s="202" t="n"/>
      <c r="D69" s="202" t="n"/>
      <c r="E69" s="202" t="n"/>
      <c r="F69" s="202" t="n"/>
      <c r="G69" s="207" t="n"/>
      <c r="H69" s="209" t="n"/>
      <c r="I69" s="203" t="n"/>
      <c r="J69" s="203" t="n"/>
      <c r="K69" s="205" t="n"/>
      <c r="L69" s="205" t="n"/>
    </row>
    <row r="70" ht="15" customFormat="1" customHeight="1" s="1159">
      <c r="B70" s="55" t="n"/>
      <c r="C70" s="74" t="n"/>
      <c r="D70" s="56" t="n"/>
      <c r="E70" s="55" t="n"/>
      <c r="F70" s="55" t="n"/>
      <c r="G70" s="362" t="n"/>
      <c r="H70" s="362" t="n"/>
      <c r="I70" s="56" t="n"/>
      <c r="J70" s="362" t="n"/>
      <c r="K70" s="362" t="n"/>
      <c r="L70" s="362" t="n"/>
    </row>
    <row r="71" ht="15" customFormat="1" customHeight="1" s="1159">
      <c r="B71" s="75" t="n"/>
      <c r="C71" s="75" t="n"/>
      <c r="D71" s="56" t="n"/>
      <c r="E71" s="55" t="n"/>
      <c r="F71" s="55" t="n"/>
      <c r="G71" s="362" t="n"/>
      <c r="H71" s="362" t="n"/>
      <c r="I71" s="56" t="n"/>
      <c r="J71" s="362" t="n"/>
      <c r="K71" s="362" t="n"/>
      <c r="L71" s="362" t="n"/>
    </row>
    <row r="72" ht="15" customFormat="1" customHeight="1" s="1159">
      <c r="B72" s="55" t="n"/>
      <c r="C72" s="55" t="n"/>
      <c r="D72" s="56" t="n"/>
      <c r="E72" s="55" t="n"/>
      <c r="F72" s="55" t="n"/>
      <c r="G72" s="362" t="n"/>
      <c r="H72" s="362" t="n"/>
      <c r="I72" s="56" t="n"/>
      <c r="J72" s="362" t="n"/>
      <c r="K72" s="362" t="n"/>
      <c r="L72" s="362" t="n"/>
    </row>
    <row r="73" ht="15" customFormat="1" customHeight="1" s="1159">
      <c r="B73" s="55" t="n"/>
      <c r="C73" s="55" t="n"/>
      <c r="D73" s="56" t="n"/>
      <c r="E73" s="55" t="n"/>
      <c r="F73" s="55" t="n"/>
      <c r="G73" s="362" t="n"/>
      <c r="H73" s="362" t="n"/>
      <c r="I73" s="56" t="n"/>
      <c r="J73" s="362" t="n"/>
      <c r="K73" s="362" t="n"/>
      <c r="L73" s="362" t="n"/>
    </row>
    <row r="74" ht="15" customFormat="1" customHeight="1" s="1159">
      <c r="B74" s="55" t="n"/>
      <c r="C74" s="55" t="n"/>
      <c r="D74" s="56" t="n"/>
      <c r="E74" s="55" t="n"/>
      <c r="F74" s="55" t="n"/>
      <c r="G74" s="362" t="n"/>
      <c r="H74" s="362" t="n"/>
      <c r="I74" s="56" t="n"/>
      <c r="J74" s="362" t="n"/>
      <c r="K74" s="362" t="n"/>
      <c r="L74" s="362" t="n"/>
    </row>
    <row r="75" ht="15" customFormat="1" customHeight="1" s="1159">
      <c r="B75" s="55" t="n"/>
      <c r="C75" s="55" t="n"/>
      <c r="D75" s="56" t="n"/>
      <c r="E75" s="55" t="n"/>
      <c r="F75" s="55" t="n"/>
      <c r="G75" s="362" t="n"/>
      <c r="H75" s="362" t="n"/>
      <c r="I75" s="56" t="n"/>
      <c r="J75" s="362" t="n"/>
      <c r="K75" s="362" t="n"/>
      <c r="L75" s="362" t="n"/>
    </row>
    <row r="76" ht="15" customFormat="1" customHeight="1" s="1159">
      <c r="B76" s="55" t="n"/>
      <c r="C76" s="55" t="n"/>
      <c r="D76" s="56" t="n"/>
      <c r="E76" s="55" t="n"/>
      <c r="F76" s="55" t="n"/>
      <c r="G76" s="362" t="n"/>
      <c r="H76" s="362" t="n"/>
      <c r="I76" s="56" t="n"/>
      <c r="J76" s="362" t="n"/>
      <c r="K76" s="362" t="n"/>
      <c r="L76" s="362" t="n"/>
    </row>
    <row r="77" ht="15" customFormat="1" customHeight="1" s="1159">
      <c r="B77" s="55" t="n"/>
      <c r="C77" s="55" t="n"/>
      <c r="D77" s="56" t="n"/>
      <c r="E77" s="55" t="n"/>
      <c r="F77" s="55" t="n"/>
      <c r="G77" s="362" t="n"/>
      <c r="H77" s="362" t="n"/>
      <c r="I77" s="56" t="n"/>
      <c r="J77" s="362" t="n"/>
      <c r="K77" s="362" t="n"/>
      <c r="L77" s="362" t="n"/>
    </row>
    <row r="78" ht="15" customFormat="1" customHeight="1" s="1159">
      <c r="B78" s="55" t="n"/>
      <c r="C78" s="55" t="n"/>
      <c r="D78" s="56" t="n"/>
      <c r="E78" s="55" t="n"/>
      <c r="F78" s="55" t="n"/>
      <c r="G78" s="362" t="n"/>
      <c r="H78" s="362" t="n"/>
      <c r="I78" s="56" t="n"/>
      <c r="J78" s="362" t="n"/>
      <c r="K78" s="362" t="n"/>
      <c r="L78" s="362" t="n"/>
    </row>
    <row r="79" ht="15" customFormat="1" customHeight="1" s="1159">
      <c r="B79" s="55" t="n"/>
      <c r="C79" s="55" t="n"/>
      <c r="D79" s="56" t="n"/>
      <c r="E79" s="55" t="n"/>
      <c r="F79" s="55" t="n"/>
      <c r="G79" s="362" t="n"/>
      <c r="H79" s="362" t="n"/>
      <c r="I79" s="56" t="n"/>
      <c r="J79" s="362" t="n"/>
      <c r="K79" s="362" t="n"/>
      <c r="L79" s="362" t="n"/>
    </row>
    <row r="80" ht="15" customFormat="1" customHeight="1" s="1159">
      <c r="B80" s="55" t="n"/>
      <c r="C80" s="55" t="n"/>
      <c r="D80" s="56" t="n"/>
      <c r="E80" s="55" t="n"/>
      <c r="F80" s="55" t="n"/>
      <c r="G80" s="362" t="n"/>
      <c r="H80" s="362" t="n"/>
      <c r="I80" s="56" t="n"/>
      <c r="J80" s="362" t="n"/>
      <c r="K80" s="362" t="n"/>
      <c r="L80" s="362" t="n"/>
    </row>
    <row r="81" ht="15" customFormat="1" customHeight="1" s="1159">
      <c r="B81" s="55" t="n"/>
      <c r="C81" s="55" t="n"/>
      <c r="D81" s="56" t="n"/>
      <c r="E81" s="55" t="n"/>
      <c r="F81" s="55" t="n"/>
      <c r="G81" s="362" t="n"/>
      <c r="H81" s="362" t="n"/>
      <c r="I81" s="56" t="n"/>
      <c r="J81" s="362" t="n"/>
      <c r="K81" s="362" t="n"/>
      <c r="L81" s="362" t="n"/>
    </row>
    <row r="82" ht="15" customFormat="1" customHeight="1" s="1159">
      <c r="B82" s="55" t="n"/>
      <c r="C82" s="55" t="n"/>
      <c r="D82" s="56" t="n"/>
      <c r="E82" s="55" t="n"/>
      <c r="F82" s="55" t="n"/>
      <c r="G82" s="362" t="n"/>
      <c r="H82" s="362" t="n"/>
      <c r="I82" s="56" t="n"/>
      <c r="J82" s="362" t="n"/>
      <c r="K82" s="362" t="n"/>
      <c r="L82" s="362" t="n"/>
    </row>
    <row r="83" ht="15" customFormat="1" customHeight="1" s="1159">
      <c r="B83" s="55" t="n"/>
      <c r="C83" s="55" t="n"/>
      <c r="D83" s="56" t="n"/>
      <c r="E83" s="55" t="n"/>
      <c r="F83" s="55" t="n"/>
      <c r="G83" s="362" t="n"/>
      <c r="H83" s="362" t="n"/>
      <c r="I83" s="56" t="n"/>
      <c r="J83" s="362" t="n"/>
      <c r="K83" s="362" t="n"/>
      <c r="L83" s="362" t="n"/>
    </row>
    <row r="84" ht="15" customFormat="1" customHeight="1" s="1159">
      <c r="B84" s="55" t="n"/>
      <c r="C84" s="55" t="n"/>
      <c r="D84" s="56" t="n"/>
      <c r="E84" s="55" t="n"/>
      <c r="F84" s="55" t="n"/>
      <c r="G84" s="362" t="n"/>
      <c r="H84" s="362" t="n"/>
      <c r="I84" s="56" t="n"/>
      <c r="J84" s="362" t="n"/>
      <c r="K84" s="362" t="n"/>
      <c r="L84" s="362" t="n"/>
    </row>
    <row r="85" ht="15" customFormat="1" customHeight="1" s="1159">
      <c r="B85" s="55" t="n"/>
      <c r="C85" s="55" t="n"/>
      <c r="D85" s="56" t="n"/>
      <c r="E85" s="55" t="n"/>
      <c r="F85" s="55" t="n"/>
      <c r="G85" s="362" t="n"/>
      <c r="H85" s="362" t="n"/>
      <c r="I85" s="56" t="n"/>
      <c r="J85" s="362" t="n"/>
      <c r="K85" s="362" t="n"/>
      <c r="L85" s="362" t="n"/>
    </row>
    <row r="86" ht="15" customFormat="1" customHeight="1" s="1159">
      <c r="B86" s="55" t="n"/>
      <c r="C86" s="55" t="n"/>
      <c r="D86" s="56" t="n"/>
      <c r="E86" s="55" t="n"/>
      <c r="F86" s="55" t="n"/>
      <c r="G86" s="362" t="n"/>
      <c r="H86" s="362" t="n"/>
      <c r="I86" s="56" t="n"/>
      <c r="J86" s="362" t="n"/>
      <c r="K86" s="362" t="n"/>
      <c r="L86" s="362" t="n"/>
    </row>
    <row r="87" ht="15" customFormat="1" customHeight="1" s="1159">
      <c r="B87" s="55" t="n"/>
      <c r="C87" s="55" t="n"/>
      <c r="D87" s="56" t="n"/>
      <c r="E87" s="55" t="n"/>
      <c r="F87" s="55" t="n"/>
      <c r="G87" s="362" t="n"/>
      <c r="H87" s="362" t="n"/>
      <c r="I87" s="56" t="n"/>
      <c r="J87" s="362" t="n"/>
      <c r="K87" s="362" t="n"/>
      <c r="L87" s="362" t="n"/>
    </row>
    <row r="88" ht="15" customFormat="1" customHeight="1" s="1159">
      <c r="B88" s="55" t="n"/>
      <c r="C88" s="55" t="n"/>
      <c r="D88" s="56" t="n"/>
      <c r="E88" s="55" t="n"/>
      <c r="F88" s="55" t="n"/>
      <c r="G88" s="362" t="n"/>
      <c r="H88" s="362" t="n"/>
      <c r="I88" s="56" t="n"/>
      <c r="J88" s="362" t="n"/>
      <c r="K88" s="362" t="n"/>
      <c r="L88" s="362" t="n"/>
    </row>
    <row r="89" ht="15" customFormat="1" customHeight="1" s="1159">
      <c r="B89" s="55" t="n"/>
      <c r="C89" s="55" t="n"/>
      <c r="D89" s="56" t="n"/>
      <c r="E89" s="55" t="n"/>
      <c r="F89" s="55" t="n"/>
      <c r="G89" s="362" t="n"/>
      <c r="H89" s="362" t="n"/>
      <c r="I89" s="56" t="n"/>
      <c r="J89" s="362" t="n"/>
      <c r="K89" s="362" t="n"/>
      <c r="L89" s="362" t="n"/>
    </row>
    <row r="90" ht="15" customFormat="1" customHeight="1" s="1159">
      <c r="B90" s="55" t="n"/>
      <c r="C90" s="55" t="n"/>
      <c r="D90" s="56" t="n"/>
      <c r="E90" s="55" t="n"/>
      <c r="F90" s="55" t="n"/>
      <c r="G90" s="362" t="n"/>
      <c r="H90" s="362" t="n"/>
      <c r="I90" s="56" t="n"/>
      <c r="J90" s="362" t="n"/>
      <c r="K90" s="362" t="n"/>
      <c r="L90" s="362" t="n"/>
    </row>
    <row r="91" ht="15" customFormat="1" customHeight="1" s="1159">
      <c r="B91" s="55" t="n"/>
      <c r="C91" s="55" t="n"/>
      <c r="D91" s="56" t="n"/>
      <c r="E91" s="55" t="n"/>
      <c r="F91" s="55" t="n"/>
      <c r="G91" s="362" t="n"/>
      <c r="H91" s="362" t="n"/>
      <c r="I91" s="56" t="n"/>
      <c r="J91" s="362" t="n"/>
      <c r="K91" s="362" t="n"/>
      <c r="L91" s="362" t="n"/>
    </row>
    <row r="92" ht="15" customFormat="1" customHeight="1" s="1159">
      <c r="B92" s="55" t="n"/>
      <c r="C92" s="55" t="n"/>
      <c r="D92" s="56" t="n"/>
      <c r="E92" s="55" t="n"/>
      <c r="F92" s="55" t="n"/>
      <c r="G92" s="362" t="n"/>
      <c r="H92" s="362" t="n"/>
      <c r="I92" s="56" t="n"/>
      <c r="J92" s="362" t="n"/>
      <c r="K92" s="362" t="n"/>
      <c r="L92" s="362" t="n"/>
    </row>
    <row r="93" ht="15" customFormat="1" customHeight="1" s="1159">
      <c r="B93" s="55" t="n"/>
      <c r="C93" s="55" t="n"/>
      <c r="D93" s="56" t="n"/>
      <c r="E93" s="55" t="n"/>
      <c r="F93" s="55" t="n"/>
      <c r="G93" s="362" t="n"/>
      <c r="H93" s="362" t="n"/>
      <c r="I93" s="56" t="n"/>
      <c r="J93" s="362" t="n"/>
      <c r="K93" s="362" t="n"/>
      <c r="L93" s="362" t="n"/>
    </row>
    <row r="94" ht="15" customFormat="1" customHeight="1" s="1159">
      <c r="B94" s="55" t="n"/>
      <c r="C94" s="55" t="n"/>
      <c r="D94" s="56" t="n"/>
      <c r="E94" s="55" t="n"/>
      <c r="F94" s="55" t="n"/>
      <c r="G94" s="362" t="n"/>
      <c r="H94" s="362" t="n"/>
      <c r="I94" s="56" t="n"/>
      <c r="J94" s="362" t="n"/>
      <c r="K94" s="362" t="n"/>
      <c r="L94" s="362" t="n"/>
    </row>
    <row r="95" ht="15" customFormat="1" customHeight="1" s="1159">
      <c r="B95" s="55" t="n"/>
      <c r="C95" s="55" t="n"/>
      <c r="D95" s="56" t="n"/>
      <c r="E95" s="55" t="n"/>
      <c r="F95" s="55" t="n"/>
      <c r="G95" s="362" t="n"/>
      <c r="H95" s="362" t="n"/>
      <c r="I95" s="56" t="n"/>
      <c r="J95" s="362" t="n"/>
      <c r="K95" s="362" t="n"/>
      <c r="L95" s="362" t="n"/>
    </row>
    <row r="96" ht="15" customFormat="1" customHeight="1" s="1159">
      <c r="B96" s="55" t="n"/>
      <c r="C96" s="55" t="n"/>
      <c r="D96" s="56" t="n"/>
      <c r="E96" s="55" t="n"/>
      <c r="F96" s="55" t="n"/>
      <c r="G96" s="362" t="n"/>
      <c r="H96" s="362" t="n"/>
      <c r="I96" s="56" t="n"/>
      <c r="J96" s="362" t="n"/>
      <c r="K96" s="362" t="n"/>
      <c r="L96" s="362" t="n"/>
    </row>
    <row r="97" ht="15" customFormat="1" customHeight="1" s="1159">
      <c r="B97" s="55" t="n"/>
      <c r="C97" s="55" t="n"/>
      <c r="D97" s="56" t="n"/>
      <c r="E97" s="55" t="n"/>
      <c r="F97" s="55" t="n"/>
      <c r="G97" s="362" t="n"/>
      <c r="H97" s="362" t="n"/>
      <c r="I97" s="56" t="n"/>
      <c r="J97" s="362" t="n"/>
      <c r="K97" s="362" t="n"/>
      <c r="L97" s="362" t="n"/>
    </row>
    <row r="98" ht="15" customFormat="1" customHeight="1" s="1159">
      <c r="B98" s="55" t="n"/>
      <c r="C98" s="55" t="n"/>
      <c r="D98" s="56" t="n"/>
      <c r="E98" s="55" t="n"/>
      <c r="F98" s="55" t="n"/>
      <c r="G98" s="362" t="n"/>
      <c r="H98" s="362" t="n"/>
      <c r="I98" s="56" t="n"/>
      <c r="J98" s="362" t="n"/>
      <c r="K98" s="362" t="n"/>
      <c r="L98" s="362" t="n"/>
    </row>
    <row r="99" ht="15" customFormat="1" customHeight="1" s="1159">
      <c r="B99" s="55" t="n"/>
      <c r="C99" s="55" t="n"/>
      <c r="D99" s="56" t="n"/>
      <c r="E99" s="55" t="n"/>
      <c r="F99" s="55" t="n"/>
      <c r="G99" s="362" t="n"/>
      <c r="H99" s="362" t="n"/>
      <c r="I99" s="56" t="n"/>
      <c r="J99" s="362" t="n"/>
      <c r="K99" s="362" t="n"/>
      <c r="L99" s="362" t="n"/>
    </row>
    <row r="100" ht="15" customFormat="1" customHeight="1" s="1159">
      <c r="B100" s="55" t="n"/>
      <c r="C100" s="55" t="n"/>
      <c r="D100" s="56" t="n"/>
      <c r="E100" s="55" t="n"/>
      <c r="F100" s="55" t="n"/>
      <c r="G100" s="362" t="n"/>
      <c r="H100" s="362" t="n"/>
      <c r="I100" s="56" t="n"/>
      <c r="J100" s="362" t="n"/>
      <c r="K100" s="362" t="n"/>
      <c r="L100" s="362" t="n"/>
    </row>
    <row r="101" ht="15" customFormat="1" customHeight="1" s="1159">
      <c r="B101" s="55" t="n"/>
      <c r="C101" s="55" t="n"/>
      <c r="D101" s="56" t="n"/>
      <c r="E101" s="55" t="n"/>
      <c r="F101" s="55" t="n"/>
      <c r="G101" s="362" t="n"/>
      <c r="H101" s="362" t="n"/>
      <c r="I101" s="56" t="n"/>
      <c r="J101" s="362" t="n"/>
      <c r="K101" s="362" t="n"/>
      <c r="L101" s="362" t="n"/>
    </row>
    <row r="102" ht="15" customFormat="1" customHeight="1" s="1159">
      <c r="B102" s="55" t="n"/>
      <c r="C102" s="55" t="n"/>
      <c r="D102" s="56" t="n"/>
      <c r="E102" s="55" t="n"/>
      <c r="F102" s="55" t="n"/>
      <c r="G102" s="362" t="n"/>
      <c r="H102" s="362" t="n"/>
      <c r="I102" s="56" t="n"/>
      <c r="J102" s="362" t="n"/>
      <c r="K102" s="362" t="n"/>
      <c r="L102" s="362" t="n"/>
    </row>
    <row r="103" ht="15" customFormat="1" customHeight="1" s="1159">
      <c r="B103" s="55" t="n"/>
      <c r="C103" s="55" t="n"/>
      <c r="D103" s="56" t="n"/>
      <c r="E103" s="55" t="n"/>
      <c r="F103" s="55" t="n"/>
      <c r="G103" s="362" t="n"/>
      <c r="H103" s="362" t="n"/>
      <c r="I103" s="56" t="n"/>
      <c r="J103" s="362" t="n"/>
      <c r="K103" s="362" t="n"/>
      <c r="L103" s="362" t="n"/>
    </row>
    <row r="104" ht="15" customFormat="1" customHeight="1" s="1159">
      <c r="B104" s="55" t="n"/>
      <c r="C104" s="55" t="n"/>
      <c r="D104" s="56" t="n"/>
      <c r="E104" s="55" t="n"/>
      <c r="F104" s="55" t="n"/>
      <c r="G104" s="362" t="n"/>
      <c r="H104" s="362" t="n"/>
      <c r="I104" s="56" t="n"/>
      <c r="J104" s="362" t="n"/>
      <c r="K104" s="362" t="n"/>
      <c r="L104" s="362" t="n"/>
    </row>
    <row r="105" ht="15" customFormat="1" customHeight="1" s="1159">
      <c r="B105" s="55" t="n"/>
      <c r="C105" s="55" t="n"/>
      <c r="D105" s="56" t="n"/>
      <c r="E105" s="55" t="n"/>
      <c r="F105" s="55" t="n"/>
      <c r="G105" s="362" t="n"/>
      <c r="H105" s="362" t="n"/>
      <c r="I105" s="56" t="n"/>
      <c r="J105" s="362" t="n"/>
      <c r="K105" s="362" t="n"/>
      <c r="L105" s="362" t="n"/>
    </row>
    <row r="106" ht="15" customFormat="1" customHeight="1" s="1159">
      <c r="B106" s="55" t="n"/>
      <c r="C106" s="55" t="n"/>
      <c r="D106" s="56" t="n"/>
      <c r="E106" s="55" t="n"/>
      <c r="F106" s="55" t="n"/>
      <c r="G106" s="362" t="n"/>
      <c r="H106" s="362" t="n"/>
      <c r="I106" s="56" t="n"/>
      <c r="J106" s="362" t="n"/>
      <c r="K106" s="362" t="n"/>
      <c r="L106" s="362" t="n"/>
    </row>
    <row r="107" ht="15" customFormat="1" customHeight="1" s="1159">
      <c r="B107" s="55" t="n"/>
      <c r="C107" s="55" t="n"/>
      <c r="D107" s="56" t="n"/>
      <c r="E107" s="55" t="n"/>
      <c r="F107" s="55" t="n"/>
      <c r="G107" s="362" t="n"/>
      <c r="H107" s="362" t="n"/>
      <c r="I107" s="56" t="n"/>
      <c r="J107" s="362" t="n"/>
      <c r="K107" s="362" t="n"/>
      <c r="L107" s="362" t="n"/>
    </row>
    <row r="108" ht="15" customFormat="1" customHeight="1" s="1159">
      <c r="B108" s="55" t="n"/>
      <c r="C108" s="55" t="n"/>
      <c r="D108" s="56" t="n"/>
      <c r="E108" s="55" t="n"/>
      <c r="F108" s="55" t="n"/>
      <c r="G108" s="362" t="n"/>
      <c r="H108" s="362" t="n"/>
      <c r="I108" s="56" t="n"/>
      <c r="J108" s="362" t="n"/>
      <c r="K108" s="362" t="n"/>
      <c r="L108" s="362" t="n"/>
    </row>
    <row r="109" ht="15" customFormat="1" customHeight="1" s="1159">
      <c r="B109" s="55" t="n"/>
      <c r="C109" s="55" t="n"/>
      <c r="D109" s="56" t="n"/>
      <c r="E109" s="55" t="n"/>
      <c r="F109" s="55" t="n"/>
      <c r="G109" s="362" t="n"/>
      <c r="H109" s="362" t="n"/>
      <c r="I109" s="56" t="n"/>
      <c r="J109" s="362" t="n"/>
      <c r="K109" s="362" t="n"/>
      <c r="L109" s="362" t="n"/>
    </row>
    <row r="110" ht="15" customFormat="1" customHeight="1" s="1159">
      <c r="B110" s="55" t="n"/>
      <c r="C110" s="55" t="n"/>
      <c r="D110" s="56" t="n"/>
      <c r="E110" s="55" t="n"/>
      <c r="F110" s="55" t="n"/>
      <c r="G110" s="362" t="n"/>
      <c r="H110" s="362" t="n"/>
      <c r="I110" s="56" t="n"/>
      <c r="J110" s="362" t="n"/>
      <c r="K110" s="362" t="n"/>
      <c r="L110" s="362" t="n"/>
    </row>
    <row r="111" ht="15" customFormat="1" customHeight="1" s="1159">
      <c r="B111" s="55" t="n"/>
      <c r="C111" s="55" t="n"/>
      <c r="D111" s="56" t="n"/>
      <c r="E111" s="55" t="n"/>
      <c r="F111" s="55" t="n"/>
      <c r="G111" s="362" t="n"/>
      <c r="H111" s="362" t="n"/>
      <c r="I111" s="56" t="n"/>
      <c r="J111" s="362" t="n"/>
      <c r="K111" s="362" t="n"/>
      <c r="L111" s="362" t="n"/>
    </row>
    <row r="112" ht="15" customFormat="1" customHeight="1" s="1159">
      <c r="B112" s="55" t="n"/>
      <c r="C112" s="55" t="n"/>
      <c r="D112" s="56" t="n"/>
      <c r="E112" s="55" t="n"/>
      <c r="F112" s="55" t="n"/>
      <c r="G112" s="362" t="n"/>
      <c r="H112" s="362" t="n"/>
      <c r="I112" s="56" t="n"/>
      <c r="J112" s="362" t="n"/>
      <c r="K112" s="362" t="n"/>
      <c r="L112" s="362" t="n"/>
    </row>
    <row r="113" ht="15" customFormat="1" customHeight="1" s="1159">
      <c r="B113" s="55" t="n"/>
      <c r="C113" s="55" t="n"/>
      <c r="D113" s="56" t="n"/>
      <c r="E113" s="55" t="n"/>
      <c r="F113" s="55" t="n"/>
      <c r="G113" s="362" t="n"/>
      <c r="H113" s="362" t="n"/>
      <c r="I113" s="56" t="n"/>
      <c r="J113" s="362" t="n"/>
      <c r="K113" s="362" t="n"/>
      <c r="L113" s="362" t="n"/>
    </row>
    <row r="114" ht="15" customFormat="1" customHeight="1" s="1159">
      <c r="B114" s="55" t="n"/>
      <c r="C114" s="55" t="n"/>
      <c r="D114" s="56" t="n"/>
      <c r="E114" s="55" t="n"/>
      <c r="F114" s="55" t="n"/>
      <c r="G114" s="362" t="n"/>
      <c r="H114" s="362" t="n"/>
      <c r="I114" s="56" t="n"/>
      <c r="J114" s="362" t="n"/>
      <c r="K114" s="362" t="n"/>
      <c r="L114" s="362" t="n"/>
    </row>
    <row r="115" ht="15" customFormat="1" customHeight="1" s="1159">
      <c r="B115" s="55" t="n"/>
      <c r="C115" s="55" t="n"/>
      <c r="D115" s="56" t="n"/>
      <c r="E115" s="55" t="n"/>
      <c r="F115" s="55" t="n"/>
      <c r="G115" s="362" t="n"/>
      <c r="H115" s="362" t="n"/>
      <c r="I115" s="56" t="n"/>
      <c r="J115" s="362" t="n"/>
      <c r="K115" s="362" t="n"/>
      <c r="L115" s="362" t="n"/>
    </row>
    <row r="116" ht="15" customFormat="1" customHeight="1" s="1159">
      <c r="B116" s="55" t="n"/>
      <c r="C116" s="55" t="n"/>
      <c r="D116" s="56" t="n"/>
      <c r="E116" s="55" t="n"/>
      <c r="F116" s="55" t="n"/>
      <c r="G116" s="362" t="n"/>
      <c r="H116" s="362" t="n"/>
      <c r="I116" s="56" t="n"/>
      <c r="J116" s="362" t="n"/>
      <c r="K116" s="362" t="n"/>
      <c r="L116" s="362" t="n"/>
    </row>
    <row r="117" ht="15" customFormat="1" customHeight="1" s="1159">
      <c r="B117" s="55" t="n"/>
      <c r="C117" s="55" t="n"/>
      <c r="D117" s="56" t="n"/>
      <c r="E117" s="55" t="n"/>
      <c r="F117" s="55" t="n"/>
      <c r="G117" s="362" t="n"/>
      <c r="H117" s="362" t="n"/>
      <c r="I117" s="56" t="n"/>
      <c r="J117" s="362" t="n"/>
      <c r="K117" s="362" t="n"/>
      <c r="L117" s="362" t="n"/>
    </row>
    <row r="118" ht="15" customFormat="1" customHeight="1" s="1159">
      <c r="B118" s="55" t="n"/>
      <c r="C118" s="55" t="n"/>
      <c r="D118" s="56" t="n"/>
      <c r="E118" s="55" t="n"/>
      <c r="F118" s="55" t="n"/>
      <c r="G118" s="362" t="n"/>
      <c r="H118" s="362" t="n"/>
      <c r="I118" s="56" t="n"/>
      <c r="J118" s="362" t="n"/>
      <c r="K118" s="362" t="n"/>
      <c r="L118" s="362" t="n"/>
    </row>
    <row r="119" ht="15" customFormat="1" customHeight="1" s="1159">
      <c r="B119" s="55" t="n"/>
      <c r="C119" s="55" t="n"/>
      <c r="D119" s="56" t="n"/>
      <c r="E119" s="55" t="n"/>
      <c r="F119" s="55" t="n"/>
      <c r="G119" s="362" t="n"/>
      <c r="H119" s="362" t="n"/>
      <c r="I119" s="56" t="n"/>
      <c r="J119" s="362" t="n"/>
      <c r="K119" s="362" t="n"/>
      <c r="L119" s="362" t="n"/>
    </row>
    <row r="120" ht="15" customFormat="1" customHeight="1" s="1159">
      <c r="B120" s="55" t="n"/>
      <c r="C120" s="55" t="n"/>
      <c r="D120" s="56" t="n"/>
      <c r="E120" s="55" t="n"/>
      <c r="F120" s="55" t="n"/>
      <c r="G120" s="362" t="n"/>
      <c r="H120" s="362" t="n"/>
      <c r="I120" s="56" t="n"/>
      <c r="J120" s="362" t="n"/>
      <c r="K120" s="362" t="n"/>
      <c r="L120" s="362" t="n"/>
    </row>
    <row r="121" ht="15" customFormat="1" customHeight="1" s="1159">
      <c r="B121" s="55" t="n"/>
      <c r="C121" s="55" t="n"/>
      <c r="D121" s="56" t="n"/>
      <c r="E121" s="55" t="n"/>
      <c r="F121" s="55" t="n"/>
      <c r="G121" s="362" t="n"/>
      <c r="H121" s="362" t="n"/>
      <c r="I121" s="56" t="n"/>
      <c r="J121" s="362" t="n"/>
      <c r="K121" s="362" t="n"/>
      <c r="L121" s="362" t="n"/>
    </row>
    <row r="122" ht="15" customFormat="1" customHeight="1" s="1159">
      <c r="B122" s="55" t="n"/>
      <c r="C122" s="55" t="n"/>
      <c r="D122" s="56" t="n"/>
      <c r="E122" s="55" t="n"/>
      <c r="F122" s="55" t="n"/>
      <c r="G122" s="362" t="n"/>
      <c r="H122" s="362" t="n"/>
      <c r="I122" s="56" t="n"/>
      <c r="J122" s="362" t="n"/>
      <c r="K122" s="362" t="n"/>
      <c r="L122" s="362" t="n"/>
    </row>
    <row r="123" ht="15" customFormat="1" customHeight="1" s="1159">
      <c r="B123" s="55" t="n"/>
      <c r="C123" s="55" t="n"/>
      <c r="D123" s="56" t="n"/>
      <c r="E123" s="55" t="n"/>
      <c r="F123" s="55" t="n"/>
      <c r="G123" s="362" t="n"/>
      <c r="H123" s="362" t="n"/>
      <c r="I123" s="56" t="n"/>
      <c r="J123" s="362" t="n"/>
      <c r="K123" s="362" t="n"/>
      <c r="L123" s="362" t="n"/>
    </row>
    <row r="124" ht="15" customFormat="1" customHeight="1" s="1159">
      <c r="B124" s="55" t="n"/>
      <c r="C124" s="55" t="n"/>
      <c r="D124" s="56" t="n"/>
      <c r="E124" s="55" t="n"/>
      <c r="F124" s="55" t="n"/>
      <c r="G124" s="362" t="n"/>
      <c r="H124" s="362" t="n"/>
      <c r="I124" s="56" t="n"/>
      <c r="J124" s="362" t="n"/>
      <c r="K124" s="362" t="n"/>
      <c r="L124" s="362" t="n"/>
    </row>
    <row r="125" ht="15" customFormat="1" customHeight="1" s="1159">
      <c r="B125" s="55" t="n"/>
      <c r="C125" s="55" t="n"/>
      <c r="D125" s="56" t="n"/>
      <c r="E125" s="55" t="n"/>
      <c r="F125" s="55" t="n"/>
      <c r="G125" s="362" t="n"/>
      <c r="H125" s="362" t="n"/>
      <c r="I125" s="56" t="n"/>
      <c r="J125" s="362" t="n"/>
      <c r="K125" s="362" t="n"/>
      <c r="L125" s="362" t="n"/>
    </row>
    <row r="126" ht="15" customFormat="1" customHeight="1" s="1159">
      <c r="B126" s="55" t="n"/>
      <c r="C126" s="55" t="n"/>
      <c r="D126" s="56" t="n"/>
      <c r="E126" s="55" t="n"/>
      <c r="F126" s="55" t="n"/>
      <c r="G126" s="362" t="n"/>
      <c r="H126" s="362" t="n"/>
      <c r="I126" s="56" t="n"/>
      <c r="J126" s="362" t="n"/>
      <c r="K126" s="362" t="n"/>
      <c r="L126" s="362" t="n"/>
    </row>
    <row r="127" ht="15" customFormat="1" customHeight="1" s="1159">
      <c r="B127" s="55" t="n"/>
      <c r="C127" s="55" t="n"/>
      <c r="D127" s="56" t="n"/>
      <c r="E127" s="55" t="n"/>
      <c r="F127" s="55" t="n"/>
      <c r="G127" s="362" t="n"/>
      <c r="H127" s="362" t="n"/>
      <c r="I127" s="56" t="n"/>
      <c r="J127" s="362" t="n"/>
      <c r="K127" s="362" t="n"/>
      <c r="L127" s="362" t="n"/>
    </row>
    <row r="128" ht="15" customFormat="1" customHeight="1" s="1159">
      <c r="B128" s="55" t="n"/>
      <c r="C128" s="55" t="n"/>
      <c r="D128" s="56" t="n"/>
      <c r="E128" s="55" t="n"/>
      <c r="F128" s="55" t="n"/>
      <c r="G128" s="362" t="n"/>
      <c r="H128" s="362" t="n"/>
      <c r="I128" s="56" t="n"/>
      <c r="J128" s="362" t="n"/>
      <c r="K128" s="362" t="n"/>
      <c r="L128" s="362" t="n"/>
    </row>
    <row r="129" ht="15" customFormat="1" customHeight="1" s="1159">
      <c r="B129" s="55" t="n"/>
      <c r="C129" s="55" t="n"/>
      <c r="D129" s="56" t="n"/>
      <c r="E129" s="55" t="n"/>
      <c r="F129" s="55" t="n"/>
      <c r="G129" s="362" t="n"/>
      <c r="H129" s="362" t="n"/>
      <c r="I129" s="56" t="n"/>
      <c r="J129" s="362" t="n"/>
      <c r="K129" s="362" t="n"/>
      <c r="L129" s="362" t="n"/>
    </row>
    <row r="130" ht="15" customFormat="1" customHeight="1" s="1159">
      <c r="B130" s="55" t="n"/>
      <c r="C130" s="55" t="n"/>
      <c r="D130" s="56" t="n"/>
      <c r="E130" s="55" t="n"/>
      <c r="F130" s="55" t="n"/>
      <c r="G130" s="362" t="n"/>
      <c r="H130" s="362" t="n"/>
      <c r="I130" s="56" t="n"/>
      <c r="J130" s="362" t="n"/>
      <c r="K130" s="362" t="n"/>
      <c r="L130" s="362" t="n"/>
    </row>
    <row r="131" ht="15" customFormat="1" customHeight="1" s="1159">
      <c r="B131" s="55" t="n"/>
      <c r="C131" s="55" t="n"/>
      <c r="D131" s="56" t="n"/>
      <c r="E131" s="55" t="n"/>
      <c r="F131" s="55" t="n"/>
      <c r="G131" s="362" t="n"/>
      <c r="H131" s="362" t="n"/>
      <c r="I131" s="56" t="n"/>
      <c r="J131" s="362" t="n"/>
      <c r="K131" s="362" t="n"/>
      <c r="L131" s="362" t="n"/>
    </row>
    <row r="132" ht="15" customFormat="1" customHeight="1" s="1159">
      <c r="B132" s="55" t="n"/>
      <c r="C132" s="55" t="n"/>
      <c r="D132" s="56" t="n"/>
      <c r="E132" s="55" t="n"/>
      <c r="F132" s="55" t="n"/>
      <c r="G132" s="362" t="n"/>
      <c r="H132" s="362" t="n"/>
      <c r="I132" s="56" t="n"/>
      <c r="J132" s="362" t="n"/>
      <c r="K132" s="362" t="n"/>
      <c r="L132" s="362" t="n"/>
    </row>
    <row r="133" ht="15" customFormat="1" customHeight="1" s="1159">
      <c r="B133" s="55" t="n"/>
      <c r="C133" s="55" t="n"/>
      <c r="D133" s="56" t="n"/>
      <c r="E133" s="55" t="n"/>
      <c r="F133" s="55" t="n"/>
      <c r="G133" s="362" t="n"/>
      <c r="H133" s="362" t="n"/>
      <c r="I133" s="56" t="n"/>
      <c r="J133" s="362" t="n"/>
      <c r="K133" s="362" t="n"/>
      <c r="L133" s="362" t="n"/>
    </row>
    <row r="134" ht="15" customFormat="1" customHeight="1" s="1159">
      <c r="B134" s="55" t="n"/>
      <c r="C134" s="55" t="n"/>
      <c r="D134" s="56" t="n"/>
      <c r="E134" s="55" t="n"/>
      <c r="F134" s="55" t="n"/>
      <c r="G134" s="362" t="n"/>
      <c r="H134" s="362" t="n"/>
      <c r="I134" s="56" t="n"/>
      <c r="J134" s="362" t="n"/>
      <c r="K134" s="362" t="n"/>
      <c r="L134" s="362" t="n"/>
    </row>
    <row r="135" ht="15" customFormat="1" customHeight="1" s="1159">
      <c r="B135" s="55" t="n"/>
      <c r="C135" s="55" t="n"/>
      <c r="D135" s="56" t="n"/>
      <c r="E135" s="55" t="n"/>
      <c r="F135" s="55" t="n"/>
      <c r="G135" s="362" t="n"/>
      <c r="H135" s="362" t="n"/>
      <c r="I135" s="56" t="n"/>
      <c r="J135" s="362" t="n"/>
      <c r="K135" s="362" t="n"/>
      <c r="L135" s="362" t="n"/>
    </row>
    <row r="136" ht="15" customFormat="1" customHeight="1" s="1159">
      <c r="B136" s="55" t="n"/>
      <c r="C136" s="55" t="n"/>
      <c r="D136" s="56" t="n"/>
      <c r="E136" s="55" t="n"/>
      <c r="F136" s="55" t="n"/>
      <c r="G136" s="362" t="n"/>
      <c r="H136" s="362" t="n"/>
      <c r="I136" s="56" t="n"/>
      <c r="J136" s="362" t="n"/>
      <c r="K136" s="362" t="n"/>
      <c r="L136" s="362" t="n"/>
    </row>
    <row r="137" ht="15" customFormat="1" customHeight="1" s="1159">
      <c r="B137" s="55" t="n"/>
      <c r="C137" s="55" t="n"/>
      <c r="D137" s="56" t="n"/>
      <c r="E137" s="55" t="n"/>
      <c r="F137" s="55" t="n"/>
      <c r="G137" s="362" t="n"/>
      <c r="H137" s="362" t="n"/>
      <c r="I137" s="56" t="n"/>
      <c r="J137" s="362" t="n"/>
      <c r="K137" s="362" t="n"/>
      <c r="L137" s="362" t="n"/>
    </row>
    <row r="138" ht="15" customFormat="1" customHeight="1" s="1159">
      <c r="B138" s="55" t="n"/>
      <c r="C138" s="55" t="n"/>
      <c r="D138" s="56" t="n"/>
      <c r="E138" s="55" t="n"/>
      <c r="F138" s="55" t="n"/>
      <c r="G138" s="362" t="n"/>
      <c r="H138" s="362" t="n"/>
      <c r="I138" s="56" t="n"/>
      <c r="J138" s="362" t="n"/>
      <c r="K138" s="362" t="n"/>
      <c r="L138" s="362" t="n"/>
    </row>
    <row r="139" ht="15" customFormat="1" customHeight="1" s="1159">
      <c r="B139" s="55" t="n"/>
      <c r="C139" s="55" t="n"/>
      <c r="D139" s="56" t="n"/>
      <c r="E139" s="55" t="n"/>
      <c r="F139" s="55" t="n"/>
      <c r="G139" s="362" t="n"/>
      <c r="H139" s="362" t="n"/>
      <c r="I139" s="56" t="n"/>
      <c r="J139" s="362" t="n"/>
      <c r="K139" s="362" t="n"/>
      <c r="L139" s="362" t="n"/>
    </row>
    <row r="140" ht="15" customFormat="1" customHeight="1" s="1159">
      <c r="B140" s="55" t="n"/>
      <c r="C140" s="55" t="n"/>
      <c r="D140" s="56" t="n"/>
      <c r="E140" s="55" t="n"/>
      <c r="F140" s="55" t="n"/>
      <c r="G140" s="362" t="n"/>
      <c r="H140" s="362" t="n"/>
      <c r="I140" s="56" t="n"/>
      <c r="J140" s="362" t="n"/>
      <c r="K140" s="362" t="n"/>
      <c r="L140" s="362" t="n"/>
    </row>
    <row r="141" ht="15" customFormat="1" customHeight="1" s="1159">
      <c r="B141" s="55" t="n"/>
      <c r="C141" s="55" t="n"/>
      <c r="D141" s="56" t="n"/>
      <c r="E141" s="55" t="n"/>
      <c r="F141" s="55" t="n"/>
      <c r="G141" s="362" t="n"/>
      <c r="H141" s="362" t="n"/>
      <c r="I141" s="56" t="n"/>
      <c r="J141" s="362" t="n"/>
      <c r="K141" s="362" t="n"/>
      <c r="L141" s="362" t="n"/>
    </row>
    <row r="142" ht="15" customFormat="1" customHeight="1" s="1159">
      <c r="B142" s="55" t="n"/>
      <c r="C142" s="55" t="n"/>
      <c r="D142" s="56" t="n"/>
      <c r="E142" s="55" t="n"/>
      <c r="F142" s="55" t="n"/>
      <c r="G142" s="362" t="n"/>
      <c r="H142" s="362" t="n"/>
      <c r="I142" s="56" t="n"/>
      <c r="J142" s="362" t="n"/>
      <c r="K142" s="362" t="n"/>
      <c r="L142" s="362" t="n"/>
    </row>
    <row r="143" ht="15" customFormat="1" customHeight="1" s="1159">
      <c r="B143" s="55" t="n"/>
      <c r="C143" s="55" t="n"/>
      <c r="D143" s="56" t="n"/>
      <c r="E143" s="55" t="n"/>
      <c r="F143" s="55" t="n"/>
      <c r="G143" s="362" t="n"/>
      <c r="H143" s="362" t="n"/>
      <c r="I143" s="56" t="n"/>
      <c r="J143" s="362" t="n"/>
      <c r="K143" s="362" t="n"/>
      <c r="L143" s="362" t="n"/>
    </row>
    <row r="144" ht="15" customFormat="1" customHeight="1" s="1159">
      <c r="B144" s="55" t="n"/>
      <c r="C144" s="55" t="n"/>
      <c r="D144" s="56" t="n"/>
      <c r="E144" s="55" t="n"/>
      <c r="F144" s="55" t="n"/>
      <c r="G144" s="362" t="n"/>
      <c r="H144" s="362" t="n"/>
      <c r="I144" s="56" t="n"/>
      <c r="J144" s="362" t="n"/>
      <c r="K144" s="362" t="n"/>
      <c r="L144" s="362" t="n"/>
    </row>
    <row r="145" ht="15" customFormat="1" customHeight="1" s="1159">
      <c r="B145" s="55" t="n"/>
      <c r="C145" s="55" t="n"/>
      <c r="D145" s="56" t="n"/>
      <c r="E145" s="55" t="n"/>
      <c r="F145" s="55" t="n"/>
      <c r="G145" s="362" t="n"/>
      <c r="H145" s="362" t="n"/>
      <c r="I145" s="56" t="n"/>
      <c r="J145" s="362" t="n"/>
      <c r="K145" s="362" t="n"/>
      <c r="L145" s="362" t="n"/>
    </row>
    <row r="146" ht="15" customFormat="1" customHeight="1" s="1159">
      <c r="B146" s="55" t="n"/>
      <c r="C146" s="55" t="n"/>
      <c r="D146" s="56" t="n"/>
      <c r="E146" s="55" t="n"/>
      <c r="F146" s="55" t="n"/>
      <c r="G146" s="362" t="n"/>
      <c r="H146" s="362" t="n"/>
      <c r="I146" s="56" t="n"/>
      <c r="J146" s="362" t="n"/>
      <c r="K146" s="362" t="n"/>
      <c r="L146" s="362" t="n"/>
    </row>
    <row r="147" ht="15" customFormat="1" customHeight="1" s="1159">
      <c r="B147" s="55" t="n"/>
      <c r="C147" s="55" t="n"/>
      <c r="D147" s="56" t="n"/>
      <c r="E147" s="55" t="n"/>
      <c r="F147" s="55" t="n"/>
      <c r="G147" s="362" t="n"/>
      <c r="H147" s="362" t="n"/>
      <c r="I147" s="56" t="n"/>
      <c r="J147" s="362" t="n"/>
      <c r="K147" s="362" t="n"/>
      <c r="L147" s="362" t="n"/>
    </row>
    <row r="148" ht="15" customFormat="1" customHeight="1" s="1159">
      <c r="B148" s="55" t="n"/>
      <c r="C148" s="55" t="n"/>
      <c r="D148" s="56" t="n"/>
      <c r="E148" s="55" t="n"/>
      <c r="F148" s="55" t="n"/>
      <c r="G148" s="362" t="n"/>
      <c r="H148" s="362" t="n"/>
      <c r="I148" s="56" t="n"/>
      <c r="J148" s="362" t="n"/>
      <c r="K148" s="362" t="n"/>
      <c r="L148" s="362" t="n"/>
    </row>
    <row r="149" ht="15" customFormat="1" customHeight="1" s="1159">
      <c r="B149" s="55" t="n"/>
      <c r="C149" s="55" t="n"/>
      <c r="D149" s="56" t="n"/>
      <c r="E149" s="55" t="n"/>
      <c r="F149" s="55" t="n"/>
      <c r="G149" s="362" t="n"/>
      <c r="H149" s="362" t="n"/>
      <c r="I149" s="56" t="n"/>
      <c r="J149" s="362" t="n"/>
      <c r="K149" s="362" t="n"/>
      <c r="L149" s="362" t="n"/>
    </row>
    <row r="150" ht="15" customFormat="1" customHeight="1" s="1159">
      <c r="B150" s="55" t="n"/>
      <c r="C150" s="55" t="n"/>
      <c r="D150" s="56" t="n"/>
      <c r="E150" s="55" t="n"/>
      <c r="F150" s="55" t="n"/>
      <c r="G150" s="362" t="n"/>
      <c r="H150" s="362" t="n"/>
      <c r="I150" s="56" t="n"/>
      <c r="J150" s="362" t="n"/>
      <c r="K150" s="362" t="n"/>
      <c r="L150" s="362" t="n"/>
    </row>
    <row r="151" ht="15" customFormat="1" customHeight="1" s="1159">
      <c r="B151" s="55" t="n"/>
      <c r="C151" s="55" t="n"/>
      <c r="D151" s="56" t="n"/>
      <c r="E151" s="55" t="n"/>
      <c r="F151" s="55" t="n"/>
      <c r="G151" s="362" t="n"/>
      <c r="H151" s="362" t="n"/>
      <c r="I151" s="56" t="n"/>
      <c r="J151" s="362" t="n"/>
      <c r="K151" s="362" t="n"/>
      <c r="L151" s="362" t="n"/>
    </row>
    <row r="152" ht="15" customFormat="1" customHeight="1" s="1159">
      <c r="B152" s="55" t="n"/>
      <c r="C152" s="55" t="n"/>
      <c r="D152" s="56" t="n"/>
      <c r="E152" s="55" t="n"/>
      <c r="F152" s="55" t="n"/>
      <c r="G152" s="362" t="n"/>
      <c r="H152" s="362" t="n"/>
      <c r="I152" s="56" t="n"/>
      <c r="J152" s="362" t="n"/>
      <c r="K152" s="362" t="n"/>
      <c r="L152" s="362" t="n"/>
    </row>
    <row r="153" ht="15" customFormat="1" customHeight="1" s="1159">
      <c r="B153" s="55" t="n"/>
      <c r="C153" s="55" t="n"/>
      <c r="D153" s="56" t="n"/>
      <c r="E153" s="55" t="n"/>
      <c r="F153" s="55" t="n"/>
      <c r="G153" s="362" t="n"/>
      <c r="H153" s="362" t="n"/>
      <c r="I153" s="56" t="n"/>
      <c r="J153" s="362" t="n"/>
      <c r="K153" s="362" t="n"/>
      <c r="L153" s="362" t="n"/>
    </row>
    <row r="154" ht="15" customFormat="1" customHeight="1" s="1159">
      <c r="B154" s="55" t="n"/>
      <c r="C154" s="55" t="n"/>
      <c r="D154" s="56" t="n"/>
      <c r="E154" s="55" t="n"/>
      <c r="F154" s="55" t="n"/>
      <c r="G154" s="362" t="n"/>
      <c r="H154" s="362" t="n"/>
      <c r="I154" s="56" t="n"/>
      <c r="J154" s="362" t="n"/>
      <c r="K154" s="362" t="n"/>
      <c r="L154" s="362" t="n"/>
    </row>
    <row r="155" ht="15" customFormat="1" customHeight="1" s="1159">
      <c r="B155" s="55" t="n"/>
      <c r="C155" s="55" t="n"/>
      <c r="D155" s="56" t="n"/>
      <c r="E155" s="55" t="n"/>
      <c r="F155" s="55" t="n"/>
      <c r="G155" s="362" t="n"/>
      <c r="H155" s="362" t="n"/>
      <c r="I155" s="56" t="n"/>
      <c r="J155" s="362" t="n"/>
      <c r="K155" s="362" t="n"/>
      <c r="L155" s="362" t="n"/>
    </row>
    <row r="156" ht="15" customFormat="1" customHeight="1" s="1159">
      <c r="B156" s="55" t="n"/>
      <c r="C156" s="55" t="n"/>
      <c r="D156" s="56" t="n"/>
      <c r="E156" s="55" t="n"/>
      <c r="F156" s="55" t="n"/>
      <c r="G156" s="362" t="n"/>
      <c r="H156" s="362" t="n"/>
      <c r="I156" s="56" t="n"/>
      <c r="J156" s="362" t="n"/>
      <c r="K156" s="362" t="n"/>
      <c r="L156" s="362" t="n"/>
    </row>
    <row r="157" ht="15" customFormat="1" customHeight="1" s="1159">
      <c r="B157" s="55" t="n"/>
      <c r="C157" s="55" t="n"/>
      <c r="D157" s="56" t="n"/>
      <c r="E157" s="55" t="n"/>
      <c r="F157" s="55" t="n"/>
      <c r="G157" s="362" t="n"/>
      <c r="H157" s="362" t="n"/>
      <c r="I157" s="56" t="n"/>
      <c r="J157" s="362" t="n"/>
      <c r="K157" s="362" t="n"/>
      <c r="L157" s="362" t="n"/>
    </row>
    <row r="158" ht="15" customFormat="1" customHeight="1" s="1159">
      <c r="B158" s="55" t="n"/>
      <c r="C158" s="55" t="n"/>
      <c r="D158" s="56" t="n"/>
      <c r="E158" s="55" t="n"/>
      <c r="F158" s="55" t="n"/>
      <c r="G158" s="362" t="n"/>
      <c r="H158" s="362" t="n"/>
      <c r="I158" s="56" t="n"/>
      <c r="J158" s="362" t="n"/>
      <c r="K158" s="362" t="n"/>
      <c r="L158" s="362" t="n"/>
    </row>
    <row r="159" ht="15" customFormat="1" customHeight="1" s="1159">
      <c r="B159" s="55" t="n"/>
      <c r="C159" s="55" t="n"/>
      <c r="D159" s="56" t="n"/>
      <c r="E159" s="55" t="n"/>
      <c r="F159" s="55" t="n"/>
      <c r="G159" s="362" t="n"/>
      <c r="H159" s="362" t="n"/>
      <c r="I159" s="56" t="n"/>
      <c r="J159" s="362" t="n"/>
      <c r="K159" s="362" t="n"/>
      <c r="L159" s="362" t="n"/>
    </row>
    <row r="160" ht="15" customFormat="1" customHeight="1" s="1159">
      <c r="B160" s="55" t="n"/>
      <c r="C160" s="55" t="n"/>
      <c r="D160" s="56" t="n"/>
      <c r="E160" s="55" t="n"/>
      <c r="F160" s="55" t="n"/>
      <c r="G160" s="362" t="n"/>
      <c r="H160" s="362" t="n"/>
      <c r="I160" s="56" t="n"/>
      <c r="J160" s="362" t="n"/>
      <c r="K160" s="362" t="n"/>
      <c r="L160" s="362" t="n"/>
    </row>
    <row r="161" ht="15" customFormat="1" customHeight="1" s="1159">
      <c r="B161" s="55" t="n"/>
      <c r="C161" s="55" t="n"/>
      <c r="D161" s="56" t="n"/>
      <c r="E161" s="55" t="n"/>
      <c r="F161" s="55" t="n"/>
      <c r="G161" s="362" t="n"/>
      <c r="H161" s="362" t="n"/>
      <c r="I161" s="56" t="n"/>
      <c r="J161" s="362" t="n"/>
      <c r="K161" s="362" t="n"/>
      <c r="L161" s="362" t="n"/>
    </row>
    <row r="162" ht="15" customFormat="1" customHeight="1" s="1159">
      <c r="B162" s="55" t="n"/>
      <c r="C162" s="55" t="n"/>
      <c r="D162" s="56" t="n"/>
      <c r="E162" s="55" t="n"/>
      <c r="F162" s="55" t="n"/>
      <c r="G162" s="362" t="n"/>
      <c r="H162" s="362" t="n"/>
      <c r="I162" s="56" t="n"/>
      <c r="J162" s="362" t="n"/>
      <c r="K162" s="362" t="n"/>
      <c r="L162" s="362" t="n"/>
    </row>
    <row r="163" ht="15" customFormat="1" customHeight="1" s="1159">
      <c r="B163" s="55" t="n"/>
      <c r="C163" s="55" t="n"/>
      <c r="D163" s="56" t="n"/>
      <c r="E163" s="55" t="n"/>
      <c r="F163" s="55" t="n"/>
      <c r="G163" s="362" t="n"/>
      <c r="H163" s="362" t="n"/>
      <c r="I163" s="56" t="n"/>
      <c r="J163" s="362" t="n"/>
      <c r="K163" s="362" t="n"/>
      <c r="L163" s="362" t="n"/>
    </row>
    <row r="164" ht="15" customFormat="1" customHeight="1" s="1159">
      <c r="B164" s="55" t="n"/>
      <c r="C164" s="55" t="n"/>
      <c r="D164" s="56" t="n"/>
      <c r="E164" s="55" t="n"/>
      <c r="F164" s="55" t="n"/>
      <c r="G164" s="362" t="n"/>
      <c r="H164" s="362" t="n"/>
      <c r="I164" s="56" t="n"/>
      <c r="J164" s="362" t="n"/>
      <c r="K164" s="362" t="n"/>
      <c r="L164" s="362" t="n"/>
    </row>
    <row r="165" ht="15" customFormat="1" customHeight="1" s="1159">
      <c r="B165" s="55" t="n"/>
      <c r="C165" s="55" t="n"/>
      <c r="D165" s="56" t="n"/>
      <c r="E165" s="55" t="n"/>
      <c r="F165" s="55" t="n"/>
      <c r="G165" s="362" t="n"/>
      <c r="H165" s="362" t="n"/>
      <c r="I165" s="56" t="n"/>
      <c r="J165" s="362" t="n"/>
      <c r="K165" s="362" t="n"/>
      <c r="L165" s="362" t="n"/>
    </row>
    <row r="166" ht="15" customFormat="1" customHeight="1" s="1159">
      <c r="B166" s="55" t="n"/>
      <c r="C166" s="55" t="n"/>
      <c r="D166" s="56" t="n"/>
      <c r="E166" s="55" t="n"/>
      <c r="F166" s="55" t="n"/>
      <c r="G166" s="362" t="n"/>
      <c r="H166" s="362" t="n"/>
      <c r="I166" s="56" t="n"/>
      <c r="J166" s="362" t="n"/>
      <c r="K166" s="362" t="n"/>
      <c r="L166" s="362" t="n"/>
    </row>
    <row r="167" ht="15" customFormat="1" customHeight="1" s="1159">
      <c r="B167" s="55" t="n"/>
      <c r="C167" s="55" t="n"/>
      <c r="D167" s="56" t="n"/>
      <c r="E167" s="55" t="n"/>
      <c r="F167" s="55" t="n"/>
      <c r="G167" s="362" t="n"/>
      <c r="H167" s="362" t="n"/>
      <c r="I167" s="56" t="n"/>
      <c r="J167" s="362" t="n"/>
      <c r="K167" s="362" t="n"/>
      <c r="L167" s="362" t="n"/>
    </row>
    <row r="168" ht="15" customFormat="1" customHeight="1" s="1159">
      <c r="B168" s="55" t="n"/>
      <c r="C168" s="55" t="n"/>
      <c r="D168" s="56" t="n"/>
      <c r="E168" s="55" t="n"/>
      <c r="F168" s="55" t="n"/>
      <c r="G168" s="362" t="n"/>
      <c r="H168" s="362" t="n"/>
      <c r="I168" s="56" t="n"/>
      <c r="J168" s="362" t="n"/>
      <c r="K168" s="362" t="n"/>
      <c r="L168" s="362" t="n"/>
    </row>
    <row r="169" ht="15" customFormat="1" customHeight="1" s="1159">
      <c r="B169" s="55" t="n"/>
      <c r="C169" s="55" t="n"/>
      <c r="D169" s="56" t="n"/>
      <c r="E169" s="55" t="n"/>
      <c r="F169" s="55" t="n"/>
      <c r="G169" s="362" t="n"/>
      <c r="H169" s="362" t="n"/>
      <c r="I169" s="56" t="n"/>
      <c r="J169" s="362" t="n"/>
      <c r="K169" s="362" t="n"/>
      <c r="L169" s="362" t="n"/>
    </row>
    <row r="170" ht="15" customFormat="1" customHeight="1" s="1159">
      <c r="B170" s="55" t="n"/>
      <c r="C170" s="55" t="n"/>
      <c r="D170" s="56" t="n"/>
      <c r="E170" s="55" t="n"/>
      <c r="F170" s="55" t="n"/>
      <c r="G170" s="362" t="n"/>
      <c r="H170" s="362" t="n"/>
      <c r="I170" s="56" t="n"/>
      <c r="J170" s="362" t="n"/>
      <c r="K170" s="362" t="n"/>
      <c r="L170" s="362" t="n"/>
    </row>
    <row r="171" ht="15" customFormat="1" customHeight="1" s="1159">
      <c r="B171" s="55" t="n"/>
      <c r="C171" s="55" t="n"/>
      <c r="D171" s="56" t="n"/>
      <c r="E171" s="55" t="n"/>
      <c r="F171" s="55" t="n"/>
      <c r="G171" s="362" t="n"/>
      <c r="H171" s="362" t="n"/>
      <c r="I171" s="56" t="n"/>
      <c r="J171" s="362" t="n"/>
      <c r="K171" s="362" t="n"/>
      <c r="L171" s="362" t="n"/>
    </row>
    <row r="172" ht="15" customFormat="1" customHeight="1" s="1159">
      <c r="B172" s="55" t="n"/>
      <c r="C172" s="55" t="n"/>
      <c r="D172" s="56" t="n"/>
      <c r="E172" s="55" t="n"/>
      <c r="F172" s="55" t="n"/>
      <c r="G172" s="362" t="n"/>
      <c r="H172" s="362" t="n"/>
      <c r="I172" s="56" t="n"/>
      <c r="J172" s="362" t="n"/>
      <c r="K172" s="362" t="n"/>
      <c r="L172" s="362" t="n"/>
    </row>
    <row r="173" ht="15" customFormat="1" customHeight="1" s="1159">
      <c r="B173" s="55" t="n"/>
      <c r="C173" s="55" t="n"/>
      <c r="D173" s="56" t="n"/>
      <c r="E173" s="55" t="n"/>
      <c r="F173" s="55" t="n"/>
      <c r="G173" s="362" t="n"/>
      <c r="H173" s="362" t="n"/>
      <c r="I173" s="56" t="n"/>
      <c r="J173" s="362" t="n"/>
      <c r="K173" s="362" t="n"/>
      <c r="L173" s="362" t="n"/>
    </row>
    <row r="174" ht="15" customFormat="1" customHeight="1" s="1159">
      <c r="B174" s="55" t="n"/>
      <c r="C174" s="55" t="n"/>
      <c r="D174" s="56" t="n"/>
      <c r="E174" s="55" t="n"/>
      <c r="F174" s="55" t="n"/>
      <c r="G174" s="362" t="n"/>
      <c r="H174" s="362" t="n"/>
      <c r="I174" s="56" t="n"/>
      <c r="J174" s="362" t="n"/>
      <c r="K174" s="362" t="n"/>
      <c r="L174" s="362" t="n"/>
    </row>
    <row r="175" ht="15" customFormat="1" customHeight="1" s="1159">
      <c r="B175" s="55" t="n"/>
      <c r="C175" s="55" t="n"/>
      <c r="D175" s="56" t="n"/>
      <c r="E175" s="55" t="n"/>
      <c r="F175" s="55" t="n"/>
      <c r="G175" s="362" t="n"/>
      <c r="H175" s="362" t="n"/>
      <c r="I175" s="56" t="n"/>
      <c r="J175" s="362" t="n"/>
      <c r="K175" s="362" t="n"/>
      <c r="L175" s="362" t="n"/>
    </row>
    <row r="176" ht="15" customFormat="1" customHeight="1" s="1159">
      <c r="B176" s="55" t="n"/>
      <c r="C176" s="55" t="n"/>
      <c r="D176" s="56" t="n"/>
      <c r="E176" s="55" t="n"/>
      <c r="F176" s="55" t="n"/>
      <c r="G176" s="362" t="n"/>
      <c r="H176" s="362" t="n"/>
      <c r="I176" s="56" t="n"/>
      <c r="J176" s="362" t="n"/>
      <c r="K176" s="362" t="n"/>
      <c r="L176" s="362" t="n"/>
    </row>
    <row r="177" ht="15" customFormat="1" customHeight="1" s="1159">
      <c r="B177" s="55" t="n"/>
      <c r="C177" s="55" t="n"/>
      <c r="D177" s="56" t="n"/>
      <c r="E177" s="55" t="n"/>
      <c r="F177" s="55" t="n"/>
      <c r="G177" s="362" t="n"/>
      <c r="H177" s="362" t="n"/>
      <c r="I177" s="56" t="n"/>
      <c r="J177" s="362" t="n"/>
      <c r="K177" s="362" t="n"/>
      <c r="L177" s="362" t="n"/>
    </row>
    <row r="178" ht="15" customFormat="1" customHeight="1" s="1159">
      <c r="B178" s="55" t="n"/>
      <c r="C178" s="55" t="n"/>
      <c r="D178" s="56" t="n"/>
      <c r="E178" s="55" t="n"/>
      <c r="F178" s="55" t="n"/>
      <c r="G178" s="362" t="n"/>
      <c r="H178" s="362" t="n"/>
      <c r="I178" s="56" t="n"/>
      <c r="J178" s="362" t="n"/>
      <c r="K178" s="362" t="n"/>
      <c r="L178" s="362" t="n"/>
    </row>
    <row r="179" ht="15" customFormat="1" customHeight="1" s="1159">
      <c r="B179" s="55" t="n"/>
      <c r="C179" s="55" t="n"/>
      <c r="D179" s="56" t="n"/>
      <c r="E179" s="55" t="n"/>
      <c r="F179" s="55" t="n"/>
      <c r="G179" s="362" t="n"/>
      <c r="H179" s="362" t="n"/>
      <c r="I179" s="56" t="n"/>
      <c r="J179" s="362" t="n"/>
      <c r="K179" s="362" t="n"/>
      <c r="L179" s="362" t="n"/>
    </row>
    <row r="180" ht="15" customFormat="1" customHeight="1" s="1159">
      <c r="B180" s="55" t="n"/>
      <c r="C180" s="55" t="n"/>
      <c r="D180" s="56" t="n"/>
      <c r="E180" s="55" t="n"/>
      <c r="F180" s="55" t="n"/>
      <c r="G180" s="362" t="n"/>
      <c r="H180" s="362" t="n"/>
      <c r="I180" s="56" t="n"/>
      <c r="J180" s="362" t="n"/>
      <c r="K180" s="362" t="n"/>
      <c r="L180" s="362" t="n"/>
    </row>
    <row r="181" ht="15" customFormat="1" customHeight="1" s="1159">
      <c r="B181" s="55" t="n"/>
      <c r="C181" s="55" t="n"/>
      <c r="D181" s="56" t="n"/>
      <c r="E181" s="55" t="n"/>
      <c r="F181" s="55" t="n"/>
      <c r="G181" s="362" t="n"/>
      <c r="H181" s="362" t="n"/>
      <c r="I181" s="56" t="n"/>
      <c r="J181" s="362" t="n"/>
      <c r="K181" s="362" t="n"/>
      <c r="L181" s="362" t="n"/>
    </row>
    <row r="182" ht="15" customFormat="1" customHeight="1" s="1159">
      <c r="B182" s="55" t="n"/>
      <c r="C182" s="55" t="n"/>
      <c r="D182" s="56" t="n"/>
      <c r="E182" s="55" t="n"/>
      <c r="F182" s="55" t="n"/>
      <c r="G182" s="362" t="n"/>
      <c r="H182" s="362" t="n"/>
      <c r="I182" s="56" t="n"/>
      <c r="J182" s="362" t="n"/>
      <c r="K182" s="362" t="n"/>
      <c r="L182" s="362" t="n"/>
    </row>
    <row r="183" ht="15" customFormat="1" customHeight="1" s="1159">
      <c r="B183" s="55" t="n"/>
      <c r="C183" s="55" t="n"/>
      <c r="D183" s="56" t="n"/>
      <c r="E183" s="55" t="n"/>
      <c r="F183" s="55" t="n"/>
      <c r="G183" s="362" t="n"/>
      <c r="H183" s="362" t="n"/>
      <c r="I183" s="56" t="n"/>
      <c r="J183" s="362" t="n"/>
      <c r="K183" s="362" t="n"/>
      <c r="L183" s="362" t="n"/>
    </row>
    <row r="184" ht="15" customFormat="1" customHeight="1" s="1159">
      <c r="B184" s="55" t="n"/>
      <c r="C184" s="55" t="n"/>
      <c r="D184" s="56" t="n"/>
      <c r="E184" s="55" t="n"/>
      <c r="F184" s="55" t="n"/>
      <c r="G184" s="362" t="n"/>
      <c r="H184" s="362" t="n"/>
      <c r="I184" s="56" t="n"/>
      <c r="J184" s="362" t="n"/>
      <c r="K184" s="362" t="n"/>
      <c r="L184" s="362" t="n"/>
    </row>
    <row r="185" ht="15" customFormat="1" customHeight="1" s="1159">
      <c r="B185" s="55" t="n"/>
      <c r="C185" s="55" t="n"/>
      <c r="D185" s="56" t="n"/>
      <c r="E185" s="55" t="n"/>
      <c r="F185" s="55" t="n"/>
      <c r="G185" s="362" t="n"/>
      <c r="H185" s="362" t="n"/>
      <c r="I185" s="56" t="n"/>
      <c r="J185" s="362" t="n"/>
      <c r="K185" s="362" t="n"/>
      <c r="L185" s="362" t="n"/>
    </row>
    <row r="186" ht="15" customFormat="1" customHeight="1" s="1159">
      <c r="B186" s="55" t="n"/>
      <c r="C186" s="55" t="n"/>
      <c r="D186" s="56" t="n"/>
      <c r="E186" s="55" t="n"/>
      <c r="F186" s="55" t="n"/>
      <c r="G186" s="362" t="n"/>
      <c r="H186" s="362" t="n"/>
      <c r="I186" s="56" t="n"/>
      <c r="J186" s="362" t="n"/>
      <c r="K186" s="362" t="n"/>
      <c r="L186" s="362" t="n"/>
    </row>
    <row r="187" ht="15" customFormat="1" customHeight="1" s="1159">
      <c r="B187" s="55" t="n"/>
      <c r="C187" s="55" t="n"/>
      <c r="D187" s="56" t="n"/>
      <c r="E187" s="55" t="n"/>
      <c r="F187" s="55" t="n"/>
      <c r="G187" s="362" t="n"/>
      <c r="H187" s="362" t="n"/>
      <c r="I187" s="56" t="n"/>
      <c r="J187" s="362" t="n"/>
      <c r="K187" s="362" t="n"/>
      <c r="L187" s="362" t="n"/>
    </row>
    <row r="188" ht="15" customFormat="1" customHeight="1" s="1159">
      <c r="B188" s="55" t="n"/>
      <c r="C188" s="55" t="n"/>
      <c r="D188" s="56" t="n"/>
      <c r="E188" s="55" t="n"/>
      <c r="F188" s="55" t="n"/>
      <c r="G188" s="362" t="n"/>
      <c r="H188" s="362" t="n"/>
      <c r="I188" s="56" t="n"/>
      <c r="J188" s="362" t="n"/>
      <c r="K188" s="362" t="n"/>
      <c r="L188" s="362" t="n"/>
    </row>
    <row r="189" ht="15" customFormat="1" customHeight="1" s="1159">
      <c r="B189" s="55" t="n"/>
      <c r="C189" s="55" t="n"/>
      <c r="D189" s="56" t="n"/>
      <c r="E189" s="55" t="n"/>
      <c r="F189" s="55" t="n"/>
      <c r="G189" s="362" t="n"/>
      <c r="H189" s="362" t="n"/>
      <c r="I189" s="56" t="n"/>
      <c r="J189" s="362" t="n"/>
      <c r="K189" s="362" t="n"/>
      <c r="L189" s="362" t="n"/>
    </row>
    <row r="190" ht="15" customFormat="1" customHeight="1" s="1159">
      <c r="B190" s="55" t="n"/>
      <c r="C190" s="55" t="n"/>
      <c r="D190" s="56" t="n"/>
      <c r="E190" s="55" t="n"/>
      <c r="F190" s="55" t="n"/>
      <c r="G190" s="362" t="n"/>
      <c r="H190" s="362" t="n"/>
      <c r="I190" s="56" t="n"/>
      <c r="J190" s="362" t="n"/>
      <c r="K190" s="362" t="n"/>
      <c r="L190" s="362" t="n"/>
    </row>
    <row r="191" ht="15" customFormat="1" customHeight="1" s="1159">
      <c r="B191" s="55" t="n"/>
      <c r="C191" s="55" t="n"/>
      <c r="D191" s="56" t="n"/>
      <c r="E191" s="55" t="n"/>
      <c r="F191" s="55" t="n"/>
      <c r="G191" s="362" t="n"/>
      <c r="H191" s="362" t="n"/>
      <c r="I191" s="56" t="n"/>
      <c r="J191" s="362" t="n"/>
      <c r="K191" s="362" t="n"/>
      <c r="L191" s="362" t="n"/>
    </row>
    <row r="192" ht="15" customFormat="1" customHeight="1" s="1159">
      <c r="B192" s="55" t="n"/>
      <c r="C192" s="55" t="n"/>
      <c r="D192" s="56" t="n"/>
      <c r="E192" s="55" t="n"/>
      <c r="F192" s="55" t="n"/>
      <c r="G192" s="362" t="n"/>
      <c r="H192" s="362" t="n"/>
      <c r="I192" s="56" t="n"/>
      <c r="J192" s="362" t="n"/>
      <c r="K192" s="362" t="n"/>
      <c r="L192" s="362" t="n"/>
    </row>
    <row r="193" ht="15" customFormat="1" customHeight="1" s="1159">
      <c r="B193" s="55" t="n"/>
      <c r="C193" s="55" t="n"/>
      <c r="D193" s="56" t="n"/>
      <c r="E193" s="55" t="n"/>
      <c r="F193" s="55" t="n"/>
      <c r="G193" s="362" t="n"/>
      <c r="H193" s="362" t="n"/>
      <c r="I193" s="56" t="n"/>
      <c r="J193" s="362" t="n"/>
      <c r="K193" s="362" t="n"/>
      <c r="L193" s="362" t="n"/>
    </row>
    <row r="194" ht="15" customFormat="1" customHeight="1" s="1159">
      <c r="B194" s="55" t="n"/>
      <c r="C194" s="55" t="n"/>
      <c r="D194" s="56" t="n"/>
      <c r="E194" s="55" t="n"/>
      <c r="F194" s="55" t="n"/>
      <c r="G194" s="362" t="n"/>
      <c r="H194" s="362" t="n"/>
      <c r="I194" s="56" t="n"/>
      <c r="J194" s="362" t="n"/>
      <c r="K194" s="362" t="n"/>
      <c r="L194" s="362" t="n"/>
    </row>
    <row r="195" ht="15" customFormat="1" customHeight="1" s="1159">
      <c r="B195" s="55" t="n"/>
      <c r="C195" s="55" t="n"/>
      <c r="D195" s="56" t="n"/>
      <c r="E195" s="55" t="n"/>
      <c r="F195" s="55" t="n"/>
      <c r="G195" s="362" t="n"/>
      <c r="H195" s="362" t="n"/>
      <c r="I195" s="56" t="n"/>
      <c r="J195" s="362" t="n"/>
      <c r="K195" s="362" t="n"/>
      <c r="L195" s="362" t="n"/>
    </row>
    <row r="196" ht="15" customFormat="1" customHeight="1" s="1159">
      <c r="B196" s="55" t="n"/>
      <c r="C196" s="55" t="n"/>
      <c r="D196" s="56" t="n"/>
      <c r="E196" s="55" t="n"/>
      <c r="F196" s="55" t="n"/>
      <c r="G196" s="362" t="n"/>
      <c r="H196" s="362" t="n"/>
      <c r="I196" s="56" t="n"/>
      <c r="J196" s="362" t="n"/>
      <c r="K196" s="362" t="n"/>
      <c r="L196" s="362" t="n"/>
    </row>
    <row r="197" ht="15" customFormat="1" customHeight="1" s="1159">
      <c r="B197" s="55" t="n"/>
      <c r="C197" s="55" t="n"/>
      <c r="D197" s="56" t="n"/>
      <c r="E197" s="55" t="n"/>
      <c r="F197" s="55" t="n"/>
      <c r="G197" s="362" t="n"/>
      <c r="H197" s="362" t="n"/>
      <c r="I197" s="56" t="n"/>
      <c r="J197" s="362" t="n"/>
      <c r="K197" s="362" t="n"/>
      <c r="L197" s="362" t="n"/>
    </row>
    <row r="198" ht="15" customFormat="1" customHeight="1" s="1159">
      <c r="B198" s="55" t="n"/>
      <c r="C198" s="55" t="n"/>
      <c r="D198" s="56" t="n"/>
      <c r="E198" s="55" t="n"/>
      <c r="F198" s="55" t="n"/>
      <c r="G198" s="362" t="n"/>
      <c r="H198" s="362" t="n"/>
      <c r="I198" s="56" t="n"/>
      <c r="J198" s="362" t="n"/>
      <c r="K198" s="362" t="n"/>
      <c r="L198" s="362" t="n"/>
    </row>
    <row r="199" ht="15" customFormat="1" customHeight="1" s="1159">
      <c r="B199" s="55" t="n"/>
      <c r="C199" s="55" t="n"/>
      <c r="D199" s="56" t="n"/>
      <c r="E199" s="55" t="n"/>
      <c r="F199" s="55" t="n"/>
      <c r="G199" s="362" t="n"/>
      <c r="H199" s="362" t="n"/>
      <c r="I199" s="56" t="n"/>
      <c r="J199" s="362" t="n"/>
      <c r="K199" s="362" t="n"/>
      <c r="L199" s="362" t="n"/>
    </row>
    <row r="200" ht="15" customFormat="1" customHeight="1" s="1159">
      <c r="B200" s="55" t="n"/>
      <c r="C200" s="55" t="n"/>
      <c r="D200" s="56" t="n"/>
      <c r="E200" s="55" t="n"/>
      <c r="F200" s="55" t="n"/>
      <c r="G200" s="362" t="n"/>
      <c r="H200" s="362" t="n"/>
      <c r="I200" s="56" t="n"/>
      <c r="J200" s="362" t="n"/>
      <c r="K200" s="362" t="n"/>
      <c r="L200" s="362" t="n"/>
    </row>
    <row r="201" ht="15" customFormat="1" customHeight="1" s="1159">
      <c r="B201" s="55" t="n"/>
      <c r="C201" s="55" t="n"/>
      <c r="D201" s="56" t="n"/>
      <c r="E201" s="55" t="n"/>
      <c r="F201" s="55" t="n"/>
      <c r="G201" s="362" t="n"/>
      <c r="H201" s="362" t="n"/>
      <c r="I201" s="56" t="n"/>
      <c r="J201" s="362" t="n"/>
      <c r="K201" s="362" t="n"/>
      <c r="L201" s="362" t="n"/>
    </row>
    <row r="202" ht="15" customFormat="1" customHeight="1" s="1159">
      <c r="B202" s="55" t="n"/>
      <c r="C202" s="55" t="n"/>
      <c r="D202" s="56" t="n"/>
      <c r="E202" s="55" t="n"/>
      <c r="F202" s="55" t="n"/>
      <c r="G202" s="362" t="n"/>
      <c r="H202" s="362" t="n"/>
      <c r="I202" s="56" t="n"/>
      <c r="J202" s="362" t="n"/>
      <c r="K202" s="362" t="n"/>
      <c r="L202" s="362" t="n"/>
    </row>
    <row r="203" ht="15" customFormat="1" customHeight="1" s="1159">
      <c r="B203" s="55" t="n"/>
      <c r="C203" s="55" t="n"/>
      <c r="D203" s="56" t="n"/>
      <c r="E203" s="55" t="n"/>
      <c r="F203" s="55" t="n"/>
      <c r="G203" s="362" t="n"/>
      <c r="H203" s="362" t="n"/>
      <c r="I203" s="56" t="n"/>
      <c r="J203" s="362" t="n"/>
      <c r="K203" s="362" t="n"/>
      <c r="L203" s="362" t="n"/>
    </row>
  </sheetData>
  <mergeCells count="11">
    <mergeCell ref="C7:D7"/>
    <mergeCell ref="G7:H7"/>
    <mergeCell ref="D61:F61"/>
    <mergeCell ref="C5:D5"/>
    <mergeCell ref="G5:H5"/>
    <mergeCell ref="M7:O7"/>
    <mergeCell ref="D60:F60"/>
    <mergeCell ref="O37:P37"/>
    <mergeCell ref="B1:C1"/>
    <mergeCell ref="C3:D3"/>
    <mergeCell ref="G3:H3"/>
  </mergeCells>
  <conditionalFormatting sqref="B9">
    <cfRule type="expression" priority="44" dxfId="680">
      <formula>B9="CURRENCY"</formula>
    </cfRule>
    <cfRule type="containsText" priority="43" operator="containsText" dxfId="680" text="SELECT">
      <formula>NOT(ISERROR(SEARCH("SELECT",B9)))</formula>
    </cfRule>
  </conditionalFormatting>
  <conditionalFormatting sqref="B15:B29">
    <cfRule type="expression" priority="15" dxfId="633">
      <formula>$D15&gt;0</formula>
    </cfRule>
  </conditionalFormatting>
  <conditionalFormatting sqref="B49 E49:F49">
    <cfRule type="expression" priority="68" dxfId="383">
      <formula>C40="select controls"</formula>
    </cfRule>
  </conditionalFormatting>
  <conditionalFormatting sqref="C13">
    <cfRule type="containsText" priority="48" operator="containsText" dxfId="680" text="SELECT">
      <formula>NOT(ISERROR(SEARCH("SELECT",C13)))</formula>
    </cfRule>
  </conditionalFormatting>
  <conditionalFormatting sqref="C15:C22">
    <cfRule type="containsText" priority="26" operator="containsText" dxfId="561" text="SIZE">
      <formula>NOT(ISERROR(SEARCH("SIZE",C15)))</formula>
    </cfRule>
  </conditionalFormatting>
  <conditionalFormatting sqref="C25">
    <cfRule type="containsText" priority="56" operator="containsText" dxfId="561" text="SELECT CONTROLS">
      <formula>NOT(ISERROR(SEARCH("SELECT CONTROLS",C25)))</formula>
    </cfRule>
  </conditionalFormatting>
  <conditionalFormatting sqref="C26">
    <cfRule type="expression" priority="51" dxfId="10555">
      <formula>$C$25="SMARTEC"</formula>
    </cfRule>
    <cfRule type="containsText" priority="50" operator="containsText" dxfId="10554" text="st/st">
      <formula>NOT(ISERROR(SEARCH("st/st",C26)))</formula>
    </cfRule>
  </conditionalFormatting>
  <conditionalFormatting sqref="C31:C32">
    <cfRule type="cellIs" priority="32" operator="greaterThan" dxfId="10553">
      <formula>0</formula>
    </cfRule>
  </conditionalFormatting>
  <conditionalFormatting sqref="C52:C61">
    <cfRule type="cellIs" priority="46" operator="lessThan" dxfId="164">
      <formula>1</formula>
    </cfRule>
  </conditionalFormatting>
  <conditionalFormatting sqref="C9:D9">
    <cfRule type="cellIs" priority="39" operator="lessThan" dxfId="207">
      <formula>0</formula>
    </cfRule>
    <cfRule type="cellIs" priority="40" operator="greaterThan" dxfId="552">
      <formula>0</formula>
    </cfRule>
  </conditionalFormatting>
  <conditionalFormatting sqref="C29:D29">
    <cfRule type="expression" priority="55" dxfId="206">
      <formula>$C$25="REMOTE TOUCH SCREEN"</formula>
    </cfRule>
    <cfRule type="expression" priority="54" dxfId="10548">
      <formula>$C$25="SMARTEC"</formula>
    </cfRule>
  </conditionalFormatting>
  <conditionalFormatting sqref="D26">
    <cfRule type="expression" priority="52" dxfId="10544">
      <formula>C25="SMARTEC"</formula>
    </cfRule>
    <cfRule type="expression" priority="49" dxfId="680">
      <formula>C26="st/st enclosure"</formula>
    </cfRule>
  </conditionalFormatting>
  <conditionalFormatting sqref="D29">
    <cfRule type="expression" priority="53" dxfId="10545">
      <formula>$C$25="SMARTEC"</formula>
    </cfRule>
  </conditionalFormatting>
  <conditionalFormatting sqref="D38">
    <cfRule type="expression" priority="67" dxfId="10544">
      <formula>#REF!="SMARTEC"</formula>
    </cfRule>
    <cfRule type="expression" priority="66" dxfId="680">
      <formula>C38="st/st enclosure"</formula>
    </cfRule>
  </conditionalFormatting>
  <conditionalFormatting sqref="E39:E43">
    <cfRule type="expression" priority="65" dxfId="383">
      <formula>#REF!="select controls"</formula>
    </cfRule>
  </conditionalFormatting>
  <conditionalFormatting sqref="B45:B48 E44:F45 E46:E47 E48:F48">
    <cfRule type="expression" priority="45" dxfId="383">
      <formula>C38="select controls"</formula>
    </cfRule>
  </conditionalFormatting>
  <conditionalFormatting sqref="F40">
    <cfRule type="expression" priority="1" dxfId="383">
      <formula>G34="select controls"</formula>
    </cfRule>
  </conditionalFormatting>
  <conditionalFormatting sqref="G15:G36">
    <cfRule type="cellIs" priority="2" operator="greaterThan" dxfId="153">
      <formula>0</formula>
    </cfRule>
  </conditionalFormatting>
  <conditionalFormatting sqref="G38:G49">
    <cfRule type="cellIs" priority="29" operator="greaterThan" dxfId="153">
      <formula>0</formula>
    </cfRule>
  </conditionalFormatting>
  <conditionalFormatting sqref="G52:G61">
    <cfRule type="expression" priority="14" dxfId="10537">
      <formula>C52&gt;0</formula>
    </cfRule>
  </conditionalFormatting>
  <conditionalFormatting sqref="H13 J13 L13">
    <cfRule type="expression" priority="57" dxfId="2">
      <formula>$B$9="EURO"</formula>
    </cfRule>
  </conditionalFormatting>
  <conditionalFormatting sqref="H15:H61">
    <cfRule type="cellIs" priority="30" operator="greaterThan" dxfId="141">
      <formula>0</formula>
    </cfRule>
  </conditionalFormatting>
  <conditionalFormatting sqref="I15:I36 I38:I49 I52:I61">
    <cfRule type="expression" priority="63" dxfId="175">
      <formula>$C$9&lt;0</formula>
    </cfRule>
    <cfRule type="expression" priority="62" dxfId="552">
      <formula>$C$9&gt;0</formula>
    </cfRule>
  </conditionalFormatting>
  <conditionalFormatting sqref="J37">
    <cfRule type="expression" priority="61" dxfId="2">
      <formula>$B$9="EURO"</formula>
    </cfRule>
    <cfRule type="expression" priority="60" dxfId="3">
      <formula>$B$9="USD"</formula>
    </cfRule>
    <cfRule type="expression" priority="59" dxfId="0">
      <formula>$B$9="CZK"</formula>
    </cfRule>
    <cfRule type="expression" priority="58" dxfId="4">
      <formula>$B$9="PLN"</formula>
    </cfRule>
  </conditionalFormatting>
  <conditionalFormatting sqref="J63:J69">
    <cfRule type="expression" priority="64" dxfId="2">
      <formula>#REF!="EURO"</formula>
    </cfRule>
  </conditionalFormatting>
  <conditionalFormatting sqref="K1:K36">
    <cfRule type="expression" priority="6" dxfId="3">
      <formula>$B$9="USD"</formula>
    </cfRule>
    <cfRule type="expression" priority="5" dxfId="2">
      <formula>$B$9="EURO"</formula>
    </cfRule>
    <cfRule type="expression" priority="7" dxfId="4">
      <formula>$B$9="PLN"</formula>
    </cfRule>
  </conditionalFormatting>
  <conditionalFormatting sqref="K1:K1048576">
    <cfRule type="expression" priority="8" dxfId="0">
      <formula>$B$9="CZK"</formula>
    </cfRule>
  </conditionalFormatting>
  <conditionalFormatting sqref="K15:K36">
    <cfRule type="cellIs" priority="4" operator="greaterThan" dxfId="1">
      <formula>0</formula>
    </cfRule>
  </conditionalFormatting>
  <conditionalFormatting sqref="K38:K49">
    <cfRule type="cellIs" priority="21" operator="greaterThan" dxfId="1">
      <formula>0</formula>
    </cfRule>
  </conditionalFormatting>
  <conditionalFormatting sqref="K38:K1048576">
    <cfRule type="expression" priority="17" dxfId="2">
      <formula>$B$9="EURO"</formula>
    </cfRule>
    <cfRule type="expression" priority="18" dxfId="3">
      <formula>$B$9="USD"</formula>
    </cfRule>
    <cfRule type="expression" priority="19" dxfId="4">
      <formula>$B$9="PLN"</formula>
    </cfRule>
  </conditionalFormatting>
  <conditionalFormatting sqref="K50">
    <cfRule type="cellIs" priority="38" operator="greaterThan" dxfId="141">
      <formula>0</formula>
    </cfRule>
  </conditionalFormatting>
  <conditionalFormatting sqref="K52:K61">
    <cfRule type="cellIs" priority="16" operator="greaterThan" dxfId="1">
      <formula>0</formula>
    </cfRule>
  </conditionalFormatting>
  <conditionalFormatting sqref="L15:L36 L52:L61">
    <cfRule type="cellIs" priority="36" operator="greaterThan" dxfId="141">
      <formula>0</formula>
    </cfRule>
  </conditionalFormatting>
  <conditionalFormatting sqref="L38:L49">
    <cfRule type="cellIs" priority="28" operator="greaterThan" dxfId="141">
      <formula>0</formula>
    </cfRule>
  </conditionalFormatting>
  <conditionalFormatting sqref="U40">
    <cfRule type="cellIs" priority="27" operator="greaterThan" dxfId="141">
      <formula>0</formula>
    </cfRule>
  </conditionalFormatting>
  <dataValidations count="3">
    <dataValidation sqref="C65533:C65541 C65559:C65560 C65579 C65584 C131069:C131077 C131095:C131096 C131115 C131120 C196605:C196613 C196631:C196632 C196651 C196656 C262141:C262149 C262167:C262168 C262187 C262192 C327677:C327685 C327703:C327704 C327723 C327728 C393213:C393221 C393239:C393240 C393259 C393264 C458749:C458757 C458775:C458776 C458795 C458800 C524285:C524293 C524311:C524312 C524331 C524336 C589821:C589829 C589847:C589848 C589867 C589872 C655357:C655365 C655383:C655384 C655403 C655408 C720893:C720901 C720919:C720920 C720939 C720944 C786429:C786437 C786455:C786456 C786475 C786480 C851965:C851973 C851991:C851992 C852011 C852016 C917501:C917509 C917527:C917528 C917547 C917552 C983037:C983045 C983063:C983064 C983083 C983088 IE15:IE22 IE38:IE43 IE52:IE53 IE65533:IE65541 IE65559:IE65560 IE65579 IE65584 IE131069:IE131077 IE131095:IE131096 IE131115 IE131120 IE196605:IE196613 IE196631:IE196632 IE196651 IE196656 IE262141:IE262149 IE262167:IE262168 IE262187 IE262192 IE327677:IE327685 IE327703:IE327704 IE327723 IE327728 IE393213:IE393221 IE393239:IE393240 IE393259 IE393264 IE458749:IE458757 IE458775:IE458776 IE458795 IE458800 IE524285:IE524293 IE524311:IE524312 IE524331 IE524336 IE589821:IE589829 IE589847:IE589848 IE589867 IE589872 IE655357:IE655365 IE655383:IE655384 IE655403 IE655408 IE720893:IE720901 IE720919:IE720920 IE720939 IE720944 IE786429:IE786437 IE786455:IE786456 IE786475 IE786480 IE851965:IE851973 IE851991:IE851992 IE852011 IE852016 IE917501:IE917509 IE917527:IE917528 IE917547 IE917552 IE983037:IE983045 IE983063:IE983064 IE983083 IE983088 IP65518:IP65528 IP131054:IP131064 IP196590:IP196600 IP262126:IP262136 IP327662:IP327672 IP393198:IP393208 IP458734:IP458744 IP524270:IP524280 IP589806:IP589816 IP655342:IP655352 IP720878:IP720888 IP786414:IP786424 IP851950:IP851960 IP917486:IP917496 IP983022:IP983032 SA15:SA22 SA38:SA43 SA52:SA53 SA65533:SA65541 SA65559:SA65560 SA65579 SA65584 SA131069:SA131077 SA131095:SA131096 SA131115 SA131120 SA196605:SA196613 SA196631:SA196632 SA196651 SA196656 SA262141:SA262149 SA262167:SA262168 SA262187 SA262192 SA327677:SA327685 SA327703:SA327704 SA327723 SA327728 SA393213:SA393221 SA393239:SA393240 SA393259 SA393264 SA458749:SA458757 SA458775:SA458776 SA458795 SA458800 SA524285:SA524293 SA524311:SA524312 SA524331 SA524336 SA589821:SA589829 SA589847:SA589848 SA589867 SA589872 SA655357:SA655365 SA655383:SA655384 SA655403 SA655408 SA720893:SA720901 SA720919:SA720920 SA720939 SA720944 SA786429:SA786437 SA786455:SA786456 SA786475 SA786480 SA851965:SA851973 SA851991:SA851992 SA852011 SA852016 SA917501:SA917509 SA917527:SA917528 SA917547 SA917552 SA983037:SA983045 SA983063:SA983064 SA983083 SA983088 SL65518:SL65528 SL131054:SL131064 SL196590:SL196600 SL262126:SL262136 SL327662:SL327672 SL393198:SL393208 SL458734:SL458744 SL524270:SL524280 SL589806:SL589816 SL655342:SL655352 SL720878:SL720888 SL786414:SL786424 SL851950:SL851960 SL917486:SL917496 SL983022:SL983032 ABW15:ABW22 ABW38:ABW43 ABW52:ABW53 ABW65533:ABW65541 ABW65559:ABW65560 ABW65579 ABW65584 ABW131069:ABW131077 ABW131095:ABW131096 ABW131115 ABW131120 ABW196605:ABW196613 ABW196631:ABW196632 ABW196651 ABW196656 ABW262141:ABW262149 ABW262167:ABW262168 ABW262187 ABW262192 ABW327677:ABW327685 ABW327703:ABW327704 ABW327723 ABW327728 ABW393213:ABW393221 ABW393239:ABW393240 ABW393259 ABW393264 ABW458749:ABW458757 ABW458775:ABW458776 ABW458795 ABW458800 ABW524285:ABW524293 ABW524311:ABW524312 ABW524331 ABW524336 ABW589821:ABW589829 ABW589847:ABW589848 ABW589867 ABW589872 ABW655357:ABW655365 ABW655383:ABW655384 ABW655403 ABW655408 ABW720893:ABW720901 ABW720919:ABW720920 ABW720939 ABW720944 ABW786429:ABW786437 ABW786455:ABW786456 ABW786475 ABW786480 ABW851965:ABW851973 ABW851991:ABW851992 ABW852011 ABW852016 ABW917501:ABW917509 ABW917527:ABW917528 ABW917547 ABW917552 ABW983037:ABW983045 ABW983063:ABW983064 ABW983083 ABW983088 ACH65518:ACH65528 ACH131054:ACH131064 ACH196590:ACH196600 ACH262126:ACH262136 ACH327662:ACH327672 ACH393198:ACH393208 ACH458734:ACH458744 ACH524270:ACH524280 ACH589806:ACH589816 ACH655342:ACH655352 ACH720878:ACH720888 ACH786414:ACH786424 ACH851950:ACH851960 ACH917486:ACH917496 ACH983022:ACH983032 ALS15:ALS22 ALS38:ALS43 ALS52:ALS53 ALS65533:ALS65541 ALS65559:ALS65560 ALS65579 ALS65584 ALS131069:ALS131077 ALS131095:ALS131096 ALS131115 ALS131120 ALS196605:ALS196613 ALS196631:ALS196632 ALS196651 ALS196656 ALS262141:ALS262149 ALS262167:ALS262168 ALS262187 ALS262192 ALS327677:ALS327685 ALS327703:ALS327704 ALS327723 ALS327728 ALS393213:ALS393221 ALS393239:ALS393240 ALS393259 ALS393264 ALS458749:ALS458757 ALS458775:ALS458776 ALS458795 ALS458800 ALS524285:ALS524293 ALS524311:ALS524312 ALS524331 ALS524336 ALS589821:ALS589829 ALS589847:ALS589848 ALS589867 ALS589872 ALS655357:ALS655365 ALS655383:ALS655384 ALS655403 ALS655408 ALS720893:ALS720901 ALS720919:ALS720920 ALS720939 ALS720944 ALS786429:ALS786437 ALS786455:ALS786456 ALS786475 ALS786480 ALS851965:ALS851973 ALS851991:ALS851992 ALS852011 ALS852016 ALS917501:ALS917509 ALS917527:ALS917528 ALS917547 ALS917552 ALS983037:ALS983045 ALS983063:ALS983064 ALS983083 ALS983088 AMD65518:AMD65528 AMD131054:AMD131064 AMD196590:AMD196600 AMD262126:AMD262136 AMD327662:AMD327672 AMD393198:AMD393208 AMD458734:AMD458744 AMD524270:AMD524280 AMD589806:AMD589816 AMD655342:AMD655352 AMD720878:AMD720888 AMD786414:AMD786424 AMD851950:AMD851960 AMD917486:AMD917496 AMD983022:AMD983032 AVO15:AVO22 AVO38:AVO43 AVO52:AVO53 AVO65533:AVO65541 AVO65559:AVO65560 AVO65579 AVO65584 AVO131069:AVO131077 AVO131095:AVO131096 AVO131115 AVO131120 AVO196605:AVO196613 AVO196631:AVO196632 AVO196651 AVO196656 AVO262141:AVO262149 AVO262167:AVO262168 AVO262187 AVO262192 AVO327677:AVO327685 AVO327703:AVO327704 AVO327723 AVO327728 AVO393213:AVO393221 AVO393239:AVO393240 AVO393259 AVO393264 AVO458749:AVO458757 AVO458775:AVO458776 AVO458795 AVO458800 AVO524285:AVO524293 AVO524311:AVO524312 AVO524331 AVO524336 AVO589821:AVO589829 AVO589847:AVO589848 AVO589867 AVO589872 AVO655357:AVO655365 AVO655383:AVO655384 AVO655403 AVO655408 AVO720893:AVO720901 AVO720919:AVO720920 AVO720939 AVO720944 AVO786429:AVO786437 AVO786455:AVO786456 AVO786475 AVO786480 AVO851965:AVO851973 AVO851991:AVO851992 AVO852011 AVO852016 AVO917501:AVO917509 AVO917527:AVO917528 AVO917547 AVO917552 AVO983037:AVO983045 AVO983063:AVO983064 AVO983083 AVO983088 AVZ65518:AVZ65528 AVZ131054:AVZ131064 AVZ196590:AVZ196600 AVZ262126:AVZ262136 AVZ327662:AVZ327672 AVZ393198:AVZ393208 AVZ458734:AVZ458744 AVZ524270:AVZ524280 AVZ589806:AVZ589816 AVZ655342:AVZ655352 AVZ720878:AVZ720888 AVZ786414:AVZ786424 AVZ851950:AVZ851960 AVZ917486:AVZ917496 AVZ983022:AVZ983032 BFK15:BFK22 BFK38:BFK43 BFK52:BFK53 BFK65533:BFK65541 BFK65559:BFK65560 BFK65579 BFK65584 BFK131069:BFK131077 BFK131095:BFK131096 BFK131115 BFK131120 BFK196605:BFK196613 BFK196631:BFK196632 BFK196651 BFK196656 BFK262141:BFK262149 BFK262167:BFK262168 BFK262187 BFK262192 BFK327677:BFK327685 BFK327703:BFK327704 BFK327723 BFK327728 BFK393213:BFK393221 BFK393239:BFK393240 BFK393259 BFK393264 BFK458749:BFK458757 BFK458775:BFK458776 BFK458795 BFK458800 BFK524285:BFK524293 BFK524311:BFK524312 BFK524331 BFK524336 BFK589821:BFK589829 BFK589847:BFK589848 BFK589867 BFK589872 BFK655357:BFK655365 BFK655383:BFK655384 BFK655403 BFK655408 BFK720893:BFK720901 BFK720919:BFK720920 BFK720939 BFK720944 BFK786429:BFK786437 BFK786455:BFK786456 BFK786475 BFK786480 BFK851965:BFK851973 BFK851991:BFK851992 BFK852011 BFK852016 BFK917501:BFK917509 BFK917527:BFK917528 BFK917547 BFK917552 BFK983037:BFK983045 BFK983063:BFK983064 BFK983083 BFK983088 BFV65518:BFV65528 BFV131054:BFV131064 BFV196590:BFV196600 BFV262126:BFV262136 BFV327662:BFV327672 BFV393198:BFV393208 BFV458734:BFV458744 BFV524270:BFV524280 BFV589806:BFV589816 BFV655342:BFV655352 BFV720878:BFV720888 BFV786414:BFV786424 BFV851950:BFV851960 BFV917486:BFV917496 BFV983022:BFV983032 BPG15:BPG22 BPG38:BPG43 BPG52:BPG53 BPG65533:BPG65541 BPG65559:BPG65560 BPG65579 BPG65584 BPG131069:BPG131077 BPG131095:BPG131096 BPG131115 BPG131120 BPG196605:BPG196613 BPG196631:BPG196632 BPG196651 BPG196656 BPG262141:BPG262149 BPG262167:BPG262168 BPG262187 BPG262192 BPG327677:BPG327685 BPG327703:BPG327704 BPG327723 BPG327728 BPG393213:BPG393221 BPG393239:BPG393240 BPG393259 BPG393264 BPG458749:BPG458757 BPG458775:BPG458776 BPG458795 BPG458800 BPG524285:BPG524293 BPG524311:BPG524312 BPG524331 BPG524336 BPG589821:BPG589829 BPG589847:BPG589848 BPG589867 BPG589872 BPG655357:BPG655365 BPG655383:BPG655384 BPG655403 BPG655408 BPG720893:BPG720901 BPG720919:BPG720920 BPG720939 BPG720944 BPG786429:BPG786437 BPG786455:BPG786456 BPG786475 BPG786480 BPG851965:BPG851973 BPG851991:BPG851992 BPG852011 BPG852016 BPG917501:BPG917509 BPG917527:BPG917528 BPG917547 BPG917552 BPG983037:BPG983045 BPG983063:BPG983064 BPG983083 BPG983088 BPR65518:BPR65528 BPR131054:BPR131064 BPR196590:BPR196600 BPR262126:BPR262136 BPR327662:BPR327672 BPR393198:BPR393208 BPR458734:BPR458744 BPR524270:BPR524280 BPR589806:BPR589816 BPR655342:BPR655352 BPR720878:BPR720888 BPR786414:BPR786424 BPR851950:BPR851960 BPR917486:BPR917496 BPR983022:BPR983032 BZC15:BZC22 BZC38:BZC43 BZC52:BZC53 BZC65533:BZC65541 BZC65559:BZC65560 BZC65579 BZC65584 BZC131069:BZC131077 BZC131095:BZC131096 BZC131115 BZC131120 BZC196605:BZC196613 BZC196631:BZC196632 BZC196651 BZC196656 BZC262141:BZC262149 BZC262167:BZC262168 BZC262187 BZC262192 BZC327677:BZC327685 BZC327703:BZC327704 BZC327723 BZC327728 BZC393213:BZC393221 BZC393239:BZC393240 BZC393259 BZC393264 BZC458749:BZC458757 BZC458775:BZC458776 BZC458795 BZC458800 BZC524285:BZC524293 BZC524311:BZC524312 BZC524331 BZC524336 BZC589821:BZC589829 BZC589847:BZC589848 BZC589867 BZC589872 BZC655357:BZC655365 BZC655383:BZC655384 BZC655403 BZC655408 BZC720893:BZC720901 BZC720919:BZC720920 BZC720939 BZC720944 BZC786429:BZC786437 BZC786455:BZC786456 BZC786475 BZC786480 BZC851965:BZC851973 BZC851991:BZC851992 BZC852011 BZC852016 BZC917501:BZC917509 BZC917527:BZC917528 BZC917547 BZC917552 BZC983037:BZC983045 BZC983063:BZC983064 BZC983083 BZC983088 BZN65518:BZN65528 BZN131054:BZN131064 BZN196590:BZN196600 BZN262126:BZN262136 BZN327662:BZN327672 BZN393198:BZN393208 BZN458734:BZN458744 BZN524270:BZN524280 BZN589806:BZN589816 BZN655342:BZN655352 BZN720878:BZN720888 BZN786414:BZN786424 BZN851950:BZN851960 BZN917486:BZN917496 BZN983022:BZN983032 CIY15:CIY22 CIY38:CIY43 CIY52:CIY53 CIY65533:CIY65541 CIY65559:CIY65560 CIY65579 CIY65584 CIY131069:CIY131077 CIY131095:CIY131096 CIY131115 CIY131120 CIY196605:CIY196613 CIY196631:CIY196632 CIY196651 CIY196656 CIY262141:CIY262149 CIY262167:CIY262168 CIY262187 CIY262192 CIY327677:CIY327685 CIY327703:CIY327704 CIY327723 CIY327728 CIY393213:CIY393221 CIY393239:CIY393240 CIY393259 CIY393264 CIY458749:CIY458757 CIY458775:CIY458776 CIY458795 CIY458800 CIY524285:CIY524293 CIY524311:CIY524312 CIY524331 CIY524336 CIY589821:CIY589829 CIY589847:CIY589848 CIY589867 CIY589872 CIY655357:CIY655365 CIY655383:CIY655384 CIY655403 CIY655408 CIY720893:CIY720901 CIY720919:CIY720920 CIY720939 CIY720944 CIY786429:CIY786437 CIY786455:CIY786456 CIY786475 CIY786480 CIY851965:CIY851973 CIY851991:CIY851992 CIY852011 CIY852016 CIY917501:CIY917509 CIY917527:CIY917528 CIY917547 CIY917552 CIY983037:CIY983045 CIY983063:CIY983064 CIY983083 CIY983088 CJJ65518:CJJ65528 CJJ131054:CJJ131064 CJJ196590:CJJ196600 CJJ262126:CJJ262136 CJJ327662:CJJ327672 CJJ393198:CJJ393208 CJJ458734:CJJ458744 CJJ524270:CJJ524280 CJJ589806:CJJ589816 CJJ655342:CJJ655352 CJJ720878:CJJ720888 CJJ786414:CJJ786424 CJJ851950:CJJ851960 CJJ917486:CJJ917496 CJJ983022:CJJ983032 CSU15:CSU22 CSU38:CSU43 CSU52:CSU53 CSU65533:CSU65541 CSU65559:CSU65560 CSU65579 CSU65584 CSU131069:CSU131077 CSU131095:CSU131096 CSU131115 CSU131120 CSU196605:CSU196613 CSU196631:CSU196632 CSU196651 CSU196656 CSU262141:CSU262149 CSU262167:CSU262168 CSU262187 CSU262192 CSU327677:CSU327685 CSU327703:CSU327704 CSU327723 CSU327728 CSU393213:CSU393221 CSU393239:CSU393240 CSU393259 CSU393264 CSU458749:CSU458757 CSU458775:CSU458776 CSU458795 CSU458800 CSU524285:CSU524293 CSU524311:CSU524312 CSU524331 CSU524336 CSU589821:CSU589829 CSU589847:CSU589848 CSU589867 CSU589872 CSU655357:CSU655365 CSU655383:CSU655384 CSU655403 CSU655408 CSU720893:CSU720901 CSU720919:CSU720920 CSU720939 CSU720944 CSU786429:CSU786437 CSU786455:CSU786456 CSU786475 CSU786480 CSU851965:CSU851973 CSU851991:CSU851992 CSU852011 CSU852016 CSU917501:CSU917509 CSU917527:CSU917528 CSU917547 CSU917552 CSU983037:CSU983045 CSU983063:CSU983064 CSU983083 CSU983088 CTF65518:CTF65528 CTF131054:CTF131064 CTF196590:CTF196600 CTF262126:CTF262136 CTF327662:CTF327672 CTF393198:CTF393208 CTF458734:CTF458744 CTF524270:CTF524280 CTF589806:CTF589816 CTF655342:CTF655352 CTF720878:CTF720888 CTF786414:CTF786424 CTF851950:CTF851960 CTF917486:CTF917496 CTF983022:CTF983032 DCQ15:DCQ22 DCQ38:DCQ43 DCQ52:DCQ53 DCQ65533:DCQ65541 DCQ65559:DCQ65560 DCQ65579 DCQ65584 DCQ131069:DCQ131077 DCQ131095:DCQ131096 DCQ131115 DCQ131120 DCQ196605:DCQ196613 DCQ196631:DCQ196632 DCQ196651 DCQ196656 DCQ262141:DCQ262149 DCQ262167:DCQ262168 DCQ262187 DCQ262192 DCQ327677:DCQ327685 DCQ327703:DCQ327704 DCQ327723 DCQ327728 DCQ393213:DCQ393221 DCQ393239:DCQ393240 DCQ393259 DCQ393264 DCQ458749:DCQ458757 DCQ458775:DCQ458776 DCQ458795 DCQ458800 DCQ524285:DCQ524293 DCQ524311:DCQ524312 DCQ524331 DCQ524336 DCQ589821:DCQ589829 DCQ589847:DCQ589848 DCQ589867 DCQ589872 DCQ655357:DCQ655365 DCQ655383:DCQ655384 DCQ655403 DCQ655408 DCQ720893:DCQ720901 DCQ720919:DCQ720920 DCQ720939 DCQ720944 DCQ786429:DCQ786437 DCQ786455:DCQ786456 DCQ786475 DCQ786480 DCQ851965:DCQ851973 DCQ851991:DCQ851992 DCQ852011 DCQ852016 DCQ917501:DCQ917509 DCQ917527:DCQ917528 DCQ917547 DCQ917552 DCQ983037:DCQ983045 DCQ983063:DCQ983064 DCQ983083 DCQ983088 DDB65518:DDB65528 DDB131054:DDB131064 DDB196590:DDB196600 DDB262126:DDB262136 DDB327662:DDB327672 DDB393198:DDB393208 DDB458734:DDB458744 DDB524270:DDB524280 DDB589806:DDB589816 DDB655342:DDB655352 DDB720878:DDB720888 DDB786414:DDB786424 DDB851950:DDB851960 DDB917486:DDB917496 DDB983022:DDB983032 DMM15:DMM22 DMM38:DMM43 DMM52:DMM53 DMM65533:DMM65541 DMM65559:DMM65560 DMM65579 DMM65584 DMM131069:DMM131077 DMM131095:DMM131096 DMM131115 DMM131120 DMM196605:DMM196613 DMM196631:DMM196632 DMM196651 DMM196656 DMM262141:DMM262149 DMM262167:DMM262168 DMM262187 DMM262192 DMM327677:DMM327685 DMM327703:DMM327704 DMM327723 DMM327728 DMM393213:DMM393221 DMM393239:DMM393240 DMM393259 DMM393264 DMM458749:DMM458757 DMM458775:DMM458776 DMM458795 DMM458800 DMM524285:DMM524293 DMM524311:DMM524312 DMM524331 DMM524336 DMM589821:DMM589829 DMM589847:DMM589848 DMM589867 DMM589872 DMM655357:DMM655365 DMM655383:DMM655384 DMM655403 DMM655408 DMM720893:DMM720901 DMM720919:DMM720920 DMM720939 DMM720944 DMM786429:DMM786437 DMM786455:DMM786456 DMM786475 DMM786480 DMM851965:DMM851973 DMM851991:DMM851992 DMM852011 DMM852016 DMM917501:DMM917509 DMM917527:DMM917528 DMM917547 DMM917552 DMM983037:DMM983045 DMM983063:DMM983064 DMM983083 DMM983088 DMX65518:DMX65528 DMX131054:DMX131064 DMX196590:DMX196600 DMX262126:DMX262136 DMX327662:DMX327672 DMX393198:DMX393208 DMX458734:DMX458744 DMX524270:DMX524280 DMX589806:DMX589816 DMX655342:DMX655352 DMX720878:DMX720888 DMX786414:DMX786424 DMX851950:DMX851960 DMX917486:DMX917496 DMX983022:DMX983032 DWI15:DWI22 DWI38:DWI43 DWI52:DWI53 DWI65533:DWI65541 DWI65559:DWI65560 DWI65579 DWI65584 DWI131069:DWI131077 DWI131095:DWI131096 DWI131115 DWI131120 DWI196605:DWI196613 DWI196631:DWI196632 DWI196651 DWI196656 DWI262141:DWI262149 DWI262167:DWI262168 DWI262187 DWI262192 DWI327677:DWI327685 DWI327703:DWI327704 DWI327723 DWI327728 DWI393213:DWI393221 DWI393239:DWI393240 DWI393259 DWI393264 DWI458749:DWI458757 DWI458775:DWI458776 DWI458795 DWI458800 DWI524285:DWI524293 DWI524311:DWI524312 DWI524331 DWI524336 DWI589821:DWI589829 DWI589847:DWI589848 DWI589867 DWI589872 DWI655357:DWI655365 DWI655383:DWI655384 DWI655403 DWI655408 DWI720893:DWI720901 DWI720919:DWI720920 DWI720939 DWI720944 DWI786429:DWI786437 DWI786455:DWI786456 DWI786475 DWI786480 DWI851965:DWI851973 DWI851991:DWI851992 DWI852011 DWI852016 DWI917501:DWI917509 DWI917527:DWI917528 DWI917547 DWI917552 DWI983037:DWI983045 DWI983063:DWI983064 DWI983083 DWI983088 DWT65518:DWT65528 DWT131054:DWT131064 DWT196590:DWT196600 DWT262126:DWT262136 DWT327662:DWT327672 DWT393198:DWT393208 DWT458734:DWT458744 DWT524270:DWT524280 DWT589806:DWT589816 DWT655342:DWT655352 DWT720878:DWT720888 DWT786414:DWT786424 DWT851950:DWT851960 DWT917486:DWT917496 DWT983022:DWT983032 EGE15:EGE22 EGE38:EGE43 EGE52:EGE53 EGE65533:EGE65541 EGE65559:EGE65560 EGE65579 EGE65584 EGE131069:EGE131077 EGE131095:EGE131096 EGE131115 EGE131120 EGE196605:EGE196613 EGE196631:EGE196632 EGE196651 EGE196656 EGE262141:EGE262149 EGE262167:EGE262168 EGE262187 EGE262192 EGE327677:EGE327685 EGE327703:EGE327704 EGE327723 EGE327728 EGE393213:EGE393221 EGE393239:EGE393240 EGE393259 EGE393264 EGE458749:EGE458757 EGE458775:EGE458776 EGE458795 EGE458800 EGE524285:EGE524293 EGE524311:EGE524312 EGE524331 EGE524336 EGE589821:EGE589829 EGE589847:EGE589848 EGE589867 EGE589872 EGE655357:EGE655365 EGE655383:EGE655384 EGE655403 EGE655408 EGE720893:EGE720901 EGE720919:EGE720920 EGE720939 EGE720944 EGE786429:EGE786437 EGE786455:EGE786456 EGE786475 EGE786480 EGE851965:EGE851973 EGE851991:EGE851992 EGE852011 EGE852016 EGE917501:EGE917509 EGE917527:EGE917528 EGE917547 EGE917552 EGE983037:EGE983045 EGE983063:EGE983064 EGE983083 EGE983088 EGP65518:EGP65528 EGP131054:EGP131064 EGP196590:EGP196600 EGP262126:EGP262136 EGP327662:EGP327672 EGP393198:EGP393208 EGP458734:EGP458744 EGP524270:EGP524280 EGP589806:EGP589816 EGP655342:EGP655352 EGP720878:EGP720888 EGP786414:EGP786424 EGP851950:EGP851960 EGP917486:EGP917496 EGP983022:EGP983032 EQA15:EQA22 EQA38:EQA43 EQA52:EQA53 EQA65533:EQA65541 EQA65559:EQA65560 EQA65579 EQA65584 EQA131069:EQA131077 EQA131095:EQA131096 EQA131115 EQA131120 EQA196605:EQA196613 EQA196631:EQA196632 EQA196651 EQA196656 EQA262141:EQA262149 EQA262167:EQA262168 EQA262187 EQA262192 EQA327677:EQA327685 EQA327703:EQA327704 EQA327723 EQA327728 EQA393213:EQA393221 EQA393239:EQA393240 EQA393259 EQA393264 EQA458749:EQA458757 EQA458775:EQA458776 EQA458795 EQA458800 EQA524285:EQA524293 EQA524311:EQA524312 EQA524331 EQA524336 EQA589821:EQA589829 EQA589847:EQA589848 EQA589867 EQA589872 EQA655357:EQA655365 EQA655383:EQA655384 EQA655403 EQA655408 EQA720893:EQA720901 EQA720919:EQA720920 EQA720939 EQA720944 EQA786429:EQA786437 EQA786455:EQA786456 EQA786475 EQA786480 EQA851965:EQA851973 EQA851991:EQA851992 EQA852011 EQA852016 EQA917501:EQA917509 EQA917527:EQA917528 EQA917547 EQA917552 EQA983037:EQA983045 EQA983063:EQA983064 EQA983083 EQA983088 EQL65518:EQL65528 EQL131054:EQL131064 EQL196590:EQL196600 EQL262126:EQL262136 EQL327662:EQL327672 EQL393198:EQL393208 EQL458734:EQL458744 EQL524270:EQL524280 EQL589806:EQL589816 EQL655342:EQL655352 EQL720878:EQL720888 EQL786414:EQL786424 EQL851950:EQL851960 EQL917486:EQL917496 EQL983022:EQL983032 EZW15:EZW22 EZW38:EZW43 EZW52:EZW53 EZW65533:EZW65541 EZW65559:EZW65560 EZW65579 EZW65584 EZW131069:EZW131077 EZW131095:EZW131096 EZW131115 EZW131120 EZW196605:EZW196613 EZW196631:EZW196632 EZW196651 EZW196656 EZW262141:EZW262149 EZW262167:EZW262168 EZW262187 EZW262192 EZW327677:EZW327685 EZW327703:EZW327704 EZW327723 EZW327728 EZW393213:EZW393221 EZW393239:EZW393240 EZW393259 EZW393264 EZW458749:EZW458757 EZW458775:EZW458776 EZW458795 EZW458800 EZW524285:EZW524293 EZW524311:EZW524312 EZW524331 EZW524336 EZW589821:EZW589829 EZW589847:EZW589848 EZW589867 EZW589872 EZW655357:EZW655365 EZW655383:EZW655384 EZW655403 EZW655408 EZW720893:EZW720901 EZW720919:EZW720920 EZW720939 EZW720944 EZW786429:EZW786437 EZW786455:EZW786456 EZW786475 EZW786480 EZW851965:EZW851973 EZW851991:EZW851992 EZW852011 EZW852016 EZW917501:EZW917509 EZW917527:EZW917528 EZW917547 EZW917552 EZW983037:EZW983045 EZW983063:EZW983064 EZW983083 EZW983088 FAH65518:FAH65528 FAH131054:FAH131064 FAH196590:FAH196600 FAH262126:FAH262136 FAH327662:FAH327672 FAH393198:FAH393208 FAH458734:FAH458744 FAH524270:FAH524280 FAH589806:FAH589816 FAH655342:FAH655352 FAH720878:FAH720888 FAH786414:FAH786424 FAH851950:FAH851960 FAH917486:FAH917496 FAH983022:FAH983032 FJS15:FJS22 FJS38:FJS43 FJS52:FJS53 FJS65533:FJS65541 FJS65559:FJS65560 FJS65579 FJS65584 FJS131069:FJS131077 FJS131095:FJS131096 FJS131115 FJS131120 FJS196605:FJS196613 FJS196631:FJS196632 FJS196651 FJS196656 FJS262141:FJS262149 FJS262167:FJS262168 FJS262187 FJS262192 FJS327677:FJS327685 FJS327703:FJS327704 FJS327723 FJS327728 FJS393213:FJS393221 FJS393239:FJS393240 FJS393259 FJS393264 FJS458749:FJS458757 FJS458775:FJS458776 FJS458795 FJS458800 FJS524285:FJS524293 FJS524311:FJS524312 FJS524331 FJS524336 FJS589821:FJS589829 FJS589847:FJS589848 FJS589867 FJS589872 FJS655357:FJS655365 FJS655383:FJS655384 FJS655403 FJS655408 FJS720893:FJS720901 FJS720919:FJS720920 FJS720939 FJS720944 FJS786429:FJS786437 FJS786455:FJS786456 FJS786475 FJS786480 FJS851965:FJS851973 FJS851991:FJS851992 FJS852011 FJS852016 FJS917501:FJS917509 FJS917527:FJS917528 FJS917547 FJS917552 FJS983037:FJS983045 FJS983063:FJS983064 FJS983083 FJS983088 FKD65518:FKD65528 FKD131054:FKD131064 FKD196590:FKD196600 FKD262126:FKD262136 FKD327662:FKD327672 FKD393198:FKD393208 FKD458734:FKD458744 FKD524270:FKD524280 FKD589806:FKD589816 FKD655342:FKD655352 FKD720878:FKD720888 FKD786414:FKD786424 FKD851950:FKD851960 FKD917486:FKD917496 FKD983022:FKD983032 FTO15:FTO22 FTO38:FTO43 FTO52:FTO53 FTO65533:FTO65541 FTO65559:FTO65560 FTO65579 FTO65584 FTO131069:FTO131077 FTO131095:FTO131096 FTO131115 FTO131120 FTO196605:FTO196613 FTO196631:FTO196632 FTO196651 FTO196656 FTO262141:FTO262149 FTO262167:FTO262168 FTO262187 FTO262192 FTO327677:FTO327685 FTO327703:FTO327704 FTO327723 FTO327728 FTO393213:FTO393221 FTO393239:FTO393240 FTO393259 FTO393264 FTO458749:FTO458757 FTO458775:FTO458776 FTO458795 FTO458800 FTO524285:FTO524293 FTO524311:FTO524312 FTO524331 FTO524336 FTO589821:FTO589829 FTO589847:FTO589848 FTO589867 FTO589872 FTO655357:FTO655365 FTO655383:FTO655384 FTO655403 FTO655408 FTO720893:FTO720901 FTO720919:FTO720920 FTO720939 FTO720944 FTO786429:FTO786437 FTO786455:FTO786456 FTO786475 FTO786480 FTO851965:FTO851973 FTO851991:FTO851992 FTO852011 FTO852016 FTO917501:FTO917509 FTO917527:FTO917528 FTO917547 FTO917552 FTO983037:FTO983045 FTO983063:FTO983064 FTO983083 FTO983088 FTZ65518:FTZ65528 FTZ131054:FTZ131064 FTZ196590:FTZ196600 FTZ262126:FTZ262136 FTZ327662:FTZ327672 FTZ393198:FTZ393208 FTZ458734:FTZ458744 FTZ524270:FTZ524280 FTZ589806:FTZ589816 FTZ655342:FTZ655352 FTZ720878:FTZ720888 FTZ786414:FTZ786424 FTZ851950:FTZ851960 FTZ917486:FTZ917496 FTZ983022:FTZ983032 GDK15:GDK22 GDK38:GDK43 GDK52:GDK53 GDK65533:GDK65541 GDK65559:GDK65560 GDK65579 GDK65584 GDK131069:GDK131077 GDK131095:GDK131096 GDK131115 GDK131120 GDK196605:GDK196613 GDK196631:GDK196632 GDK196651 GDK196656 GDK262141:GDK262149 GDK262167:GDK262168 GDK262187 GDK262192 GDK327677:GDK327685 GDK327703:GDK327704 GDK327723 GDK327728 GDK393213:GDK393221 GDK393239:GDK393240 GDK393259 GDK393264 GDK458749:GDK458757 GDK458775:GDK458776 GDK458795 GDK458800 GDK524285:GDK524293 GDK524311:GDK524312 GDK524331 GDK524336 GDK589821:GDK589829 GDK589847:GDK589848 GDK589867 GDK589872 GDK655357:GDK655365 GDK655383:GDK655384 GDK655403 GDK655408 GDK720893:GDK720901 GDK720919:GDK720920 GDK720939 GDK720944 GDK786429:GDK786437 GDK786455:GDK786456 GDK786475 GDK786480 GDK851965:GDK851973 GDK851991:GDK851992 GDK852011 GDK852016 GDK917501:GDK917509 GDK917527:GDK917528 GDK917547 GDK917552 GDK983037:GDK983045 GDK983063:GDK983064 GDK983083 GDK983088 GDV65518:GDV65528 GDV131054:GDV131064 GDV196590:GDV196600 GDV262126:GDV262136 GDV327662:GDV327672 GDV393198:GDV393208 GDV458734:GDV458744 GDV524270:GDV524280 GDV589806:GDV589816 GDV655342:GDV655352 GDV720878:GDV720888 GDV786414:GDV786424 GDV851950:GDV851960 GDV917486:GDV917496 GDV983022:GDV983032 GNG15:GNG22 GNG38:GNG43 GNG52:GNG53 GNG65533:GNG65541 GNG65559:GNG65560 GNG65579 GNG65584 GNG131069:GNG131077 GNG131095:GNG131096 GNG131115 GNG131120 GNG196605:GNG196613 GNG196631:GNG196632 GNG196651 GNG196656 GNG262141:GNG262149 GNG262167:GNG262168 GNG262187 GNG262192 GNG327677:GNG327685 GNG327703:GNG327704 GNG327723 GNG327728 GNG393213:GNG393221 GNG393239:GNG393240 GNG393259 GNG393264 GNG458749:GNG458757 GNG458775:GNG458776 GNG458795 GNG458800 GNG524285:GNG524293 GNG524311:GNG524312 GNG524331 GNG524336 GNG589821:GNG589829 GNG589847:GNG589848 GNG589867 GNG589872 GNG655357:GNG655365 GNG655383:GNG655384 GNG655403 GNG655408 GNG720893:GNG720901 GNG720919:GNG720920 GNG720939 GNG720944 GNG786429:GNG786437 GNG786455:GNG786456 GNG786475 GNG786480 GNG851965:GNG851973 GNG851991:GNG851992 GNG852011 GNG852016 GNG917501:GNG917509 GNG917527:GNG917528 GNG917547 GNG917552 GNG983037:GNG983045 GNG983063:GNG983064 GNG983083 GNG983088 GNR65518:GNR65528 GNR131054:GNR131064 GNR196590:GNR196600 GNR262126:GNR262136 GNR327662:GNR327672 GNR393198:GNR393208 GNR458734:GNR458744 GNR524270:GNR524280 GNR589806:GNR589816 GNR655342:GNR655352 GNR720878:GNR720888 GNR786414:GNR786424 GNR851950:GNR851960 GNR917486:GNR917496 GNR983022:GNR983032 GXC15:GXC22 GXC38:GXC43 GXC52:GXC53 GXC65533:GXC65541 GXC65559:GXC65560 GXC65579 GXC65584 GXC131069:GXC131077 GXC131095:GXC131096 GXC131115 GXC131120 GXC196605:GXC196613 GXC196631:GXC196632 GXC196651 GXC196656 GXC262141:GXC262149 GXC262167:GXC262168 GXC262187 GXC262192 GXC327677:GXC327685 GXC327703:GXC327704 GXC327723 GXC327728 GXC393213:GXC393221 GXC393239:GXC393240 GXC393259 GXC393264 GXC458749:GXC458757 GXC458775:GXC458776 GXC458795 GXC458800 GXC524285:GXC524293 GXC524311:GXC524312 GXC524331 GXC524336 GXC589821:GXC589829 GXC589847:GXC589848 GXC589867 GXC589872 GXC655357:GXC655365 GXC655383:GXC655384 GXC655403 GXC655408 GXC720893:GXC720901 GXC720919:GXC720920 GXC720939 GXC720944 GXC786429:GXC786437 GXC786455:GXC786456 GXC786475 GXC786480 GXC851965:GXC851973 GXC851991:GXC851992 GXC852011 GXC852016 GXC917501:GXC917509 GXC917527:GXC917528 GXC917547 GXC917552 GXC983037:GXC983045 GXC983063:GXC983064 GXC983083 GXC983088 GXN65518:GXN65528 GXN131054:GXN131064 GXN196590:GXN196600 GXN262126:GXN262136 GXN327662:GXN327672 GXN393198:GXN393208 GXN458734:GXN458744 GXN524270:GXN524280 GXN589806:GXN589816 GXN655342:GXN655352 GXN720878:GXN720888 GXN786414:GXN786424 GXN851950:GXN851960 GXN917486:GXN917496 GXN983022:GXN983032 HGY15:HGY22 HGY38:HGY43 HGY52:HGY53 HGY65533:HGY65541 HGY65559:HGY65560 HGY65579 HGY65584 HGY131069:HGY131077 HGY131095:HGY131096 HGY131115 HGY131120 HGY196605:HGY196613 HGY196631:HGY196632 HGY196651 HGY196656 HGY262141:HGY262149 HGY262167:HGY262168 HGY262187 HGY262192 HGY327677:HGY327685 HGY327703:HGY327704 HGY327723 HGY327728 HGY393213:HGY393221 HGY393239:HGY393240 HGY393259 HGY393264 HGY458749:HGY458757 HGY458775:HGY458776 HGY458795 HGY458800 HGY524285:HGY524293 HGY524311:HGY524312 HGY524331 HGY524336 HGY589821:HGY589829 HGY589847:HGY589848 HGY589867 HGY589872 HGY655357:HGY655365 HGY655383:HGY655384 HGY655403 HGY655408 HGY720893:HGY720901 HGY720919:HGY720920 HGY720939 HGY720944 HGY786429:HGY786437 HGY786455:HGY786456 HGY786475 HGY786480 HGY851965:HGY851973 HGY851991:HGY851992 HGY852011 HGY852016 HGY917501:HGY917509 HGY917527:HGY917528 HGY917547 HGY917552 HGY983037:HGY983045 HGY983063:HGY983064 HGY983083 HGY983088 HHJ65518:HHJ65528 HHJ131054:HHJ131064 HHJ196590:HHJ196600 HHJ262126:HHJ262136 HHJ327662:HHJ327672 HHJ393198:HHJ393208 HHJ458734:HHJ458744 HHJ524270:HHJ524280 HHJ589806:HHJ589816 HHJ655342:HHJ655352 HHJ720878:HHJ720888 HHJ786414:HHJ786424 HHJ851950:HHJ851960 HHJ917486:HHJ917496 HHJ983022:HHJ983032 HQU15:HQU22 HQU38:HQU43 HQU52:HQU53 HQU65533:HQU65541 HQU65559:HQU65560 HQU65579 HQU65584 HQU131069:HQU131077 HQU131095:HQU131096 HQU131115 HQU131120 HQU196605:HQU196613 HQU196631:HQU196632 HQU196651 HQU196656 HQU262141:HQU262149 HQU262167:HQU262168 HQU262187 HQU262192 HQU327677:HQU327685 HQU327703:HQU327704 HQU327723 HQU327728 HQU393213:HQU393221 HQU393239:HQU393240 HQU393259 HQU393264 HQU458749:HQU458757 HQU458775:HQU458776 HQU458795 HQU458800 HQU524285:HQU524293 HQU524311:HQU524312 HQU524331 HQU524336 HQU589821:HQU589829 HQU589847:HQU589848 HQU589867 HQU589872 HQU655357:HQU655365 HQU655383:HQU655384 HQU655403 HQU655408 HQU720893:HQU720901 HQU720919:HQU720920 HQU720939 HQU720944 HQU786429:HQU786437 HQU786455:HQU786456 HQU786475 HQU786480 HQU851965:HQU851973 HQU851991:HQU851992 HQU852011 HQU852016 HQU917501:HQU917509 HQU917527:HQU917528 HQU917547 HQU917552 HQU983037:HQU983045 HQU983063:HQU983064 HQU983083 HQU983088 HRF65518:HRF65528 HRF131054:HRF131064 HRF196590:HRF196600 HRF262126:HRF262136 HRF327662:HRF327672 HRF393198:HRF393208 HRF458734:HRF458744 HRF524270:HRF524280 HRF589806:HRF589816 HRF655342:HRF655352 HRF720878:HRF720888 HRF786414:HRF786424 HRF851950:HRF851960 HRF917486:HRF917496 HRF983022:HRF983032 IAQ15:IAQ22 IAQ38:IAQ43 IAQ52:IAQ53 IAQ65533:IAQ65541 IAQ65559:IAQ65560 IAQ65579 IAQ65584 IAQ131069:IAQ131077 IAQ131095:IAQ131096 IAQ131115 IAQ131120 IAQ196605:IAQ196613 IAQ196631:IAQ196632 IAQ196651 IAQ196656 IAQ262141:IAQ262149 IAQ262167:IAQ262168 IAQ262187 IAQ262192 IAQ327677:IAQ327685 IAQ327703:IAQ327704 IAQ327723 IAQ327728 IAQ393213:IAQ393221 IAQ393239:IAQ393240 IAQ393259 IAQ393264 IAQ458749:IAQ458757 IAQ458775:IAQ458776 IAQ458795 IAQ458800 IAQ524285:IAQ524293 IAQ524311:IAQ524312 IAQ524331 IAQ524336 IAQ589821:IAQ589829 IAQ589847:IAQ589848 IAQ589867 IAQ589872 IAQ655357:IAQ655365 IAQ655383:IAQ655384 IAQ655403 IAQ655408 IAQ720893:IAQ720901 IAQ720919:IAQ720920 IAQ720939 IAQ720944 IAQ786429:IAQ786437 IAQ786455:IAQ786456 IAQ786475 IAQ786480 IAQ851965:IAQ851973 IAQ851991:IAQ851992 IAQ852011 IAQ852016 IAQ917501:IAQ917509 IAQ917527:IAQ917528 IAQ917547 IAQ917552 IAQ983037:IAQ983045 IAQ983063:IAQ983064 IAQ983083 IAQ983088 IBB65518:IBB65528 IBB131054:IBB131064 IBB196590:IBB196600 IBB262126:IBB262136 IBB327662:IBB327672 IBB393198:IBB393208 IBB458734:IBB458744 IBB524270:IBB524280 IBB589806:IBB589816 IBB655342:IBB655352 IBB720878:IBB720888 IBB786414:IBB786424 IBB851950:IBB851960 IBB917486:IBB917496 IBB983022:IBB983032 IKM15:IKM22 IKM38:IKM43 IKM52:IKM53 IKM65533:IKM65541 IKM65559:IKM65560 IKM65579 IKM65584 IKM131069:IKM131077 IKM131095:IKM131096 IKM131115 IKM131120 IKM196605:IKM196613 IKM196631:IKM196632 IKM196651 IKM196656 IKM262141:IKM262149 IKM262167:IKM262168 IKM262187 IKM262192 IKM327677:IKM327685 IKM327703:IKM327704 IKM327723 IKM327728 IKM393213:IKM393221 IKM393239:IKM393240 IKM393259 IKM393264 IKM458749:IKM458757 IKM458775:IKM458776 IKM458795 IKM458800 IKM524285:IKM524293 IKM524311:IKM524312 IKM524331 IKM524336 IKM589821:IKM589829 IKM589847:IKM589848 IKM589867 IKM589872 IKM655357:IKM655365 IKM655383:IKM655384 IKM655403 IKM655408 IKM720893:IKM720901 IKM720919:IKM720920 IKM720939 IKM720944 IKM786429:IKM786437 IKM786455:IKM786456 IKM786475 IKM786480 IKM851965:IKM851973 IKM851991:IKM851992 IKM852011 IKM852016 IKM917501:IKM917509 IKM917527:IKM917528 IKM917547 IKM917552 IKM983037:IKM983045 IKM983063:IKM983064 IKM983083 IKM983088 IKX65518:IKX65528 IKX131054:IKX131064 IKX196590:IKX196600 IKX262126:IKX262136 IKX327662:IKX327672 IKX393198:IKX393208 IKX458734:IKX458744 IKX524270:IKX524280 IKX589806:IKX589816 IKX655342:IKX655352 IKX720878:IKX720888 IKX786414:IKX786424 IKX851950:IKX851960 IKX917486:IKX917496 IKX983022:IKX983032 IUI15:IUI22 IUI38:IUI43 IUI52:IUI53 IUI65533:IUI65541 IUI65559:IUI65560 IUI65579 IUI65584 IUI131069:IUI131077 IUI131095:IUI131096 IUI131115 IUI131120 IUI196605:IUI196613 IUI196631:IUI196632 IUI196651 IUI196656 IUI262141:IUI262149 IUI262167:IUI262168 IUI262187 IUI262192 IUI327677:IUI327685 IUI327703:IUI327704 IUI327723 IUI327728 IUI393213:IUI393221 IUI393239:IUI393240 IUI393259 IUI393264 IUI458749:IUI458757 IUI458775:IUI458776 IUI458795 IUI458800 IUI524285:IUI524293 IUI524311:IUI524312 IUI524331 IUI524336 IUI589821:IUI589829 IUI589847:IUI589848 IUI589867 IUI589872 IUI655357:IUI655365 IUI655383:IUI655384 IUI655403 IUI655408 IUI720893:IUI720901 IUI720919:IUI720920 IUI720939 IUI720944 IUI786429:IUI786437 IUI786455:IUI786456 IUI786475 IUI786480 IUI851965:IUI851973 IUI851991:IUI851992 IUI852011 IUI852016 IUI917501:IUI917509 IUI917527:IUI917528 IUI917547 IUI917552 IUI983037:IUI983045 IUI983063:IUI983064 IUI983083 IUI983088 IUT65518:IUT65528 IUT131054:IUT131064 IUT196590:IUT196600 IUT262126:IUT262136 IUT327662:IUT327672 IUT393198:IUT393208 IUT458734:IUT458744 IUT524270:IUT524280 IUT589806:IUT589816 IUT655342:IUT655352 IUT720878:IUT720888 IUT786414:IUT786424 IUT851950:IUT851960 IUT917486:IUT917496 IUT983022:IUT983032 JEE15:JEE22 JEE38:JEE43 JEE52:JEE53 JEE65533:JEE65541 JEE65559:JEE65560 JEE65579 JEE65584 JEE131069:JEE131077 JEE131095:JEE131096 JEE131115 JEE131120 JEE196605:JEE196613 JEE196631:JEE196632 JEE196651 JEE196656 JEE262141:JEE262149 JEE262167:JEE262168 JEE262187 JEE262192 JEE327677:JEE327685 JEE327703:JEE327704 JEE327723 JEE327728 JEE393213:JEE393221 JEE393239:JEE393240 JEE393259 JEE393264 JEE458749:JEE458757 JEE458775:JEE458776 JEE458795 JEE458800 JEE524285:JEE524293 JEE524311:JEE524312 JEE524331 JEE524336 JEE589821:JEE589829 JEE589847:JEE589848 JEE589867 JEE589872 JEE655357:JEE655365 JEE655383:JEE655384 JEE655403 JEE655408 JEE720893:JEE720901 JEE720919:JEE720920 JEE720939 JEE720944 JEE786429:JEE786437 JEE786455:JEE786456 JEE786475 JEE786480 JEE851965:JEE851973 JEE851991:JEE851992 JEE852011 JEE852016 JEE917501:JEE917509 JEE917527:JEE917528 JEE917547 JEE917552 JEE983037:JEE983045 JEE983063:JEE983064 JEE983083 JEE983088 JEP65518:JEP65528 JEP131054:JEP131064 JEP196590:JEP196600 JEP262126:JEP262136 JEP327662:JEP327672 JEP393198:JEP393208 JEP458734:JEP458744 JEP524270:JEP524280 JEP589806:JEP589816 JEP655342:JEP655352 JEP720878:JEP720888 JEP786414:JEP786424 JEP851950:JEP851960 JEP917486:JEP917496 JEP983022:JEP983032 JOA15:JOA22 JOA38:JOA43 JOA52:JOA53 JOA65533:JOA65541 JOA65559:JOA65560 JOA65579 JOA65584 JOA131069:JOA131077 JOA131095:JOA131096 JOA131115 JOA131120 JOA196605:JOA196613 JOA196631:JOA196632 JOA196651 JOA196656 JOA262141:JOA262149 JOA262167:JOA262168 JOA262187 JOA262192 JOA327677:JOA327685 JOA327703:JOA327704 JOA327723 JOA327728 JOA393213:JOA393221 JOA393239:JOA393240 JOA393259 JOA393264 JOA458749:JOA458757 JOA458775:JOA458776 JOA458795 JOA458800 JOA524285:JOA524293 JOA524311:JOA524312 JOA524331 JOA524336 JOA589821:JOA589829 JOA589847:JOA589848 JOA589867 JOA589872 JOA655357:JOA655365 JOA655383:JOA655384 JOA655403 JOA655408 JOA720893:JOA720901 JOA720919:JOA720920 JOA720939 JOA720944 JOA786429:JOA786437 JOA786455:JOA786456 JOA786475 JOA786480 JOA851965:JOA851973 JOA851991:JOA851992 JOA852011 JOA852016 JOA917501:JOA917509 JOA917527:JOA917528 JOA917547 JOA917552 JOA983037:JOA983045 JOA983063:JOA983064 JOA983083 JOA983088 JOL65518:JOL65528 JOL131054:JOL131064 JOL196590:JOL196600 JOL262126:JOL262136 JOL327662:JOL327672 JOL393198:JOL393208 JOL458734:JOL458744 JOL524270:JOL524280 JOL589806:JOL589816 JOL655342:JOL655352 JOL720878:JOL720888 JOL786414:JOL786424 JOL851950:JOL851960 JOL917486:JOL917496 JOL983022:JOL983032 JXW15:JXW22 JXW38:JXW43 JXW52:JXW53 JXW65533:JXW65541 JXW65559:JXW65560 JXW65579 JXW65584 JXW131069:JXW131077 JXW131095:JXW131096 JXW131115 JXW131120 JXW196605:JXW196613 JXW196631:JXW196632 JXW196651 JXW196656 JXW262141:JXW262149 JXW262167:JXW262168 JXW262187 JXW262192 JXW327677:JXW327685 JXW327703:JXW327704 JXW327723 JXW327728 JXW393213:JXW393221 JXW393239:JXW393240 JXW393259 JXW393264 JXW458749:JXW458757 JXW458775:JXW458776 JXW458795 JXW458800 JXW524285:JXW524293 JXW524311:JXW524312 JXW524331 JXW524336 JXW589821:JXW589829 JXW589847:JXW589848 JXW589867 JXW589872 JXW655357:JXW655365 JXW655383:JXW655384 JXW655403 JXW655408 JXW720893:JXW720901 JXW720919:JXW720920 JXW720939 JXW720944 JXW786429:JXW786437 JXW786455:JXW786456 JXW786475 JXW786480 JXW851965:JXW851973 JXW851991:JXW851992 JXW852011 JXW852016 JXW917501:JXW917509 JXW917527:JXW917528 JXW917547 JXW917552 JXW983037:JXW983045 JXW983063:JXW983064 JXW983083 JXW983088 JYH65518:JYH65528 JYH131054:JYH131064 JYH196590:JYH196600 JYH262126:JYH262136 JYH327662:JYH327672 JYH393198:JYH393208 JYH458734:JYH458744 JYH524270:JYH524280 JYH589806:JYH589816 JYH655342:JYH655352 JYH720878:JYH720888 JYH786414:JYH786424 JYH851950:JYH851960 JYH917486:JYH917496 JYH983022:JYH983032 KHS15:KHS22 KHS38:KHS43 KHS52:KHS53 KHS65533:KHS65541 KHS65559:KHS65560 KHS65579 KHS65584 KHS131069:KHS131077 KHS131095:KHS131096 KHS131115 KHS131120 KHS196605:KHS196613 KHS196631:KHS196632 KHS196651 KHS196656 KHS262141:KHS262149 KHS262167:KHS262168 KHS262187 KHS262192 KHS327677:KHS327685 KHS327703:KHS327704 KHS327723 KHS327728 KHS393213:KHS393221 KHS393239:KHS393240 KHS393259 KHS393264 KHS458749:KHS458757 KHS458775:KHS458776 KHS458795 KHS458800 KHS524285:KHS524293 KHS524311:KHS524312 KHS524331 KHS524336 KHS589821:KHS589829 KHS589847:KHS589848 KHS589867 KHS589872 KHS655357:KHS655365 KHS655383:KHS655384 KHS655403 KHS655408 KHS720893:KHS720901 KHS720919:KHS720920 KHS720939 KHS720944 KHS786429:KHS786437 KHS786455:KHS786456 KHS786475 KHS786480 KHS851965:KHS851973 KHS851991:KHS851992 KHS852011 KHS852016 KHS917501:KHS917509 KHS917527:KHS917528 KHS917547 KHS917552 KHS983037:KHS983045 KHS983063:KHS983064 KHS983083 KHS983088 KID65518:KID65528 KID131054:KID131064 KID196590:KID196600 KID262126:KID262136 KID327662:KID327672 KID393198:KID393208 KID458734:KID458744 KID524270:KID524280 KID589806:KID589816 KID655342:KID655352 KID720878:KID720888 KID786414:KID786424 KID851950:KID851960 KID917486:KID917496 KID983022:KID983032 KRO15:KRO22 KRO38:KRO43 KRO52:KRO53 KRO65533:KRO65541 KRO65559:KRO65560 KRO65579 KRO65584 KRO131069:KRO131077 KRO131095:KRO131096 KRO131115 KRO131120 KRO196605:KRO196613 KRO196631:KRO196632 KRO196651 KRO196656 KRO262141:KRO262149 KRO262167:KRO262168 KRO262187 KRO262192 KRO327677:KRO327685 KRO327703:KRO327704 KRO327723 KRO327728 KRO393213:KRO393221 KRO393239:KRO393240 KRO393259 KRO393264 KRO458749:KRO458757 KRO458775:KRO458776 KRO458795 KRO458800 KRO524285:KRO524293 KRO524311:KRO524312 KRO524331 KRO524336 KRO589821:KRO589829 KRO589847:KRO589848 KRO589867 KRO589872 KRO655357:KRO655365 KRO655383:KRO655384 KRO655403 KRO655408 KRO720893:KRO720901 KRO720919:KRO720920 KRO720939 KRO720944 KRO786429:KRO786437 KRO786455:KRO786456 KRO786475 KRO786480 KRO851965:KRO851973 KRO851991:KRO851992 KRO852011 KRO852016 KRO917501:KRO917509 KRO917527:KRO917528 KRO917547 KRO917552 KRO983037:KRO983045 KRO983063:KRO983064 KRO983083 KRO983088 KRZ65518:KRZ65528 KRZ131054:KRZ131064 KRZ196590:KRZ196600 KRZ262126:KRZ262136 KRZ327662:KRZ327672 KRZ393198:KRZ393208 KRZ458734:KRZ458744 KRZ524270:KRZ524280 KRZ589806:KRZ589816 KRZ655342:KRZ655352 KRZ720878:KRZ720888 KRZ786414:KRZ786424 KRZ851950:KRZ851960 KRZ917486:KRZ917496 KRZ983022:KRZ983032 LBK15:LBK22 LBK38:LBK43 LBK52:LBK53 LBK65533:LBK65541 LBK65559:LBK65560 LBK65579 LBK65584 LBK131069:LBK131077 LBK131095:LBK131096 LBK131115 LBK131120 LBK196605:LBK196613 LBK196631:LBK196632 LBK196651 LBK196656 LBK262141:LBK262149 LBK262167:LBK262168 LBK262187 LBK262192 LBK327677:LBK327685 LBK327703:LBK327704 LBK327723 LBK327728 LBK393213:LBK393221 LBK393239:LBK393240 LBK393259 LBK393264 LBK458749:LBK458757 LBK458775:LBK458776 LBK458795 LBK458800 LBK524285:LBK524293 LBK524311:LBK524312 LBK524331 LBK524336 LBK589821:LBK589829 LBK589847:LBK589848 LBK589867 LBK589872 LBK655357:LBK655365 LBK655383:LBK655384 LBK655403 LBK655408 LBK720893:LBK720901 LBK720919:LBK720920 LBK720939 LBK720944 LBK786429:LBK786437 LBK786455:LBK786456 LBK786475 LBK786480 LBK851965:LBK851973 LBK851991:LBK851992 LBK852011 LBK852016 LBK917501:LBK917509 LBK917527:LBK917528 LBK917547 LBK917552 LBK983037:LBK983045 LBK983063:LBK983064 LBK983083 LBK983088 LBV65518:LBV65528 LBV131054:LBV131064 LBV196590:LBV196600 LBV262126:LBV262136 LBV327662:LBV327672 LBV393198:LBV393208 LBV458734:LBV458744 LBV524270:LBV524280 LBV589806:LBV589816 LBV655342:LBV655352 LBV720878:LBV720888 LBV786414:LBV786424 LBV851950:LBV851960 LBV917486:LBV917496 LBV983022:LBV983032 LLG15:LLG22 LLG38:LLG43 LLG52:LLG53 LLG65533:LLG65541 LLG65559:LLG65560 LLG65579 LLG65584 LLG131069:LLG131077 LLG131095:LLG131096 LLG131115 LLG131120 LLG196605:LLG196613 LLG196631:LLG196632 LLG196651 LLG196656 LLG262141:LLG262149 LLG262167:LLG262168 LLG262187 LLG262192 LLG327677:LLG327685 LLG327703:LLG327704 LLG327723 LLG327728 LLG393213:LLG393221 LLG393239:LLG393240 LLG393259 LLG393264 LLG458749:LLG458757 LLG458775:LLG458776 LLG458795 LLG458800 LLG524285:LLG524293 LLG524311:LLG524312 LLG524331 LLG524336 LLG589821:LLG589829 LLG589847:LLG589848 LLG589867 LLG589872 LLG655357:LLG655365 LLG655383:LLG655384 LLG655403 LLG655408 LLG720893:LLG720901 LLG720919:LLG720920 LLG720939 LLG720944 LLG786429:LLG786437 LLG786455:LLG786456 LLG786475 LLG786480 LLG851965:LLG851973 LLG851991:LLG851992 LLG852011 LLG852016 LLG917501:LLG917509 LLG917527:LLG917528 LLG917547 LLG917552 LLG983037:LLG983045 LLG983063:LLG983064 LLG983083 LLG983088 LLR65518:LLR65528 LLR131054:LLR131064 LLR196590:LLR196600 LLR262126:LLR262136 LLR327662:LLR327672 LLR393198:LLR393208 LLR458734:LLR458744 LLR524270:LLR524280 LLR589806:LLR589816 LLR655342:LLR655352 LLR720878:LLR720888 LLR786414:LLR786424 LLR851950:LLR851960 LLR917486:LLR917496 LLR983022:LLR983032 LVC15:LVC22 LVC38:LVC43 LVC52:LVC53 LVC65533:LVC65541 LVC65559:LVC65560 LVC65579 LVC65584 LVC131069:LVC131077 LVC131095:LVC131096 LVC131115 LVC131120 LVC196605:LVC196613 LVC196631:LVC196632 LVC196651 LVC196656 LVC262141:LVC262149 LVC262167:LVC262168 LVC262187 LVC262192 LVC327677:LVC327685 LVC327703:LVC327704 LVC327723 LVC327728 LVC393213:LVC393221 LVC393239:LVC393240 LVC393259 LVC393264 LVC458749:LVC458757 LVC458775:LVC458776 LVC458795 LVC458800 LVC524285:LVC524293 LVC524311:LVC524312 LVC524331 LVC524336 LVC589821:LVC589829 LVC589847:LVC589848 LVC589867 LVC589872 LVC655357:LVC655365 LVC655383:LVC655384 LVC655403 LVC655408 LVC720893:LVC720901 LVC720919:LVC720920 LVC720939 LVC720944 LVC786429:LVC786437 LVC786455:LVC786456 LVC786475 LVC786480 LVC851965:LVC851973 LVC851991:LVC851992 LVC852011 LVC852016 LVC917501:LVC917509 LVC917527:LVC917528 LVC917547 LVC917552 LVC983037:LVC983045 LVC983063:LVC983064 LVC983083 LVC983088 LVN65518:LVN65528 LVN131054:LVN131064 LVN196590:LVN196600 LVN262126:LVN262136 LVN327662:LVN327672 LVN393198:LVN393208 LVN458734:LVN458744 LVN524270:LVN524280 LVN589806:LVN589816 LVN655342:LVN655352 LVN720878:LVN720888 LVN786414:LVN786424 LVN851950:LVN851960 LVN917486:LVN917496 LVN983022:LVN983032 MEY15:MEY22 MEY38:MEY43 MEY52:MEY53 MEY65533:MEY65541 MEY65559:MEY65560 MEY65579 MEY65584 MEY131069:MEY131077 MEY131095:MEY131096 MEY131115 MEY131120 MEY196605:MEY196613 MEY196631:MEY196632 MEY196651 MEY196656 MEY262141:MEY262149 MEY262167:MEY262168 MEY262187 MEY262192 MEY327677:MEY327685 MEY327703:MEY327704 MEY327723 MEY327728 MEY393213:MEY393221 MEY393239:MEY393240 MEY393259 MEY393264 MEY458749:MEY458757 MEY458775:MEY458776 MEY458795 MEY458800 MEY524285:MEY524293 MEY524311:MEY524312 MEY524331 MEY524336 MEY589821:MEY589829 MEY589847:MEY589848 MEY589867 MEY589872 MEY655357:MEY655365 MEY655383:MEY655384 MEY655403 MEY655408 MEY720893:MEY720901 MEY720919:MEY720920 MEY720939 MEY720944 MEY786429:MEY786437 MEY786455:MEY786456 MEY786475 MEY786480 MEY851965:MEY851973 MEY851991:MEY851992 MEY852011 MEY852016 MEY917501:MEY917509 MEY917527:MEY917528 MEY917547 MEY917552 MEY983037:MEY983045 MEY983063:MEY983064 MEY983083 MEY983088 MFJ65518:MFJ65528 MFJ131054:MFJ131064 MFJ196590:MFJ196600 MFJ262126:MFJ262136 MFJ327662:MFJ327672 MFJ393198:MFJ393208 MFJ458734:MFJ458744 MFJ524270:MFJ524280 MFJ589806:MFJ589816 MFJ655342:MFJ655352 MFJ720878:MFJ720888 MFJ786414:MFJ786424 MFJ851950:MFJ851960 MFJ917486:MFJ917496 MFJ983022:MFJ983032 MOU15:MOU22 MOU38:MOU43 MOU52:MOU53 MOU65533:MOU65541 MOU65559:MOU65560 MOU65579 MOU65584 MOU131069:MOU131077 MOU131095:MOU131096 MOU131115 MOU131120 MOU196605:MOU196613 MOU196631:MOU196632 MOU196651 MOU196656 MOU262141:MOU262149 MOU262167:MOU262168 MOU262187 MOU262192 MOU327677:MOU327685 MOU327703:MOU327704 MOU327723 MOU327728 MOU393213:MOU393221 MOU393239:MOU393240 MOU393259 MOU393264 MOU458749:MOU458757 MOU458775:MOU458776 MOU458795 MOU458800 MOU524285:MOU524293 MOU524311:MOU524312 MOU524331 MOU524336 MOU589821:MOU589829 MOU589847:MOU589848 MOU589867 MOU589872 MOU655357:MOU655365 MOU655383:MOU655384 MOU655403 MOU655408 MOU720893:MOU720901 MOU720919:MOU720920 MOU720939 MOU720944 MOU786429:MOU786437 MOU786455:MOU786456 MOU786475 MOU786480 MOU851965:MOU851973 MOU851991:MOU851992 MOU852011 MOU852016 MOU917501:MOU917509 MOU917527:MOU917528 MOU917547 MOU917552 MOU983037:MOU983045 MOU983063:MOU983064 MOU983083 MOU983088 MPF65518:MPF65528 MPF131054:MPF131064 MPF196590:MPF196600 MPF262126:MPF262136 MPF327662:MPF327672 MPF393198:MPF393208 MPF458734:MPF458744 MPF524270:MPF524280 MPF589806:MPF589816 MPF655342:MPF655352 MPF720878:MPF720888 MPF786414:MPF786424 MPF851950:MPF851960 MPF917486:MPF917496 MPF983022:MPF983032 MYQ15:MYQ22 MYQ38:MYQ43 MYQ52:MYQ53 MYQ65533:MYQ65541 MYQ65559:MYQ65560 MYQ65579 MYQ65584 MYQ131069:MYQ131077 MYQ131095:MYQ131096 MYQ131115 MYQ131120 MYQ196605:MYQ196613 MYQ196631:MYQ196632 MYQ196651 MYQ196656 MYQ262141:MYQ262149 MYQ262167:MYQ262168 MYQ262187 MYQ262192 MYQ327677:MYQ327685 MYQ327703:MYQ327704 MYQ327723 MYQ327728 MYQ393213:MYQ393221 MYQ393239:MYQ393240 MYQ393259 MYQ393264 MYQ458749:MYQ458757 MYQ458775:MYQ458776 MYQ458795 MYQ458800 MYQ524285:MYQ524293 MYQ524311:MYQ524312 MYQ524331 MYQ524336 MYQ589821:MYQ589829 MYQ589847:MYQ589848 MYQ589867 MYQ589872 MYQ655357:MYQ655365 MYQ655383:MYQ655384 MYQ655403 MYQ655408 MYQ720893:MYQ720901 MYQ720919:MYQ720920 MYQ720939 MYQ720944 MYQ786429:MYQ786437 MYQ786455:MYQ786456 MYQ786475 MYQ786480 MYQ851965:MYQ851973 MYQ851991:MYQ851992 MYQ852011 MYQ852016 MYQ917501:MYQ917509 MYQ917527:MYQ917528 MYQ917547 MYQ917552 MYQ983037:MYQ983045 MYQ983063:MYQ983064 MYQ983083 MYQ983088 MZB65518:MZB65528 MZB131054:MZB131064 MZB196590:MZB196600 MZB262126:MZB262136 MZB327662:MZB327672 MZB393198:MZB393208 MZB458734:MZB458744 MZB524270:MZB524280 MZB589806:MZB589816 MZB655342:MZB655352 MZB720878:MZB720888 MZB786414:MZB786424 MZB851950:MZB851960 MZB917486:MZB917496 MZB983022:MZB983032 NIM15:NIM22 NIM38:NIM43 NIM52:NIM53 NIM65533:NIM65541 NIM65559:NIM65560 NIM65579 NIM65584 NIM131069:NIM131077 NIM131095:NIM131096 NIM131115 NIM131120 NIM196605:NIM196613 NIM196631:NIM196632 NIM196651 NIM196656 NIM262141:NIM262149 NIM262167:NIM262168 NIM262187 NIM262192 NIM327677:NIM327685 NIM327703:NIM327704 NIM327723 NIM327728 NIM393213:NIM393221 NIM393239:NIM393240 NIM393259 NIM393264 NIM458749:NIM458757 NIM458775:NIM458776 NIM458795 NIM458800 NIM524285:NIM524293 NIM524311:NIM524312 NIM524331 NIM524336 NIM589821:NIM589829 NIM589847:NIM589848 NIM589867 NIM589872 NIM655357:NIM655365 NIM655383:NIM655384 NIM655403 NIM655408 NIM720893:NIM720901 NIM720919:NIM720920 NIM720939 NIM720944 NIM786429:NIM786437 NIM786455:NIM786456 NIM786475 NIM786480 NIM851965:NIM851973 NIM851991:NIM851992 NIM852011 NIM852016 NIM917501:NIM917509 NIM917527:NIM917528 NIM917547 NIM917552 NIM983037:NIM983045 NIM983063:NIM983064 NIM983083 NIM983088 NIX65518:NIX65528 NIX131054:NIX131064 NIX196590:NIX196600 NIX262126:NIX262136 NIX327662:NIX327672 NIX393198:NIX393208 NIX458734:NIX458744 NIX524270:NIX524280 NIX589806:NIX589816 NIX655342:NIX655352 NIX720878:NIX720888 NIX786414:NIX786424 NIX851950:NIX851960 NIX917486:NIX917496 NIX983022:NIX983032 NSI15:NSI22 NSI38:NSI43 NSI52:NSI53 NSI65533:NSI65541 NSI65559:NSI65560 NSI65579 NSI65584 NSI131069:NSI131077 NSI131095:NSI131096 NSI131115 NSI131120 NSI196605:NSI196613 NSI196631:NSI196632 NSI196651 NSI196656 NSI262141:NSI262149 NSI262167:NSI262168 NSI262187 NSI262192 NSI327677:NSI327685 NSI327703:NSI327704 NSI327723 NSI327728 NSI393213:NSI393221 NSI393239:NSI393240 NSI393259 NSI393264 NSI458749:NSI458757 NSI458775:NSI458776 NSI458795 NSI458800 NSI524285:NSI524293 NSI524311:NSI524312 NSI524331 NSI524336 NSI589821:NSI589829 NSI589847:NSI589848 NSI589867 NSI589872 NSI655357:NSI655365 NSI655383:NSI655384 NSI655403 NSI655408 NSI720893:NSI720901 NSI720919:NSI720920 NSI720939 NSI720944 NSI786429:NSI786437 NSI786455:NSI786456 NSI786475 NSI786480 NSI851965:NSI851973 NSI851991:NSI851992 NSI852011 NSI852016 NSI917501:NSI917509 NSI917527:NSI917528 NSI917547 NSI917552 NSI983037:NSI983045 NSI983063:NSI983064 NSI983083 NSI983088 NST65518:NST65528 NST131054:NST131064 NST196590:NST196600 NST262126:NST262136 NST327662:NST327672 NST393198:NST393208 NST458734:NST458744 NST524270:NST524280 NST589806:NST589816 NST655342:NST655352 NST720878:NST720888 NST786414:NST786424 NST851950:NST851960 NST917486:NST917496 NST983022:NST983032 OCE15:OCE22 OCE38:OCE43 OCE52:OCE53 OCE65533:OCE65541 OCE65559:OCE65560 OCE65579 OCE65584 OCE131069:OCE131077 OCE131095:OCE131096 OCE131115 OCE131120 OCE196605:OCE196613 OCE196631:OCE196632 OCE196651 OCE196656 OCE262141:OCE262149 OCE262167:OCE262168 OCE262187 OCE262192 OCE327677:OCE327685 OCE327703:OCE327704 OCE327723 OCE327728 OCE393213:OCE393221 OCE393239:OCE393240 OCE393259 OCE393264 OCE458749:OCE458757 OCE458775:OCE458776 OCE458795 OCE458800 OCE524285:OCE524293 OCE524311:OCE524312 OCE524331 OCE524336 OCE589821:OCE589829 OCE589847:OCE589848 OCE589867 OCE589872 OCE655357:OCE655365 OCE655383:OCE655384 OCE655403 OCE655408 OCE720893:OCE720901 OCE720919:OCE720920 OCE720939 OCE720944 OCE786429:OCE786437 OCE786455:OCE786456 OCE786475 OCE786480 OCE851965:OCE851973 OCE851991:OCE851992 OCE852011 OCE852016 OCE917501:OCE917509 OCE917527:OCE917528 OCE917547 OCE917552 OCE983037:OCE983045 OCE983063:OCE983064 OCE983083 OCE983088 OCP65518:OCP65528 OCP131054:OCP131064 OCP196590:OCP196600 OCP262126:OCP262136 OCP327662:OCP327672 OCP393198:OCP393208 OCP458734:OCP458744 OCP524270:OCP524280 OCP589806:OCP589816 OCP655342:OCP655352 OCP720878:OCP720888 OCP786414:OCP786424 OCP851950:OCP851960 OCP917486:OCP917496 OCP983022:OCP983032 OMA15:OMA22 OMA38:OMA43 OMA52:OMA53 OMA65533:OMA65541 OMA65559:OMA65560 OMA65579 OMA65584 OMA131069:OMA131077 OMA131095:OMA131096 OMA131115 OMA131120 OMA196605:OMA196613 OMA196631:OMA196632 OMA196651 OMA196656 OMA262141:OMA262149 OMA262167:OMA262168 OMA262187 OMA262192 OMA327677:OMA327685 OMA327703:OMA327704 OMA327723 OMA327728 OMA393213:OMA393221 OMA393239:OMA393240 OMA393259 OMA393264 OMA458749:OMA458757 OMA458775:OMA458776 OMA458795 OMA458800 OMA524285:OMA524293 OMA524311:OMA524312 OMA524331 OMA524336 OMA589821:OMA589829 OMA589847:OMA589848 OMA589867 OMA589872 OMA655357:OMA655365 OMA655383:OMA655384 OMA655403 OMA655408 OMA720893:OMA720901 OMA720919:OMA720920 OMA720939 OMA720944 OMA786429:OMA786437 OMA786455:OMA786456 OMA786475 OMA786480 OMA851965:OMA851973 OMA851991:OMA851992 OMA852011 OMA852016 OMA917501:OMA917509 OMA917527:OMA917528 OMA917547 OMA917552 OMA983037:OMA983045 OMA983063:OMA983064 OMA983083 OMA983088 OML65518:OML65528 OML131054:OML131064 OML196590:OML196600 OML262126:OML262136 OML327662:OML327672 OML393198:OML393208 OML458734:OML458744 OML524270:OML524280 OML589806:OML589816 OML655342:OML655352 OML720878:OML720888 OML786414:OML786424 OML851950:OML851960 OML917486:OML917496 OML983022:OML983032 OVW15:OVW22 OVW38:OVW43 OVW52:OVW53 OVW65533:OVW65541 OVW65559:OVW65560 OVW65579 OVW65584 OVW131069:OVW131077 OVW131095:OVW131096 OVW131115 OVW131120 OVW196605:OVW196613 OVW196631:OVW196632 OVW196651 OVW196656 OVW262141:OVW262149 OVW262167:OVW262168 OVW262187 OVW262192 OVW327677:OVW327685 OVW327703:OVW327704 OVW327723 OVW327728 OVW393213:OVW393221 OVW393239:OVW393240 OVW393259 OVW393264 OVW458749:OVW458757 OVW458775:OVW458776 OVW458795 OVW458800 OVW524285:OVW524293 OVW524311:OVW524312 OVW524331 OVW524336 OVW589821:OVW589829 OVW589847:OVW589848 OVW589867 OVW589872 OVW655357:OVW655365 OVW655383:OVW655384 OVW655403 OVW655408 OVW720893:OVW720901 OVW720919:OVW720920 OVW720939 OVW720944 OVW786429:OVW786437 OVW786455:OVW786456 OVW786475 OVW786480 OVW851965:OVW851973 OVW851991:OVW851992 OVW852011 OVW852016 OVW917501:OVW917509 OVW917527:OVW917528 OVW917547 OVW917552 OVW983037:OVW983045 OVW983063:OVW983064 OVW983083 OVW983088 OWH65518:OWH65528 OWH131054:OWH131064 OWH196590:OWH196600 OWH262126:OWH262136 OWH327662:OWH327672 OWH393198:OWH393208 OWH458734:OWH458744 OWH524270:OWH524280 OWH589806:OWH589816 OWH655342:OWH655352 OWH720878:OWH720888 OWH786414:OWH786424 OWH851950:OWH851960 OWH917486:OWH917496 OWH983022:OWH983032 PFS15:PFS22 PFS38:PFS43 PFS52:PFS53 PFS65533:PFS65541 PFS65559:PFS65560 PFS65579 PFS65584 PFS131069:PFS131077 PFS131095:PFS131096 PFS131115 PFS131120 PFS196605:PFS196613 PFS196631:PFS196632 PFS196651 PFS196656 PFS262141:PFS262149 PFS262167:PFS262168 PFS262187 PFS262192 PFS327677:PFS327685 PFS327703:PFS327704 PFS327723 PFS327728 PFS393213:PFS393221 PFS393239:PFS393240 PFS393259 PFS393264 PFS458749:PFS458757 PFS458775:PFS458776 PFS458795 PFS458800 PFS524285:PFS524293 PFS524311:PFS524312 PFS524331 PFS524336 PFS589821:PFS589829 PFS589847:PFS589848 PFS589867 PFS589872 PFS655357:PFS655365 PFS655383:PFS655384 PFS655403 PFS655408 PFS720893:PFS720901 PFS720919:PFS720920 PFS720939 PFS720944 PFS786429:PFS786437 PFS786455:PFS786456 PFS786475 PFS786480 PFS851965:PFS851973 PFS851991:PFS851992 PFS852011 PFS852016 PFS917501:PFS917509 PFS917527:PFS917528 PFS917547 PFS917552 PFS983037:PFS983045 PFS983063:PFS983064 PFS983083 PFS983088 PGD65518:PGD65528 PGD131054:PGD131064 PGD196590:PGD196600 PGD262126:PGD262136 PGD327662:PGD327672 PGD393198:PGD393208 PGD458734:PGD458744 PGD524270:PGD524280 PGD589806:PGD589816 PGD655342:PGD655352 PGD720878:PGD720888 PGD786414:PGD786424 PGD851950:PGD851960 PGD917486:PGD917496 PGD983022:PGD983032 PPO15:PPO22 PPO38:PPO43 PPO52:PPO53 PPO65533:PPO65541 PPO65559:PPO65560 PPO65579 PPO65584 PPO131069:PPO131077 PPO131095:PPO131096 PPO131115 PPO131120 PPO196605:PPO196613 PPO196631:PPO196632 PPO196651 PPO196656 PPO262141:PPO262149 PPO262167:PPO262168 PPO262187 PPO262192 PPO327677:PPO327685 PPO327703:PPO327704 PPO327723 PPO327728 PPO393213:PPO393221 PPO393239:PPO393240 PPO393259 PPO393264 PPO458749:PPO458757 PPO458775:PPO458776 PPO458795 PPO458800 PPO524285:PPO524293 PPO524311:PPO524312 PPO524331 PPO524336 PPO589821:PPO589829 PPO589847:PPO589848 PPO589867 PPO589872 PPO655357:PPO655365 PPO655383:PPO655384 PPO655403 PPO655408 PPO720893:PPO720901 PPO720919:PPO720920 PPO720939 PPO720944 PPO786429:PPO786437 PPO786455:PPO786456 PPO786475 PPO786480 PPO851965:PPO851973 PPO851991:PPO851992 PPO852011 PPO852016 PPO917501:PPO917509 PPO917527:PPO917528 PPO917547 PPO917552 PPO983037:PPO983045 PPO983063:PPO983064 PPO983083 PPO983088 PPZ65518:PPZ65528 PPZ131054:PPZ131064 PPZ196590:PPZ196600 PPZ262126:PPZ262136 PPZ327662:PPZ327672 PPZ393198:PPZ393208 PPZ458734:PPZ458744 PPZ524270:PPZ524280 PPZ589806:PPZ589816 PPZ655342:PPZ655352 PPZ720878:PPZ720888 PPZ786414:PPZ786424 PPZ851950:PPZ851960 PPZ917486:PPZ917496 PPZ983022:PPZ983032 PZK15:PZK22 PZK38:PZK43 PZK52:PZK53 PZK65533:PZK65541 PZK65559:PZK65560 PZK65579 PZK65584 PZK131069:PZK131077 PZK131095:PZK131096 PZK131115 PZK131120 PZK196605:PZK196613 PZK196631:PZK196632 PZK196651 PZK196656 PZK262141:PZK262149 PZK262167:PZK262168 PZK262187 PZK262192 PZK327677:PZK327685 PZK327703:PZK327704 PZK327723 PZK327728 PZK393213:PZK393221 PZK393239:PZK393240 PZK393259 PZK393264 PZK458749:PZK458757 PZK458775:PZK458776 PZK458795 PZK458800 PZK524285:PZK524293 PZK524311:PZK524312 PZK524331 PZK524336 PZK589821:PZK589829 PZK589847:PZK589848 PZK589867 PZK589872 PZK655357:PZK655365 PZK655383:PZK655384 PZK655403 PZK655408 PZK720893:PZK720901 PZK720919:PZK720920 PZK720939 PZK720944 PZK786429:PZK786437 PZK786455:PZK786456 PZK786475 PZK786480 PZK851965:PZK851973 PZK851991:PZK851992 PZK852011 PZK852016 PZK917501:PZK917509 PZK917527:PZK917528 PZK917547 PZK917552 PZK983037:PZK983045 PZK983063:PZK983064 PZK983083 PZK983088 PZV65518:PZV65528 PZV131054:PZV131064 PZV196590:PZV196600 PZV262126:PZV262136 PZV327662:PZV327672 PZV393198:PZV393208 PZV458734:PZV458744 PZV524270:PZV524280 PZV589806:PZV589816 PZV655342:PZV655352 PZV720878:PZV720888 PZV786414:PZV786424 PZV851950:PZV851960 PZV917486:PZV917496 PZV983022:PZV983032 QJG15:QJG22 QJG38:QJG43 QJG52:QJG53 QJG65533:QJG65541 QJG65559:QJG65560 QJG65579 QJG65584 QJG131069:QJG131077 QJG131095:QJG131096 QJG131115 QJG131120 QJG196605:QJG196613 QJG196631:QJG196632 QJG196651 QJG196656 QJG262141:QJG262149 QJG262167:QJG262168 QJG262187 QJG262192 QJG327677:QJG327685 QJG327703:QJG327704 QJG327723 QJG327728 QJG393213:QJG393221 QJG393239:QJG393240 QJG393259 QJG393264 QJG458749:QJG458757 QJG458775:QJG458776 QJG458795 QJG458800 QJG524285:QJG524293 QJG524311:QJG524312 QJG524331 QJG524336 QJG589821:QJG589829 QJG589847:QJG589848 QJG589867 QJG589872 QJG655357:QJG655365 QJG655383:QJG655384 QJG655403 QJG655408 QJG720893:QJG720901 QJG720919:QJG720920 QJG720939 QJG720944 QJG786429:QJG786437 QJG786455:QJG786456 QJG786475 QJG786480 QJG851965:QJG851973 QJG851991:QJG851992 QJG852011 QJG852016 QJG917501:QJG917509 QJG917527:QJG917528 QJG917547 QJG917552 QJG983037:QJG983045 QJG983063:QJG983064 QJG983083 QJG983088 QJR65518:QJR65528 QJR131054:QJR131064 QJR196590:QJR196600 QJR262126:QJR262136 QJR327662:QJR327672 QJR393198:QJR393208 QJR458734:QJR458744 QJR524270:QJR524280 QJR589806:QJR589816 QJR655342:QJR655352 QJR720878:QJR720888 QJR786414:QJR786424 QJR851950:QJR851960 QJR917486:QJR917496 QJR983022:QJR983032 QTC15:QTC22 QTC38:QTC43 QTC52:QTC53 QTC65533:QTC65541 QTC65559:QTC65560 QTC65579 QTC65584 QTC131069:QTC131077 QTC131095:QTC131096 QTC131115 QTC131120 QTC196605:QTC196613 QTC196631:QTC196632 QTC196651 QTC196656 QTC262141:QTC262149 QTC262167:QTC262168 QTC262187 QTC262192 QTC327677:QTC327685 QTC327703:QTC327704 QTC327723 QTC327728 QTC393213:QTC393221 QTC393239:QTC393240 QTC393259 QTC393264 QTC458749:QTC458757 QTC458775:QTC458776 QTC458795 QTC458800 QTC524285:QTC524293 QTC524311:QTC524312 QTC524331 QTC524336 QTC589821:QTC589829 QTC589847:QTC589848 QTC589867 QTC589872 QTC655357:QTC655365 QTC655383:QTC655384 QTC655403 QTC655408 QTC720893:QTC720901 QTC720919:QTC720920 QTC720939 QTC720944 QTC786429:QTC786437 QTC786455:QTC786456 QTC786475 QTC786480 QTC851965:QTC851973 QTC851991:QTC851992 QTC852011 QTC852016 QTC917501:QTC917509 QTC917527:QTC917528 QTC917547 QTC917552 QTC983037:QTC983045 QTC983063:QTC983064 QTC983083 QTC983088 QTN65518:QTN65528 QTN131054:QTN131064 QTN196590:QTN196600 QTN262126:QTN262136 QTN327662:QTN327672 QTN393198:QTN393208 QTN458734:QTN458744 QTN524270:QTN524280 QTN589806:QTN589816 QTN655342:QTN655352 QTN720878:QTN720888 QTN786414:QTN786424 QTN851950:QTN851960 QTN917486:QTN917496 QTN983022:QTN983032 RCY15:RCY22 RCY38:RCY43 RCY52:RCY53 RCY65533:RCY65541 RCY65559:RCY65560 RCY65579 RCY65584 RCY131069:RCY131077 RCY131095:RCY131096 RCY131115 RCY131120 RCY196605:RCY196613 RCY196631:RCY196632 RCY196651 RCY196656 RCY262141:RCY262149 RCY262167:RCY262168 RCY262187 RCY262192 RCY327677:RCY327685 RCY327703:RCY327704 RCY327723 RCY327728 RCY393213:RCY393221 RCY393239:RCY393240 RCY393259 RCY393264 RCY458749:RCY458757 RCY458775:RCY458776 RCY458795 RCY458800 RCY524285:RCY524293 RCY524311:RCY524312 RCY524331 RCY524336 RCY589821:RCY589829 RCY589847:RCY589848 RCY589867 RCY589872 RCY655357:RCY655365 RCY655383:RCY655384 RCY655403 RCY655408 RCY720893:RCY720901 RCY720919:RCY720920 RCY720939 RCY720944 RCY786429:RCY786437 RCY786455:RCY786456 RCY786475 RCY786480 RCY851965:RCY851973 RCY851991:RCY851992 RCY852011 RCY852016 RCY917501:RCY917509 RCY917527:RCY917528 RCY917547 RCY917552 RCY983037:RCY983045 RCY983063:RCY983064 RCY983083 RCY983088 RDJ65518:RDJ65528 RDJ131054:RDJ131064 RDJ196590:RDJ196600 RDJ262126:RDJ262136 RDJ327662:RDJ327672 RDJ393198:RDJ393208 RDJ458734:RDJ458744 RDJ524270:RDJ524280 RDJ589806:RDJ589816 RDJ655342:RDJ655352 RDJ720878:RDJ720888 RDJ786414:RDJ786424 RDJ851950:RDJ851960 RDJ917486:RDJ917496 RDJ983022:RDJ983032 RMU15:RMU22 RMU38:RMU43 RMU52:RMU53 RMU65533:RMU65541 RMU65559:RMU65560 RMU65579 RMU65584 RMU131069:RMU131077 RMU131095:RMU131096 RMU131115 RMU131120 RMU196605:RMU196613 RMU196631:RMU196632 RMU196651 RMU196656 RMU262141:RMU262149 RMU262167:RMU262168 RMU262187 RMU262192 RMU327677:RMU327685 RMU327703:RMU327704 RMU327723 RMU327728 RMU393213:RMU393221 RMU393239:RMU393240 RMU393259 RMU393264 RMU458749:RMU458757 RMU458775:RMU458776 RMU458795 RMU458800 RMU524285:RMU524293 RMU524311:RMU524312 RMU524331 RMU524336 RMU589821:RMU589829 RMU589847:RMU589848 RMU589867 RMU589872 RMU655357:RMU655365 RMU655383:RMU655384 RMU655403 RMU655408 RMU720893:RMU720901 RMU720919:RMU720920 RMU720939 RMU720944 RMU786429:RMU786437 RMU786455:RMU786456 RMU786475 RMU786480 RMU851965:RMU851973 RMU851991:RMU851992 RMU852011 RMU852016 RMU917501:RMU917509 RMU917527:RMU917528 RMU917547 RMU917552 RMU983037:RMU983045 RMU983063:RMU983064 RMU983083 RMU983088 RNF65518:RNF65528 RNF131054:RNF131064 RNF196590:RNF196600 RNF262126:RNF262136 RNF327662:RNF327672 RNF393198:RNF393208 RNF458734:RNF458744 RNF524270:RNF524280 RNF589806:RNF589816 RNF655342:RNF655352 RNF720878:RNF720888 RNF786414:RNF786424 RNF851950:RNF851960 RNF917486:RNF917496 RNF983022:RNF983032 RWQ15:RWQ22 RWQ38:RWQ43 RWQ52:RWQ53 RWQ65533:RWQ65541 RWQ65559:RWQ65560 RWQ65579 RWQ65584 RWQ131069:RWQ131077 RWQ131095:RWQ131096 RWQ131115 RWQ131120 RWQ196605:RWQ196613 RWQ196631:RWQ196632 RWQ196651 RWQ196656 RWQ262141:RWQ262149 RWQ262167:RWQ262168 RWQ262187 RWQ262192 RWQ327677:RWQ327685 RWQ327703:RWQ327704 RWQ327723 RWQ327728 RWQ393213:RWQ393221 RWQ393239:RWQ393240 RWQ393259 RWQ393264 RWQ458749:RWQ458757 RWQ458775:RWQ458776 RWQ458795 RWQ458800 RWQ524285:RWQ524293 RWQ524311:RWQ524312 RWQ524331 RWQ524336 RWQ589821:RWQ589829 RWQ589847:RWQ589848 RWQ589867 RWQ589872 RWQ655357:RWQ655365 RWQ655383:RWQ655384 RWQ655403 RWQ655408 RWQ720893:RWQ720901 RWQ720919:RWQ720920 RWQ720939 RWQ720944 RWQ786429:RWQ786437 RWQ786455:RWQ786456 RWQ786475 RWQ786480 RWQ851965:RWQ851973 RWQ851991:RWQ851992 RWQ852011 RWQ852016 RWQ917501:RWQ917509 RWQ917527:RWQ917528 RWQ917547 RWQ917552 RWQ983037:RWQ983045 RWQ983063:RWQ983064 RWQ983083 RWQ983088 RXB65518:RXB65528 RXB131054:RXB131064 RXB196590:RXB196600 RXB262126:RXB262136 RXB327662:RXB327672 RXB393198:RXB393208 RXB458734:RXB458744 RXB524270:RXB524280 RXB589806:RXB589816 RXB655342:RXB655352 RXB720878:RXB720888 RXB786414:RXB786424 RXB851950:RXB851960 RXB917486:RXB917496 RXB983022:RXB983032 SGM15:SGM22 SGM38:SGM43 SGM52:SGM53 SGM65533:SGM65541 SGM65559:SGM65560 SGM65579 SGM65584 SGM131069:SGM131077 SGM131095:SGM131096 SGM131115 SGM131120 SGM196605:SGM196613 SGM196631:SGM196632 SGM196651 SGM196656 SGM262141:SGM262149 SGM262167:SGM262168 SGM262187 SGM262192 SGM327677:SGM327685 SGM327703:SGM327704 SGM327723 SGM327728 SGM393213:SGM393221 SGM393239:SGM393240 SGM393259 SGM393264 SGM458749:SGM458757 SGM458775:SGM458776 SGM458795 SGM458800 SGM524285:SGM524293 SGM524311:SGM524312 SGM524331 SGM524336 SGM589821:SGM589829 SGM589847:SGM589848 SGM589867 SGM589872 SGM655357:SGM655365 SGM655383:SGM655384 SGM655403 SGM655408 SGM720893:SGM720901 SGM720919:SGM720920 SGM720939 SGM720944 SGM786429:SGM786437 SGM786455:SGM786456 SGM786475 SGM786480 SGM851965:SGM851973 SGM851991:SGM851992 SGM852011 SGM852016 SGM917501:SGM917509 SGM917527:SGM917528 SGM917547 SGM917552 SGM983037:SGM983045 SGM983063:SGM983064 SGM983083 SGM983088 SGX65518:SGX65528 SGX131054:SGX131064 SGX196590:SGX196600 SGX262126:SGX262136 SGX327662:SGX327672 SGX393198:SGX393208 SGX458734:SGX458744 SGX524270:SGX524280 SGX589806:SGX589816 SGX655342:SGX655352 SGX720878:SGX720888 SGX786414:SGX786424 SGX851950:SGX851960 SGX917486:SGX917496 SGX983022:SGX983032 SQI15:SQI22 SQI38:SQI43 SQI52:SQI53 SQI65533:SQI65541 SQI65559:SQI65560 SQI65579 SQI65584 SQI131069:SQI131077 SQI131095:SQI131096 SQI131115 SQI131120 SQI196605:SQI196613 SQI196631:SQI196632 SQI196651 SQI196656 SQI262141:SQI262149 SQI262167:SQI262168 SQI262187 SQI262192 SQI327677:SQI327685 SQI327703:SQI327704 SQI327723 SQI327728 SQI393213:SQI393221 SQI393239:SQI393240 SQI393259 SQI393264 SQI458749:SQI458757 SQI458775:SQI458776 SQI458795 SQI458800 SQI524285:SQI524293 SQI524311:SQI524312 SQI524331 SQI524336 SQI589821:SQI589829 SQI589847:SQI589848 SQI589867 SQI589872 SQI655357:SQI655365 SQI655383:SQI655384 SQI655403 SQI655408 SQI720893:SQI720901 SQI720919:SQI720920 SQI720939 SQI720944 SQI786429:SQI786437 SQI786455:SQI786456 SQI786475 SQI786480 SQI851965:SQI851973 SQI851991:SQI851992 SQI852011 SQI852016 SQI917501:SQI917509 SQI917527:SQI917528 SQI917547 SQI917552 SQI983037:SQI983045 SQI983063:SQI983064 SQI983083 SQI983088 SQT65518:SQT65528 SQT131054:SQT131064 SQT196590:SQT196600 SQT262126:SQT262136 SQT327662:SQT327672 SQT393198:SQT393208 SQT458734:SQT458744 SQT524270:SQT524280 SQT589806:SQT589816 SQT655342:SQT655352 SQT720878:SQT720888 SQT786414:SQT786424 SQT851950:SQT851960 SQT917486:SQT917496 SQT983022:SQT983032 TAE15:TAE22 TAE38:TAE43 TAE52:TAE53 TAE65533:TAE65541 TAE65559:TAE65560 TAE65579 TAE65584 TAE131069:TAE131077 TAE131095:TAE131096 TAE131115 TAE131120 TAE196605:TAE196613 TAE196631:TAE196632 TAE196651 TAE196656 TAE262141:TAE262149 TAE262167:TAE262168 TAE262187 TAE262192 TAE327677:TAE327685 TAE327703:TAE327704 TAE327723 TAE327728 TAE393213:TAE393221 TAE393239:TAE393240 TAE393259 TAE393264 TAE458749:TAE458757 TAE458775:TAE458776 TAE458795 TAE458800 TAE524285:TAE524293 TAE524311:TAE524312 TAE524331 TAE524336 TAE589821:TAE589829 TAE589847:TAE589848 TAE589867 TAE589872 TAE655357:TAE655365 TAE655383:TAE655384 TAE655403 TAE655408 TAE720893:TAE720901 TAE720919:TAE720920 TAE720939 TAE720944 TAE786429:TAE786437 TAE786455:TAE786456 TAE786475 TAE786480 TAE851965:TAE851973 TAE851991:TAE851992 TAE852011 TAE852016 TAE917501:TAE917509 TAE917527:TAE917528 TAE917547 TAE917552 TAE983037:TAE983045 TAE983063:TAE983064 TAE983083 TAE983088 TAP65518:TAP65528 TAP131054:TAP131064 TAP196590:TAP196600 TAP262126:TAP262136 TAP327662:TAP327672 TAP393198:TAP393208 TAP458734:TAP458744 TAP524270:TAP524280 TAP589806:TAP589816 TAP655342:TAP655352 TAP720878:TAP720888 TAP786414:TAP786424 TAP851950:TAP851960 TAP917486:TAP917496 TAP983022:TAP983032 TKA15:TKA22 TKA38:TKA43 TKA52:TKA53 TKA65533:TKA65541 TKA65559:TKA65560 TKA65579 TKA65584 TKA131069:TKA131077 TKA131095:TKA131096 TKA131115 TKA131120 TKA196605:TKA196613 TKA196631:TKA196632 TKA196651 TKA196656 TKA262141:TKA262149 TKA262167:TKA262168 TKA262187 TKA262192 TKA327677:TKA327685 TKA327703:TKA327704 TKA327723 TKA327728 TKA393213:TKA393221 TKA393239:TKA393240 TKA393259 TKA393264 TKA458749:TKA458757 TKA458775:TKA458776 TKA458795 TKA458800 TKA524285:TKA524293 TKA524311:TKA524312 TKA524331 TKA524336 TKA589821:TKA589829 TKA589847:TKA589848 TKA589867 TKA589872 TKA655357:TKA655365 TKA655383:TKA655384 TKA655403 TKA655408 TKA720893:TKA720901 TKA720919:TKA720920 TKA720939 TKA720944 TKA786429:TKA786437 TKA786455:TKA786456 TKA786475 TKA786480 TKA851965:TKA851973 TKA851991:TKA851992 TKA852011 TKA852016 TKA917501:TKA917509 TKA917527:TKA917528 TKA917547 TKA917552 TKA983037:TKA983045 TKA983063:TKA983064 TKA983083 TKA983088 TKL65518:TKL65528 TKL131054:TKL131064 TKL196590:TKL196600 TKL262126:TKL262136 TKL327662:TKL327672 TKL393198:TKL393208 TKL458734:TKL458744 TKL524270:TKL524280 TKL589806:TKL589816 TKL655342:TKL655352 TKL720878:TKL720888 TKL786414:TKL786424 TKL851950:TKL851960 TKL917486:TKL917496 TKL983022:TKL983032 TTW15:TTW22 TTW38:TTW43 TTW52:TTW53 TTW65533:TTW65541 TTW65559:TTW65560 TTW65579 TTW65584 TTW131069:TTW131077 TTW131095:TTW131096 TTW131115 TTW131120 TTW196605:TTW196613 TTW196631:TTW196632 TTW196651 TTW196656 TTW262141:TTW262149 TTW262167:TTW262168 TTW262187 TTW262192 TTW327677:TTW327685 TTW327703:TTW327704 TTW327723 TTW327728 TTW393213:TTW393221 TTW393239:TTW393240 TTW393259 TTW393264 TTW458749:TTW458757 TTW458775:TTW458776 TTW458795 TTW458800 TTW524285:TTW524293 TTW524311:TTW524312 TTW524331 TTW524336 TTW589821:TTW589829 TTW589847:TTW589848 TTW589867 TTW589872 TTW655357:TTW655365 TTW655383:TTW655384 TTW655403 TTW655408 TTW720893:TTW720901 TTW720919:TTW720920 TTW720939 TTW720944 TTW786429:TTW786437 TTW786455:TTW786456 TTW786475 TTW786480 TTW851965:TTW851973 TTW851991:TTW851992 TTW852011 TTW852016 TTW917501:TTW917509 TTW917527:TTW917528 TTW917547 TTW917552 TTW983037:TTW983045 TTW983063:TTW983064 TTW983083 TTW983088 TUH65518:TUH65528 TUH131054:TUH131064 TUH196590:TUH196600 TUH262126:TUH262136 TUH327662:TUH327672 TUH393198:TUH393208 TUH458734:TUH458744 TUH524270:TUH524280 TUH589806:TUH589816 TUH655342:TUH655352 TUH720878:TUH720888 TUH786414:TUH786424 TUH851950:TUH851960 TUH917486:TUH917496 TUH983022:TUH983032 UDS15:UDS22 UDS38:UDS43 UDS52:UDS53 UDS65533:UDS65541 UDS65559:UDS65560 UDS65579 UDS65584 UDS131069:UDS131077 UDS131095:UDS131096 UDS131115 UDS131120 UDS196605:UDS196613 UDS196631:UDS196632 UDS196651 UDS196656 UDS262141:UDS262149 UDS262167:UDS262168 UDS262187 UDS262192 UDS327677:UDS327685 UDS327703:UDS327704 UDS327723 UDS327728 UDS393213:UDS393221 UDS393239:UDS393240 UDS393259 UDS393264 UDS458749:UDS458757 UDS458775:UDS458776 UDS458795 UDS458800 UDS524285:UDS524293 UDS524311:UDS524312 UDS524331 UDS524336 UDS589821:UDS589829 UDS589847:UDS589848 UDS589867 UDS589872 UDS655357:UDS655365 UDS655383:UDS655384 UDS655403 UDS655408 UDS720893:UDS720901 UDS720919:UDS720920 UDS720939 UDS720944 UDS786429:UDS786437 UDS786455:UDS786456 UDS786475 UDS786480 UDS851965:UDS851973 UDS851991:UDS851992 UDS852011 UDS852016 UDS917501:UDS917509 UDS917527:UDS917528 UDS917547 UDS917552 UDS983037:UDS983045 UDS983063:UDS983064 UDS983083 UDS983088 UED65518:UED65528 UED131054:UED131064 UED196590:UED196600 UED262126:UED262136 UED327662:UED327672 UED393198:UED393208 UED458734:UED458744 UED524270:UED524280 UED589806:UED589816 UED655342:UED655352 UED720878:UED720888 UED786414:UED786424 UED851950:UED851960 UED917486:UED917496 UED983022:UED983032 UNO15:UNO22 UNO38:UNO43 UNO52:UNO53 UNO65533:UNO65541 UNO65559:UNO65560 UNO65579 UNO65584 UNO131069:UNO131077 UNO131095:UNO131096 UNO131115 UNO131120 UNO196605:UNO196613 UNO196631:UNO196632 UNO196651 UNO196656 UNO262141:UNO262149 UNO262167:UNO262168 UNO262187 UNO262192 UNO327677:UNO327685 UNO327703:UNO327704 UNO327723 UNO327728 UNO393213:UNO393221 UNO393239:UNO393240 UNO393259 UNO393264 UNO458749:UNO458757 UNO458775:UNO458776 UNO458795 UNO458800 UNO524285:UNO524293 UNO524311:UNO524312 UNO524331 UNO524336 UNO589821:UNO589829 UNO589847:UNO589848 UNO589867 UNO589872 UNO655357:UNO655365 UNO655383:UNO655384 UNO655403 UNO655408 UNO720893:UNO720901 UNO720919:UNO720920 UNO720939 UNO720944 UNO786429:UNO786437 UNO786455:UNO786456 UNO786475 UNO786480 UNO851965:UNO851973 UNO851991:UNO851992 UNO852011 UNO852016 UNO917501:UNO917509 UNO917527:UNO917528 UNO917547 UNO917552 UNO983037:UNO983045 UNO983063:UNO983064 UNO983083 UNO983088 UNZ65518:UNZ65528 UNZ131054:UNZ131064 UNZ196590:UNZ196600 UNZ262126:UNZ262136 UNZ327662:UNZ327672 UNZ393198:UNZ393208 UNZ458734:UNZ458744 UNZ524270:UNZ524280 UNZ589806:UNZ589816 UNZ655342:UNZ655352 UNZ720878:UNZ720888 UNZ786414:UNZ786424 UNZ851950:UNZ851960 UNZ917486:UNZ917496 UNZ983022:UNZ983032 UXK15:UXK22 UXK38:UXK43 UXK52:UXK53 UXK65533:UXK65541 UXK65559:UXK65560 UXK65579 UXK65584 UXK131069:UXK131077 UXK131095:UXK131096 UXK131115 UXK131120 UXK196605:UXK196613 UXK196631:UXK196632 UXK196651 UXK196656 UXK262141:UXK262149 UXK262167:UXK262168 UXK262187 UXK262192 UXK327677:UXK327685 UXK327703:UXK327704 UXK327723 UXK327728 UXK393213:UXK393221 UXK393239:UXK393240 UXK393259 UXK393264 UXK458749:UXK458757 UXK458775:UXK458776 UXK458795 UXK458800 UXK524285:UXK524293 UXK524311:UXK524312 UXK524331 UXK524336 UXK589821:UXK589829 UXK589847:UXK589848 UXK589867 UXK589872 UXK655357:UXK655365 UXK655383:UXK655384 UXK655403 UXK655408 UXK720893:UXK720901 UXK720919:UXK720920 UXK720939 UXK720944 UXK786429:UXK786437 UXK786455:UXK786456 UXK786475 UXK786480 UXK851965:UXK851973 UXK851991:UXK851992 UXK852011 UXK852016 UXK917501:UXK917509 UXK917527:UXK917528 UXK917547 UXK917552 UXK983037:UXK983045 UXK983063:UXK983064 UXK983083 UXK983088 UXV65518:UXV65528 UXV131054:UXV131064 UXV196590:UXV196600 UXV262126:UXV262136 UXV327662:UXV327672 UXV393198:UXV393208 UXV458734:UXV458744 UXV524270:UXV524280 UXV589806:UXV589816 UXV655342:UXV655352 UXV720878:UXV720888 UXV786414:UXV786424 UXV851950:UXV851960 UXV917486:UXV917496 UXV983022:UXV983032 VHG15:VHG22 VHG38:VHG43 VHG52:VHG53 VHG65533:VHG65541 VHG65559:VHG65560 VHG65579 VHG65584 VHG131069:VHG131077 VHG131095:VHG131096 VHG131115 VHG131120 VHG196605:VHG196613 VHG196631:VHG196632 VHG196651 VHG196656 VHG262141:VHG262149 VHG262167:VHG262168 VHG262187 VHG262192 VHG327677:VHG327685 VHG327703:VHG327704 VHG327723 VHG327728 VHG393213:VHG393221 VHG393239:VHG393240 VHG393259 VHG393264 VHG458749:VHG458757 VHG458775:VHG458776 VHG458795 VHG458800 VHG524285:VHG524293 VHG524311:VHG524312 VHG524331 VHG524336 VHG589821:VHG589829 VHG589847:VHG589848 VHG589867 VHG589872 VHG655357:VHG655365 VHG655383:VHG655384 VHG655403 VHG655408 VHG720893:VHG720901 VHG720919:VHG720920 VHG720939 VHG720944 VHG786429:VHG786437 VHG786455:VHG786456 VHG786475 VHG786480 VHG851965:VHG851973 VHG851991:VHG851992 VHG852011 VHG852016 VHG917501:VHG917509 VHG917527:VHG917528 VHG917547 VHG917552 VHG983037:VHG983045 VHG983063:VHG983064 VHG983083 VHG983088 VHR65518:VHR65528 VHR131054:VHR131064 VHR196590:VHR196600 VHR262126:VHR262136 VHR327662:VHR327672 VHR393198:VHR393208 VHR458734:VHR458744 VHR524270:VHR524280 VHR589806:VHR589816 VHR655342:VHR655352 VHR720878:VHR720888 VHR786414:VHR786424 VHR851950:VHR851960 VHR917486:VHR917496 VHR983022:VHR983032 VRC15:VRC22 VRC38:VRC43 VRC52:VRC53 VRC65533:VRC65541 VRC65559:VRC65560 VRC65579 VRC65584 VRC131069:VRC131077 VRC131095:VRC131096 VRC131115 VRC131120 VRC196605:VRC196613 VRC196631:VRC196632 VRC196651 VRC196656 VRC262141:VRC262149 VRC262167:VRC262168 VRC262187 VRC262192 VRC327677:VRC327685 VRC327703:VRC327704 VRC327723 VRC327728 VRC393213:VRC393221 VRC393239:VRC393240 VRC393259 VRC393264 VRC458749:VRC458757 VRC458775:VRC458776 VRC458795 VRC458800 VRC524285:VRC524293 VRC524311:VRC524312 VRC524331 VRC524336 VRC589821:VRC589829 VRC589847:VRC589848 VRC589867 VRC589872 VRC655357:VRC655365 VRC655383:VRC655384 VRC655403 VRC655408 VRC720893:VRC720901 VRC720919:VRC720920 VRC720939 VRC720944 VRC786429:VRC786437 VRC786455:VRC786456 VRC786475 VRC786480 VRC851965:VRC851973 VRC851991:VRC851992 VRC852011 VRC852016 VRC917501:VRC917509 VRC917527:VRC917528 VRC917547 VRC917552 VRC983037:VRC983045 VRC983063:VRC983064 VRC983083 VRC983088 VRN65518:VRN65528 VRN131054:VRN131064 VRN196590:VRN196600 VRN262126:VRN262136 VRN327662:VRN327672 VRN393198:VRN393208 VRN458734:VRN458744 VRN524270:VRN524280 VRN589806:VRN589816 VRN655342:VRN655352 VRN720878:VRN720888 VRN786414:VRN786424 VRN851950:VRN851960 VRN917486:VRN917496 VRN983022:VRN983032 WAY15:WAY22 WAY38:WAY43 WAY52:WAY53 WAY65533:WAY65541 WAY65559:WAY65560 WAY65579 WAY65584 WAY131069:WAY131077 WAY131095:WAY131096 WAY131115 WAY131120 WAY196605:WAY196613 WAY196631:WAY196632 WAY196651 WAY196656 WAY262141:WAY262149 WAY262167:WAY262168 WAY262187 WAY262192 WAY327677:WAY327685 WAY327703:WAY327704 WAY327723 WAY327728 WAY393213:WAY393221 WAY393239:WAY393240 WAY393259 WAY393264 WAY458749:WAY458757 WAY458775:WAY458776 WAY458795 WAY458800 WAY524285:WAY524293 WAY524311:WAY524312 WAY524331 WAY524336 WAY589821:WAY589829 WAY589847:WAY589848 WAY589867 WAY589872 WAY655357:WAY655365 WAY655383:WAY655384 WAY655403 WAY655408 WAY720893:WAY720901 WAY720919:WAY720920 WAY720939 WAY720944 WAY786429:WAY786437 WAY786455:WAY786456 WAY786475 WAY786480 WAY851965:WAY851973 WAY851991:WAY851992 WAY852011 WAY852016 WAY917501:WAY917509 WAY917527:WAY917528 WAY917547 WAY917552 WAY983037:WAY983045 WAY983063:WAY983064 WAY983083 WAY983088 WBJ65518:WBJ65528 WBJ131054:WBJ131064 WBJ196590:WBJ196600 WBJ262126:WBJ262136 WBJ327662:WBJ327672 WBJ393198:WBJ393208 WBJ458734:WBJ458744 WBJ524270:WBJ524280 WBJ589806:WBJ589816 WBJ655342:WBJ655352 WBJ720878:WBJ720888 WBJ786414:WBJ786424 WBJ851950:WBJ851960 WBJ917486:WBJ917496 WBJ983022:WBJ983032 WKU15:WKU22 WKU38:WKU43 WKU52:WKU53 WKU65533:WKU65541 WKU65559:WKU65560 WKU65579 WKU65584 WKU131069:WKU131077 WKU131095:WKU131096 WKU131115 WKU131120 WKU196605:WKU196613 WKU196631:WKU196632 WKU196651 WKU196656 WKU262141:WKU262149 WKU262167:WKU262168 WKU262187 WKU262192 WKU327677:WKU327685 WKU327703:WKU327704 WKU327723 WKU327728 WKU393213:WKU393221 WKU393239:WKU393240 WKU393259 WKU393264 WKU458749:WKU458757 WKU458775:WKU458776 WKU458795 WKU458800 WKU524285:WKU524293 WKU524311:WKU524312 WKU524331 WKU524336 WKU589821:WKU589829 WKU589847:WKU589848 WKU589867 WKU589872 WKU655357:WKU655365 WKU655383:WKU655384 WKU655403 WKU655408 WKU720893:WKU720901 WKU720919:WKU720920 WKU720939 WKU720944 WKU786429:WKU786437 WKU786455:WKU786456 WKU786475 WKU786480 WKU851965:WKU851973 WKU851991:WKU851992 WKU852011 WKU852016 WKU917501:WKU917509 WKU917527:WKU917528 WKU917547 WKU917552 WKU983037:WKU983045 WKU983063:WKU983064 WKU983083 WKU983088 WLF65518:WLF65528 WLF131054:WLF131064 WLF196590:WLF196600 WLF262126:WLF262136 WLF327662:WLF327672 WLF393198:WLF393208 WLF458734:WLF458744 WLF524270:WLF524280 WLF589806:WLF589816 WLF655342:WLF655352 WLF720878:WLF720888 WLF786414:WLF786424 WLF851950:WLF851960 WLF917486:WLF917496 WLF983022:WLF983032 WUQ15:WUQ22 WUQ38:WUQ43 WUQ52:WUQ53 WUQ65533:WUQ65541 WUQ65559:WUQ65560 WUQ65579 WUQ65584 WUQ131069:WUQ131077 WUQ131095:WUQ131096 WUQ131115 WUQ131120 WUQ196605:WUQ196613 WUQ196631:WUQ196632 WUQ196651 WUQ196656 WUQ262141:WUQ262149 WUQ262167:WUQ262168 WUQ262187 WUQ262192 WUQ327677:WUQ327685 WUQ327703:WUQ327704 WUQ327723 WUQ327728 WUQ393213:WUQ393221 WUQ393239:WUQ393240 WUQ393259 WUQ393264 WUQ458749:WUQ458757 WUQ458775:WUQ458776 WUQ458795 WUQ458800 WUQ524285:WUQ524293 WUQ524311:WUQ524312 WUQ524331 WUQ524336 WUQ589821:WUQ589829 WUQ589847:WUQ589848 WUQ589867 WUQ589872 WUQ655357:WUQ655365 WUQ655383:WUQ655384 WUQ655403 WUQ655408 WUQ720893:WUQ720901 WUQ720919:WUQ720920 WUQ720939 WUQ720944 WUQ786429:WUQ786437 WUQ786455:WUQ786456 WUQ786475 WUQ786480 WUQ851965:WUQ851973 WUQ851991:WUQ851992 WUQ852011 WUQ852016 WUQ917501:WUQ917509 WUQ917527:WUQ917528 WUQ917547 WUQ917552 WUQ983037:WUQ983045 WUQ983063:WUQ983064 WUQ983083 WUQ983088 WVB65518:WVB65528 WVB131054:WVB131064 WVB196590:WVB196600 WVB262126:WVB262136 WVB327662:WVB327672 WVB393198:WVB393208 WVB458734:WVB458744 WVB524270:WVB524280 WVB589806:WVB589816 WVB655342:WVB655352 WVB720878:WVB720888 WVB786414:WVB786424 WVB851950:WVB851960 WVB917486:WVB917496 WVB983022:WVB983032" showDropDown="0" showInputMessage="1" showErrorMessage="1" allowBlank="1" type="list">
      <formula1>#REF!</formula1>
    </dataValidation>
    <dataValidation sqref="C13" showDropDown="0" showInputMessage="1" showErrorMessage="1" allowBlank="1" type="list">
      <formula1>"SELECT MODEL,INTERNAL,EXTERNAL"</formula1>
    </dataValidation>
    <dataValidation sqref="C25" showDropDown="0" showInputMessage="1" showErrorMessage="1" allowBlank="1" type="list">
      <formula1>"SELECT CONTROLS,SMARTEC, REMOTE TOUCH SCREEN"</formula1>
    </dataValidation>
  </dataValidations>
  <printOptions horizontalCentered="1"/>
  <pageMargins left="0.7874015748031497" right="0.3543307086614174" top="0.3937007874015748" bottom="0.3937007874015748" header="0.3149606299212598" footer="0.1181102362204725"/>
  <pageSetup orientation="portrait" paperSize="9" scale="49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Sheet14">
    <tabColor theme="0" tint="-0.249977111117893"/>
    <outlinePr summaryBelow="1" summaryRight="1"/>
    <pageSetUpPr/>
  </sheetPr>
  <dimension ref="B2:V94"/>
  <sheetViews>
    <sheetView zoomScale="90" zoomScaleNormal="90" workbookViewId="0">
      <selection activeCell="U9" sqref="U9"/>
    </sheetView>
  </sheetViews>
  <sheetFormatPr baseColWidth="10" defaultColWidth="8.83203125" defaultRowHeight="13"/>
  <cols>
    <col width="13" customWidth="1" style="1085" min="2" max="2"/>
    <col width="10.1640625" customWidth="1" style="1085" min="3" max="3"/>
    <col width="10.5" customWidth="1" style="1085" min="5" max="5"/>
    <col width="10.5" customWidth="1" style="1085" min="7" max="7"/>
    <col width="10.33203125" customWidth="1" style="1085" min="9" max="9"/>
    <col width="10.5" customWidth="1" style="1085" min="11" max="11"/>
    <col width="10.5" customWidth="1" style="1085" min="13" max="13"/>
    <col width="10.1640625" customWidth="1" style="1085" min="15" max="15"/>
    <col width="9.1640625" customWidth="1" style="501" min="16" max="16"/>
    <col width="13.1640625" customWidth="1" style="1085" min="18" max="18"/>
    <col width="8.83203125" customWidth="1" style="501" min="20" max="20"/>
    <col width="5.6640625" customWidth="1" style="1085" min="21" max="21"/>
    <col width="12.33203125" customWidth="1" style="1085" min="22" max="22"/>
    <col width="11.5" customWidth="1" style="1085" min="23" max="23"/>
  </cols>
  <sheetData>
    <row r="1" ht="14" customHeight="1" s="1085" thickBot="1"/>
    <row r="2" ht="16" customHeight="1" s="1085" thickBot="1">
      <c r="B2" s="1081" t="inlineStr">
        <is>
          <t xml:space="preserve">GALVANISED EXTRACT DUCTWORK COSTS </t>
        </is>
      </c>
      <c r="C2" s="1082" t="n"/>
      <c r="D2" s="1082" t="n"/>
      <c r="E2" s="1083" t="n"/>
      <c r="G2" s="568" t="inlineStr">
        <is>
          <t xml:space="preserve">PROJECT                                                                                       </t>
        </is>
      </c>
      <c r="H2" s="1081">
        <f>IF(CANOPY!G3="","",CANOPY!G3)</f>
        <v/>
      </c>
      <c r="I2" s="1082" t="n"/>
      <c r="J2" s="1082" t="n"/>
      <c r="K2" s="1082" t="n"/>
      <c r="L2" s="1083" t="n"/>
      <c r="M2" s="569" t="inlineStr">
        <is>
          <t>REF</t>
        </is>
      </c>
      <c r="N2" s="1081">
        <f>IF(CANOPY!C3="","",CANOPY!C3)</f>
        <v/>
      </c>
      <c r="O2" s="1083" t="n"/>
      <c r="Q2" s="502" t="n"/>
      <c r="R2" s="555" t="inlineStr">
        <is>
          <t>TOTAL</t>
        </is>
      </c>
      <c r="T2" s="941" t="inlineStr">
        <is>
          <t>COST Inc. PRICE INCREASE</t>
        </is>
      </c>
      <c r="U2" s="942" t="n"/>
      <c r="V2" s="943" t="n"/>
    </row>
    <row r="3" ht="14" customHeight="1" s="1085" thickBot="1">
      <c r="B3" s="1084" t="inlineStr">
        <is>
          <t>Courtesy AIRTRACE NOV 2016  -  No change in price NOV 2018</t>
        </is>
      </c>
      <c r="R3" s="556">
        <f>R25+R48+R71+R94</f>
        <v/>
      </c>
      <c r="T3" s="940" t="inlineStr">
        <is>
          <t>DATE</t>
        </is>
      </c>
      <c r="U3" s="940" t="inlineStr">
        <is>
          <t>%</t>
        </is>
      </c>
      <c r="V3" s="939" t="n"/>
    </row>
    <row r="4" ht="14" customHeight="1" s="1085" thickBot="1">
      <c r="T4" s="618" t="n">
        <v>2017</v>
      </c>
      <c r="U4" s="619" t="n">
        <v>0.03</v>
      </c>
      <c r="V4" s="620" t="inlineStr">
        <is>
          <t>ALL COSTS</t>
        </is>
      </c>
    </row>
    <row r="5" ht="15" customHeight="1" s="1085">
      <c r="C5" s="503" t="inlineStr">
        <is>
          <t>Size</t>
        </is>
      </c>
      <c r="D5" s="504" t="inlineStr">
        <is>
          <t>No. Off</t>
        </is>
      </c>
      <c r="E5" s="504" t="inlineStr">
        <is>
          <t>Size</t>
        </is>
      </c>
      <c r="F5" s="504" t="inlineStr">
        <is>
          <t>No. Off</t>
        </is>
      </c>
      <c r="G5" s="504" t="inlineStr">
        <is>
          <t>Size</t>
        </is>
      </c>
      <c r="H5" s="504" t="inlineStr">
        <is>
          <t>No. Off</t>
        </is>
      </c>
      <c r="I5" s="504" t="inlineStr">
        <is>
          <t>Size</t>
        </is>
      </c>
      <c r="J5" s="504" t="inlineStr">
        <is>
          <t>No. Off</t>
        </is>
      </c>
      <c r="K5" s="504" t="inlineStr">
        <is>
          <t>Size</t>
        </is>
      </c>
      <c r="L5" s="504" t="inlineStr">
        <is>
          <t>No. Off</t>
        </is>
      </c>
      <c r="M5" s="504" t="inlineStr">
        <is>
          <t>Size</t>
        </is>
      </c>
      <c r="N5" s="504" t="inlineStr">
        <is>
          <t>No. Off</t>
        </is>
      </c>
      <c r="O5" s="504" t="n"/>
      <c r="P5" s="504" t="n"/>
      <c r="Q5" s="505" t="n"/>
      <c r="R5" s="506" t="inlineStr">
        <is>
          <t>Total</t>
        </is>
      </c>
      <c r="T5" s="934" t="n">
        <v>2024</v>
      </c>
      <c r="U5" s="935" t="n">
        <v>0.4</v>
      </c>
      <c r="V5" s="944">
        <f>R3*U5+R3</f>
        <v/>
      </c>
    </row>
    <row r="6" ht="16" customHeight="1" s="1085" thickBot="1">
      <c r="C6" s="507" t="inlineStr">
        <is>
          <t>200x200</t>
        </is>
      </c>
      <c r="D6" s="508" t="n"/>
      <c r="E6" s="509" t="inlineStr">
        <is>
          <t>250x250</t>
        </is>
      </c>
      <c r="F6" s="508" t="n"/>
      <c r="G6" s="510" t="inlineStr">
        <is>
          <t>300x300</t>
        </is>
      </c>
      <c r="H6" s="508" t="n"/>
      <c r="I6" s="509" t="inlineStr">
        <is>
          <t>350x350</t>
        </is>
      </c>
      <c r="J6" s="508" t="n"/>
      <c r="K6" s="510" t="inlineStr">
        <is>
          <t>400x400</t>
        </is>
      </c>
      <c r="L6" s="508" t="n"/>
      <c r="M6" s="509" t="inlineStr">
        <is>
          <t>450x450</t>
        </is>
      </c>
      <c r="N6" s="508" t="n"/>
      <c r="O6" s="511" t="n"/>
      <c r="P6" s="508" t="n"/>
      <c r="Q6" s="512" t="n"/>
      <c r="R6" s="513" t="n"/>
    </row>
    <row r="7" ht="15" customHeight="1" s="1085">
      <c r="B7" s="514" t="inlineStr">
        <is>
          <t>Spigot</t>
        </is>
      </c>
      <c r="C7" s="515" t="n">
        <v>17.83</v>
      </c>
      <c r="D7" s="516" t="n"/>
      <c r="E7" s="517" t="n">
        <v>19.65</v>
      </c>
      <c r="F7" s="518" t="n"/>
      <c r="G7" s="519" t="n">
        <v>21.66</v>
      </c>
      <c r="H7" s="516" t="n"/>
      <c r="I7" s="520" t="n">
        <v>23.3</v>
      </c>
      <c r="J7" s="518" t="n"/>
      <c r="K7" s="519" t="n">
        <v>25</v>
      </c>
      <c r="L7" s="516" t="n"/>
      <c r="M7" s="520" t="n">
        <v>26.9</v>
      </c>
      <c r="N7" s="518" t="n"/>
      <c r="O7" s="521" t="n"/>
      <c r="P7" s="623" t="n"/>
      <c r="Q7" s="505" t="n"/>
      <c r="R7" s="522">
        <f>SUM(C7*D7+E7*F7+G7*H7+I7*J7+K7*L7+M7*+N7+O7*P7)</f>
        <v/>
      </c>
    </row>
    <row r="8" ht="15" customHeight="1" s="1085">
      <c r="B8" s="523" t="inlineStr">
        <is>
          <t>1.5m Sraight</t>
        </is>
      </c>
      <c r="C8" s="524" t="n">
        <v>41.24</v>
      </c>
      <c r="D8" s="525" t="n"/>
      <c r="E8" s="526" t="n">
        <v>47.3</v>
      </c>
      <c r="F8" s="527" t="n"/>
      <c r="G8" s="528" t="n">
        <v>54.24</v>
      </c>
      <c r="H8" s="525" t="n"/>
      <c r="I8" s="529" t="n">
        <v>58.57</v>
      </c>
      <c r="J8" s="527" t="n"/>
      <c r="K8" s="528" t="n">
        <v>63.31</v>
      </c>
      <c r="L8" s="525" t="n"/>
      <c r="M8" s="529" t="n">
        <v>68.36</v>
      </c>
      <c r="N8" s="527" t="n"/>
      <c r="O8" s="530" t="n"/>
      <c r="P8" s="535" t="n"/>
      <c r="Q8" s="531" t="n"/>
      <c r="R8" s="532">
        <f>SUM(C8*D8+E8*F8+G8*H8+I8*J8+K8*L8+M8*+N8+O8*P8)</f>
        <v/>
      </c>
    </row>
    <row r="9" ht="15" customHeight="1" s="1085">
      <c r="B9" s="523" t="inlineStr">
        <is>
          <t>90 Rad Bend</t>
        </is>
      </c>
      <c r="C9" s="524" t="n">
        <v>46.36</v>
      </c>
      <c r="D9" s="525" t="n"/>
      <c r="E9" s="526" t="n">
        <v>51.97</v>
      </c>
      <c r="F9" s="527" t="n"/>
      <c r="G9" s="528" t="n">
        <v>58.26</v>
      </c>
      <c r="H9" s="525" t="n"/>
      <c r="I9" s="529" t="n">
        <v>62.91</v>
      </c>
      <c r="J9" s="527" t="n"/>
      <c r="K9" s="528" t="n">
        <v>84.58</v>
      </c>
      <c r="L9" s="525" t="n"/>
      <c r="M9" s="529" t="n">
        <v>91.19</v>
      </c>
      <c r="N9" s="527" t="n"/>
      <c r="O9" s="530" t="n"/>
      <c r="P9" s="535" t="n"/>
      <c r="Q9" s="531" t="n"/>
      <c r="R9" s="532">
        <f>SUM(C9*D9+E9*F9+G9*H9+I9*J9+K9*L9+M9*+N9+O9*P9)</f>
        <v/>
      </c>
    </row>
    <row r="10" ht="15" customHeight="1" s="1085">
      <c r="B10" s="523" t="inlineStr">
        <is>
          <t>45 Bend</t>
        </is>
      </c>
      <c r="C10" s="524" t="n">
        <v>39.54</v>
      </c>
      <c r="D10" s="525" t="n"/>
      <c r="E10" s="526" t="n">
        <v>44.32</v>
      </c>
      <c r="F10" s="527" t="n"/>
      <c r="G10" s="528" t="n">
        <v>49.69</v>
      </c>
      <c r="H10" s="525" t="n"/>
      <c r="I10" s="529" t="n">
        <v>53.56</v>
      </c>
      <c r="J10" s="527" t="n"/>
      <c r="K10" s="528" t="n">
        <v>57.83</v>
      </c>
      <c r="L10" s="525" t="n"/>
      <c r="M10" s="529" t="n">
        <v>62.34</v>
      </c>
      <c r="N10" s="527" t="n"/>
      <c r="O10" s="530" t="n"/>
      <c r="P10" s="535" t="n"/>
      <c r="Q10" s="531" t="n"/>
      <c r="R10" s="532">
        <f>SUM(C10*D10+E10*F10+G10*H10+I10*J10+K10*L10+M10*+N10+O10*P10)</f>
        <v/>
      </c>
    </row>
    <row r="11" ht="15" customHeight="1" s="1085">
      <c r="B11" s="523" t="inlineStr">
        <is>
          <t>90 Sq Bend</t>
        </is>
      </c>
      <c r="C11" s="524" t="n">
        <v>48.83</v>
      </c>
      <c r="D11" s="525" t="n"/>
      <c r="E11" s="526" t="n">
        <v>56</v>
      </c>
      <c r="F11" s="527" t="n"/>
      <c r="G11" s="528" t="n">
        <v>64.22</v>
      </c>
      <c r="H11" s="525" t="n"/>
      <c r="I11" s="529" t="n">
        <v>69.34999999999999</v>
      </c>
      <c r="J11" s="527" t="n"/>
      <c r="K11" s="528" t="n">
        <v>75.65000000000001</v>
      </c>
      <c r="L11" s="525" t="n"/>
      <c r="M11" s="529" t="n">
        <v>82.14</v>
      </c>
      <c r="N11" s="527" t="n"/>
      <c r="O11" s="530" t="n"/>
      <c r="P11" s="535" t="n"/>
      <c r="Q11" s="531" t="n"/>
      <c r="R11" s="532">
        <f>SUM(C11*D11+E11*F11+G11*H11+I11*J11+K11*L11+M11*+N11+O11*P11)</f>
        <v/>
      </c>
    </row>
    <row r="12" ht="15" customHeight="1" s="1085">
      <c r="B12" s="523" t="inlineStr">
        <is>
          <t>Rad Tee</t>
        </is>
      </c>
      <c r="C12" s="524" t="n">
        <v>68.13</v>
      </c>
      <c r="D12" s="525" t="n"/>
      <c r="E12" s="526" t="n">
        <v>78.13</v>
      </c>
      <c r="F12" s="527" t="n"/>
      <c r="G12" s="528" t="n">
        <v>89.59999999999999</v>
      </c>
      <c r="H12" s="525" t="n"/>
      <c r="I12" s="529" t="n">
        <v>96.75</v>
      </c>
      <c r="J12" s="527" t="n"/>
      <c r="K12" s="528" t="n">
        <v>130.08</v>
      </c>
      <c r="L12" s="525" t="n"/>
      <c r="M12" s="529" t="n">
        <v>140.25</v>
      </c>
      <c r="N12" s="527" t="n"/>
      <c r="O12" s="530" t="n"/>
      <c r="P12" s="535" t="n"/>
      <c r="Q12" s="531" t="n"/>
      <c r="R12" s="532">
        <f>SUM(C12*D12+E12*F12+G12*H12+I12*J12+K12*L12+M12*+N12+O12*P12)</f>
        <v/>
      </c>
    </row>
    <row r="13" ht="15" customHeight="1" s="1085">
      <c r="B13" s="523" t="inlineStr">
        <is>
          <t>Square Tee</t>
        </is>
      </c>
      <c r="C13" s="524" t="n">
        <v>56.59</v>
      </c>
      <c r="D13" s="525" t="n"/>
      <c r="E13" s="526" t="n">
        <v>64.89</v>
      </c>
      <c r="F13" s="527" t="n"/>
      <c r="G13" s="528" t="n">
        <v>74.42</v>
      </c>
      <c r="H13" s="525" t="n"/>
      <c r="I13" s="529" t="n">
        <v>80.36</v>
      </c>
      <c r="J13" s="527" t="n"/>
      <c r="K13" s="528" t="n">
        <v>86.86</v>
      </c>
      <c r="L13" s="525" t="n"/>
      <c r="M13" s="529" t="n">
        <v>94.31</v>
      </c>
      <c r="N13" s="527" t="n"/>
      <c r="O13" s="530" t="n"/>
      <c r="P13" s="535" t="n"/>
      <c r="Q13" s="531" t="n"/>
      <c r="R13" s="532">
        <f>SUM(C13*D13+E13*F13+G13*H13+I13*J13+K13*L13+M13*+N13+O13*P13)</f>
        <v/>
      </c>
    </row>
    <row r="14" ht="15" customHeight="1" s="1085">
      <c r="B14" s="523" t="inlineStr">
        <is>
          <t>Taper 0.8m</t>
        </is>
      </c>
      <c r="C14" s="524" t="n">
        <v>46.55</v>
      </c>
      <c r="D14" s="525" t="n"/>
      <c r="E14" s="526" t="n">
        <v>53.38</v>
      </c>
      <c r="F14" s="527" t="n"/>
      <c r="G14" s="528" t="n">
        <v>61.22</v>
      </c>
      <c r="H14" s="525" t="n"/>
      <c r="I14" s="529" t="n">
        <v>66.11</v>
      </c>
      <c r="J14" s="527" t="n"/>
      <c r="K14" s="528" t="n">
        <v>71.45</v>
      </c>
      <c r="L14" s="525" t="n"/>
      <c r="M14" s="529" t="n">
        <v>77.16</v>
      </c>
      <c r="N14" s="527" t="n"/>
      <c r="O14" s="530" t="n"/>
      <c r="P14" s="535" t="n"/>
      <c r="Q14" s="531" t="n"/>
      <c r="R14" s="532">
        <f>SUM(C14*D14+E14*F14+G14*H14+I14*J14+K14*L14+M14*+N14+O14*P14)</f>
        <v/>
      </c>
    </row>
    <row r="15" ht="15" customHeight="1" s="1085">
      <c r="B15" s="523" t="inlineStr">
        <is>
          <t>Offset 0.8m</t>
        </is>
      </c>
      <c r="C15" s="524" t="n">
        <v>46.55</v>
      </c>
      <c r="D15" s="525" t="n"/>
      <c r="E15" s="526" t="n">
        <v>53.38</v>
      </c>
      <c r="F15" s="527" t="n"/>
      <c r="G15" s="528" t="n">
        <v>61.22</v>
      </c>
      <c r="H15" s="525" t="n"/>
      <c r="I15" s="529" t="n">
        <v>66.11</v>
      </c>
      <c r="J15" s="527" t="n"/>
      <c r="K15" s="528" t="n">
        <v>71.45</v>
      </c>
      <c r="L15" s="525" t="n"/>
      <c r="M15" s="529" t="n">
        <v>77.16</v>
      </c>
      <c r="N15" s="527" t="n"/>
      <c r="O15" s="530" t="n"/>
      <c r="P15" s="535" t="n"/>
      <c r="Q15" s="531" t="n"/>
      <c r="R15" s="532">
        <f>SUM(C15*D15+E15*F15+G15*H15+I15*J15+K15*L15+M15*+N15+O15*P15)</f>
        <v/>
      </c>
    </row>
    <row r="16" ht="15" customHeight="1" s="1085">
      <c r="B16" s="523" t="inlineStr">
        <is>
          <t>Sq to Round</t>
        </is>
      </c>
      <c r="C16" s="524" t="n">
        <v>45.56</v>
      </c>
      <c r="D16" s="525" t="n"/>
      <c r="E16" s="526" t="n">
        <v>51.08</v>
      </c>
      <c r="F16" s="527" t="n"/>
      <c r="G16" s="528" t="n">
        <v>57.26</v>
      </c>
      <c r="H16" s="525" t="n"/>
      <c r="I16" s="529" t="n">
        <v>61.72</v>
      </c>
      <c r="J16" s="527" t="n"/>
      <c r="K16" s="528" t="n">
        <v>66.64</v>
      </c>
      <c r="L16" s="525" t="n"/>
      <c r="M16" s="529" t="n">
        <v>71.83</v>
      </c>
      <c r="N16" s="527" t="n"/>
      <c r="O16" s="530" t="n"/>
      <c r="P16" s="535" t="n"/>
      <c r="Q16" s="531" t="n"/>
      <c r="R16" s="532">
        <f>SUM(C16*D16+E16*F16+G16*H16+I16*J16+K16*L16+M16*+N16+O16*P16)</f>
        <v/>
      </c>
    </row>
    <row r="17" ht="15" customHeight="1" s="1085">
      <c r="B17" s="523" t="inlineStr">
        <is>
          <t>Shoe</t>
        </is>
      </c>
      <c r="C17" s="524" t="n">
        <v>29.21</v>
      </c>
      <c r="D17" s="525" t="n"/>
      <c r="E17" s="526" t="n">
        <v>32.2</v>
      </c>
      <c r="F17" s="527" t="n"/>
      <c r="G17" s="528" t="n">
        <v>35.49</v>
      </c>
      <c r="H17" s="525" t="n"/>
      <c r="I17" s="529" t="n">
        <v>38.18</v>
      </c>
      <c r="J17" s="527" t="n"/>
      <c r="K17" s="528" t="n">
        <v>40.96</v>
      </c>
      <c r="L17" s="525" t="n"/>
      <c r="M17" s="529" t="n">
        <v>44.07</v>
      </c>
      <c r="N17" s="527" t="n"/>
      <c r="O17" s="530" t="n"/>
      <c r="P17" s="535" t="n"/>
      <c r="Q17" s="531" t="n"/>
      <c r="R17" s="532">
        <f>SUM(C17*D17+E17*F17+G17*H17+I17*J17+K17*L17+M17*+N17+O17*P17)</f>
        <v/>
      </c>
    </row>
    <row r="18" ht="15" customHeight="1" s="1085">
      <c r="B18" s="523" t="inlineStr">
        <is>
          <t>Blank End</t>
        </is>
      </c>
      <c r="C18" s="524" t="n">
        <v>5.66</v>
      </c>
      <c r="D18" s="525" t="n"/>
      <c r="E18" s="526" t="n">
        <v>6.5</v>
      </c>
      <c r="F18" s="527" t="n"/>
      <c r="G18" s="528" t="n">
        <v>7.45</v>
      </c>
      <c r="H18" s="525" t="n"/>
      <c r="I18" s="529" t="n">
        <v>8.119999999999999</v>
      </c>
      <c r="J18" s="527" t="n"/>
      <c r="K18" s="528" t="n">
        <v>8.859999999999999</v>
      </c>
      <c r="L18" s="525" t="n"/>
      <c r="M18" s="529" t="n">
        <v>9.65</v>
      </c>
      <c r="N18" s="527" t="n"/>
      <c r="O18" s="530" t="n"/>
      <c r="P18" s="535" t="n"/>
      <c r="Q18" s="531" t="n"/>
      <c r="R18" s="532">
        <f>SUM(C18*D18+E18*F18+G18*H18+I18*J18+K18*L18+M18*+N18+O18*P18)</f>
        <v/>
      </c>
    </row>
    <row r="19" ht="15" customHeight="1" s="1085">
      <c r="B19" s="523" t="inlineStr">
        <is>
          <t>Grille Box</t>
        </is>
      </c>
      <c r="C19" s="524" t="n">
        <v>21.1</v>
      </c>
      <c r="D19" s="525" t="n"/>
      <c r="E19" s="526" t="n">
        <v>24.2</v>
      </c>
      <c r="F19" s="527" t="n"/>
      <c r="G19" s="528" t="n">
        <v>27.75</v>
      </c>
      <c r="H19" s="525" t="n"/>
      <c r="I19" s="529" t="n">
        <v>29.97</v>
      </c>
      <c r="J19" s="527" t="n"/>
      <c r="K19" s="528" t="n">
        <v>32.39</v>
      </c>
      <c r="L19" s="525" t="n"/>
      <c r="M19" s="529" t="n">
        <v>34.97</v>
      </c>
      <c r="N19" s="527" t="n"/>
      <c r="O19" s="530" t="n"/>
      <c r="P19" s="535" t="n"/>
      <c r="Q19" s="531" t="n"/>
      <c r="R19" s="532">
        <f>SUM(C19*D19+E19*F19+G19*H19+I19*J19+K19*L19+M19*+N19+O19*P19)</f>
        <v/>
      </c>
    </row>
    <row r="20" ht="15" customHeight="1" s="1085">
      <c r="B20" s="523" t="inlineStr">
        <is>
          <t>Flange</t>
        </is>
      </c>
      <c r="C20" s="524" t="n">
        <v>7.77</v>
      </c>
      <c r="D20" s="525" t="n"/>
      <c r="E20" s="526" t="n">
        <v>8.56</v>
      </c>
      <c r="F20" s="527" t="n"/>
      <c r="G20" s="528" t="n">
        <v>9.44</v>
      </c>
      <c r="H20" s="525" t="n"/>
      <c r="I20" s="529" t="n">
        <v>10.16</v>
      </c>
      <c r="J20" s="527" t="n"/>
      <c r="K20" s="528" t="n">
        <v>10.9</v>
      </c>
      <c r="L20" s="525" t="n"/>
      <c r="M20" s="529" t="n">
        <v>11.72</v>
      </c>
      <c r="N20" s="527" t="n"/>
      <c r="O20" s="530" t="n"/>
      <c r="P20" s="535" t="n"/>
      <c r="Q20" s="531" t="n"/>
      <c r="R20" s="532">
        <f>SUM(C20*D20+E20*F20+G20*H20+I20*J20+K20*L20+M20*+N20+O20*P20)</f>
        <v/>
      </c>
    </row>
    <row r="21" ht="15" customHeight="1" s="1085">
      <c r="B21" s="523" t="inlineStr">
        <is>
          <t>Access Door</t>
        </is>
      </c>
      <c r="C21" s="524" t="n">
        <v>25</v>
      </c>
      <c r="D21" s="525" t="n"/>
      <c r="E21" s="526" t="n">
        <v>25</v>
      </c>
      <c r="F21" s="527" t="n"/>
      <c r="G21" s="528" t="n">
        <v>28</v>
      </c>
      <c r="H21" s="525" t="n"/>
      <c r="I21" s="529" t="n">
        <v>28</v>
      </c>
      <c r="J21" s="527" t="n"/>
      <c r="K21" s="528" t="n">
        <v>30</v>
      </c>
      <c r="L21" s="525" t="n"/>
      <c r="M21" s="529" t="n">
        <v>32</v>
      </c>
      <c r="N21" s="527" t="n"/>
      <c r="O21" s="530" t="n"/>
      <c r="P21" s="535" t="n"/>
      <c r="Q21" s="531" t="n"/>
      <c r="R21" s="532">
        <f>SUM(C21*D21+E21*F21+G21*H21+I21*J21+K21*L21+M21*+N21+O21*P21)</f>
        <v/>
      </c>
    </row>
    <row r="22" ht="15" customHeight="1" s="1085">
      <c r="B22" s="523" t="inlineStr">
        <is>
          <t>VCD</t>
        </is>
      </c>
      <c r="C22" s="524" t="n">
        <v>32.25</v>
      </c>
      <c r="D22" s="525" t="n"/>
      <c r="E22" s="526" t="n">
        <v>35.4</v>
      </c>
      <c r="F22" s="527" t="n"/>
      <c r="G22" s="528" t="n">
        <v>40.16</v>
      </c>
      <c r="H22" s="525" t="n"/>
      <c r="I22" s="529" t="n">
        <v>45.11</v>
      </c>
      <c r="J22" s="527" t="n"/>
      <c r="K22" s="528" t="n">
        <v>48.76</v>
      </c>
      <c r="L22" s="525" t="n"/>
      <c r="M22" s="529" t="n">
        <v>53.19</v>
      </c>
      <c r="N22" s="527" t="n"/>
      <c r="O22" s="530" t="n"/>
      <c r="P22" s="535" t="n"/>
      <c r="Q22" s="531" t="n"/>
      <c r="R22" s="532">
        <f>SUM(C22*D22+E22*F22+G22*H22+I22*J22+K22*L22+M22*+N22+O22*P22)</f>
        <v/>
      </c>
    </row>
    <row r="23" ht="15" customHeight="1" s="1085">
      <c r="B23" s="533" t="n"/>
      <c r="C23" s="534" t="n"/>
      <c r="D23" s="535" t="n"/>
      <c r="E23" s="535" t="n"/>
      <c r="F23" s="535" t="n"/>
      <c r="G23" s="535" t="n"/>
      <c r="H23" s="535" t="n"/>
      <c r="I23" s="535" t="n"/>
      <c r="J23" s="535" t="n"/>
      <c r="K23" s="535" t="n"/>
      <c r="L23" s="535" t="n"/>
      <c r="M23" s="535" t="n"/>
      <c r="N23" s="535" t="n"/>
      <c r="O23" s="530" t="n"/>
      <c r="P23" s="535" t="n"/>
      <c r="Q23" s="624" t="inlineStr">
        <is>
          <t>S/TOTAL</t>
        </is>
      </c>
      <c r="R23" s="532">
        <f>SUM(R7:R22)</f>
        <v/>
      </c>
    </row>
    <row r="24" ht="15" customHeight="1" s="1085">
      <c r="B24" s="536" t="inlineStr">
        <is>
          <t xml:space="preserve">Supports </t>
        </is>
      </c>
      <c r="C24" s="537" t="n"/>
      <c r="D24" s="538" t="n"/>
      <c r="E24" s="538" t="n"/>
      <c r="F24" s="538" t="n"/>
      <c r="G24" s="538" t="n"/>
      <c r="H24" s="538" t="n"/>
      <c r="I24" s="538" t="n"/>
      <c r="J24" s="538" t="n"/>
      <c r="K24" s="538" t="n"/>
      <c r="L24" s="538" t="n"/>
      <c r="M24" s="538" t="n"/>
      <c r="N24" s="538" t="n"/>
      <c r="O24" s="539" t="n"/>
      <c r="P24" s="538" t="n"/>
      <c r="Q24" s="540" t="n">
        <v>0.15</v>
      </c>
      <c r="R24" s="541">
        <f>SUM(R23*0.15)</f>
        <v/>
      </c>
    </row>
    <row r="25" ht="16" customHeight="1" s="1085" thickBot="1">
      <c r="B25" s="542" t="n"/>
      <c r="C25" s="543" t="n"/>
      <c r="D25" s="544" t="n"/>
      <c r="E25" s="544" t="n"/>
      <c r="F25" s="544" t="n"/>
      <c r="G25" s="544" t="n"/>
      <c r="H25" s="544" t="n"/>
      <c r="I25" s="544" t="n"/>
      <c r="J25" s="544" t="n"/>
      <c r="K25" s="544" t="n"/>
      <c r="L25" s="544" t="n"/>
      <c r="M25" s="544" t="n"/>
      <c r="N25" s="544" t="n"/>
      <c r="O25" s="545" t="n"/>
      <c r="P25" s="544" t="n"/>
      <c r="Q25" s="546" t="inlineStr">
        <is>
          <t>TOTAL</t>
        </is>
      </c>
      <c r="R25" s="547">
        <f>SUM(R23+R24)</f>
        <v/>
      </c>
    </row>
    <row r="27" ht="14" customHeight="1" s="1085" thickBot="1"/>
    <row r="28" ht="15" customHeight="1" s="1085">
      <c r="C28" s="503" t="inlineStr">
        <is>
          <t>Size</t>
        </is>
      </c>
      <c r="D28" s="504" t="inlineStr">
        <is>
          <t>No. Off</t>
        </is>
      </c>
      <c r="E28" s="504" t="inlineStr">
        <is>
          <t>Size</t>
        </is>
      </c>
      <c r="F28" s="504" t="inlineStr">
        <is>
          <t>No. Off</t>
        </is>
      </c>
      <c r="G28" s="504" t="inlineStr">
        <is>
          <t>Size</t>
        </is>
      </c>
      <c r="H28" s="504" t="inlineStr">
        <is>
          <t>No. Off</t>
        </is>
      </c>
      <c r="I28" s="504" t="inlineStr">
        <is>
          <t>Size</t>
        </is>
      </c>
      <c r="J28" s="504" t="inlineStr">
        <is>
          <t>No. Off</t>
        </is>
      </c>
      <c r="K28" s="504" t="inlineStr">
        <is>
          <t>Size</t>
        </is>
      </c>
      <c r="L28" s="504" t="inlineStr">
        <is>
          <t>No. Off</t>
        </is>
      </c>
      <c r="M28" s="504" t="inlineStr">
        <is>
          <t>Size</t>
        </is>
      </c>
      <c r="N28" s="548" t="inlineStr">
        <is>
          <t>No. Off</t>
        </is>
      </c>
      <c r="O28" s="504" t="n"/>
      <c r="P28" s="504" t="n"/>
      <c r="Q28" s="505" t="n"/>
      <c r="R28" s="506" t="inlineStr">
        <is>
          <t>Total</t>
        </is>
      </c>
    </row>
    <row r="29" ht="16" customHeight="1" s="1085" thickBot="1">
      <c r="C29" s="507" t="inlineStr">
        <is>
          <t>500x500</t>
        </is>
      </c>
      <c r="D29" s="508" t="n"/>
      <c r="E29" s="509" t="inlineStr">
        <is>
          <t>550x550</t>
        </is>
      </c>
      <c r="F29" s="508" t="n"/>
      <c r="G29" s="510" t="inlineStr">
        <is>
          <t>600x600</t>
        </is>
      </c>
      <c r="H29" s="508" t="n"/>
      <c r="I29" s="509" t="inlineStr">
        <is>
          <t>650x650</t>
        </is>
      </c>
      <c r="J29" s="508" t="n"/>
      <c r="K29" s="510" t="inlineStr">
        <is>
          <t>700x700</t>
        </is>
      </c>
      <c r="L29" s="508" t="n"/>
      <c r="M29" s="509" t="inlineStr">
        <is>
          <t>750x750</t>
        </is>
      </c>
      <c r="N29" s="549" t="n"/>
      <c r="O29" s="511" t="n"/>
      <c r="P29" s="508" t="n"/>
      <c r="Q29" s="512" t="n"/>
      <c r="R29" s="513" t="n"/>
    </row>
    <row r="30" ht="15" customHeight="1" s="1085">
      <c r="B30" s="514" t="inlineStr">
        <is>
          <t>Spigot</t>
        </is>
      </c>
      <c r="C30" s="515" t="n">
        <v>28.86</v>
      </c>
      <c r="D30" s="516" t="n"/>
      <c r="E30" s="517" t="n">
        <v>31.04</v>
      </c>
      <c r="F30" s="518" t="n"/>
      <c r="G30" s="519" t="n">
        <v>33.3</v>
      </c>
      <c r="H30" s="516" t="n"/>
      <c r="I30" s="520" t="n">
        <v>35.83</v>
      </c>
      <c r="J30" s="518" t="n"/>
      <c r="K30" s="519" t="n">
        <v>38.44</v>
      </c>
      <c r="L30" s="516" t="n"/>
      <c r="M30" s="520" t="n">
        <v>41.36</v>
      </c>
      <c r="N30" s="518" t="n"/>
      <c r="O30" s="521" t="n"/>
      <c r="P30" s="623" t="n"/>
      <c r="Q30" s="505" t="n"/>
      <c r="R30" s="522">
        <f>SUM(C30*D30+E30*F30+G30*H30+I30*J30+K30*L30+M30*+N30+O30*P30)</f>
        <v/>
      </c>
    </row>
    <row r="31" ht="15" customHeight="1" s="1085">
      <c r="B31" s="523" t="inlineStr">
        <is>
          <t>1.5m Sraight</t>
        </is>
      </c>
      <c r="C31" s="524" t="n">
        <v>73.89</v>
      </c>
      <c r="D31" s="525" t="n"/>
      <c r="E31" s="526" t="n">
        <v>79.78</v>
      </c>
      <c r="F31" s="527" t="n"/>
      <c r="G31" s="528" t="n">
        <v>86.23</v>
      </c>
      <c r="H31" s="525" t="n"/>
      <c r="I31" s="529" t="n">
        <v>93.12</v>
      </c>
      <c r="J31" s="527" t="n"/>
      <c r="K31" s="528" t="n">
        <v>100.65</v>
      </c>
      <c r="L31" s="525" t="n"/>
      <c r="M31" s="529" t="n">
        <v>108.68</v>
      </c>
      <c r="N31" s="527" t="n"/>
      <c r="O31" s="530" t="n"/>
      <c r="P31" s="535" t="n"/>
      <c r="Q31" s="531" t="n"/>
      <c r="R31" s="532">
        <f>SUM(C31*D31+E31*F31+G31*H31+I31*J31+K31*L31+M31*+N31+O31*P31)</f>
        <v/>
      </c>
    </row>
    <row r="32" ht="15" customHeight="1" s="1085">
      <c r="B32" s="523" t="inlineStr">
        <is>
          <t>90 Rad Bend</t>
        </is>
      </c>
      <c r="C32" s="524" t="n">
        <v>98.31999999999999</v>
      </c>
      <c r="D32" s="525" t="n"/>
      <c r="E32" s="526" t="n">
        <v>106</v>
      </c>
      <c r="F32" s="527" t="n"/>
      <c r="G32" s="528" t="n">
        <v>114.28</v>
      </c>
      <c r="H32" s="525" t="n"/>
      <c r="I32" s="529" t="n">
        <v>123.21</v>
      </c>
      <c r="J32" s="527" t="n"/>
      <c r="K32" s="528" t="n">
        <v>132.84</v>
      </c>
      <c r="L32" s="525" t="n"/>
      <c r="M32" s="529" t="n">
        <v>143.22</v>
      </c>
      <c r="N32" s="527" t="n"/>
      <c r="O32" s="530" t="n"/>
      <c r="P32" s="535" t="n"/>
      <c r="Q32" s="531" t="n"/>
      <c r="R32" s="532">
        <f>SUM(C32*D32+E32*F32+G32*H32+I32*J32+K32*L32+M32*+N32+O32*P32)</f>
        <v/>
      </c>
    </row>
    <row r="33" ht="15" customHeight="1" s="1085">
      <c r="B33" s="523" t="inlineStr">
        <is>
          <t>45 Bend</t>
        </is>
      </c>
      <c r="C33" s="524" t="n">
        <v>67.31</v>
      </c>
      <c r="D33" s="525" t="n"/>
      <c r="E33" s="526" t="n">
        <v>72.55</v>
      </c>
      <c r="F33" s="527" t="n"/>
      <c r="G33" s="528" t="n">
        <v>78.34</v>
      </c>
      <c r="H33" s="525" t="n"/>
      <c r="I33" s="529" t="n">
        <v>84.44</v>
      </c>
      <c r="J33" s="527" t="n"/>
      <c r="K33" s="528" t="n">
        <v>91.19</v>
      </c>
      <c r="L33" s="525" t="n"/>
      <c r="M33" s="529" t="n">
        <v>98.28</v>
      </c>
      <c r="N33" s="527" t="n"/>
      <c r="O33" s="530" t="n"/>
      <c r="P33" s="535" t="n"/>
      <c r="Q33" s="531" t="n"/>
      <c r="R33" s="532">
        <f>SUM(C33*D33+E33*F33+G33*H33+I33*J33+K33*L33+M33*+N33+O33*P33)</f>
        <v/>
      </c>
    </row>
    <row r="34" ht="15" customHeight="1" s="1085">
      <c r="B34" s="523" t="inlineStr">
        <is>
          <t>90 Sq Bend</t>
        </is>
      </c>
      <c r="C34" s="524" t="n">
        <v>89.59999999999999</v>
      </c>
      <c r="D34" s="525" t="n"/>
      <c r="E34" s="526" t="n">
        <v>97.29000000000001</v>
      </c>
      <c r="F34" s="527" t="n"/>
      <c r="G34" s="528" t="n">
        <v>106.13</v>
      </c>
      <c r="H34" s="525" t="n"/>
      <c r="I34" s="529" t="n">
        <v>115.24</v>
      </c>
      <c r="J34" s="527" t="n"/>
      <c r="K34" s="528" t="n">
        <v>125.71</v>
      </c>
      <c r="L34" s="525" t="n"/>
      <c r="M34" s="529" t="n">
        <v>136.5</v>
      </c>
      <c r="N34" s="527" t="n"/>
      <c r="O34" s="530" t="n"/>
      <c r="P34" s="535" t="n"/>
      <c r="Q34" s="531" t="n"/>
      <c r="R34" s="532">
        <f>SUM(C34*D34+E34*F34+G34*H34+I34*J34+K34*L34+M34*+N34+O34*P34)</f>
        <v/>
      </c>
    </row>
    <row r="35" ht="15" customHeight="1" s="1085">
      <c r="B35" s="523" t="inlineStr">
        <is>
          <t>Rad Tee</t>
        </is>
      </c>
      <c r="C35" s="524" t="n">
        <v>151.2</v>
      </c>
      <c r="D35" s="525" t="n"/>
      <c r="E35" s="526" t="n">
        <v>163.02</v>
      </c>
      <c r="F35" s="527" t="n"/>
      <c r="G35" s="528" t="n">
        <v>175.76</v>
      </c>
      <c r="H35" s="525" t="n"/>
      <c r="I35" s="529" t="n">
        <v>189.49</v>
      </c>
      <c r="J35" s="527" t="n"/>
      <c r="K35" s="621" t="n">
        <v>204.29</v>
      </c>
      <c r="L35" s="525" t="n"/>
      <c r="M35" s="529" t="n">
        <v>220.26</v>
      </c>
      <c r="N35" s="527" t="n"/>
      <c r="O35" s="530" t="n"/>
      <c r="P35" s="535" t="n"/>
      <c r="Q35" s="531" t="n"/>
      <c r="R35" s="532">
        <f>SUM(C35*D35+E35*F35+G35*H35+I35*J35+K35*L35+M35*+N35+O35*P35)</f>
        <v/>
      </c>
    </row>
    <row r="36" ht="15" customHeight="1" s="1085">
      <c r="B36" s="523" t="inlineStr">
        <is>
          <t>Square Tee</t>
        </is>
      </c>
      <c r="C36" s="524" t="n">
        <v>101.94</v>
      </c>
      <c r="D36" s="525" t="n"/>
      <c r="E36" s="526" t="n">
        <v>110.69</v>
      </c>
      <c r="F36" s="527" t="n"/>
      <c r="G36" s="528" t="n">
        <v>119.64</v>
      </c>
      <c r="H36" s="525" t="n"/>
      <c r="I36" s="529" t="n">
        <v>129.91</v>
      </c>
      <c r="J36" s="527" t="n"/>
      <c r="K36" s="528" t="n">
        <v>140.41</v>
      </c>
      <c r="L36" s="525" t="n"/>
      <c r="M36" s="529" t="n">
        <v>152.46</v>
      </c>
      <c r="N36" s="527" t="n"/>
      <c r="O36" s="530" t="n"/>
      <c r="P36" s="535" t="n"/>
      <c r="Q36" s="531" t="n"/>
      <c r="R36" s="532">
        <f>SUM(C36*D36+E36*F36+G36*H36+I36*J36+K36*L36+M36*+N36+O36*P36)</f>
        <v/>
      </c>
    </row>
    <row r="37" ht="15" customHeight="1" s="1085">
      <c r="B37" s="523" t="inlineStr">
        <is>
          <t>Taper 0.8m</t>
        </is>
      </c>
      <c r="C37" s="524" t="n">
        <v>83.39</v>
      </c>
      <c r="D37" s="525" t="n"/>
      <c r="E37" s="526" t="n">
        <v>90.05</v>
      </c>
      <c r="F37" s="527" t="n"/>
      <c r="G37" s="528" t="n">
        <v>97.33</v>
      </c>
      <c r="H37" s="525" t="n"/>
      <c r="I37" s="529" t="n">
        <v>105.1</v>
      </c>
      <c r="J37" s="527" t="n"/>
      <c r="K37" s="528" t="n">
        <v>113.6</v>
      </c>
      <c r="L37" s="525" t="n"/>
      <c r="M37" s="529" t="n">
        <v>122.67</v>
      </c>
      <c r="N37" s="527" t="n"/>
      <c r="O37" s="530" t="n"/>
      <c r="P37" s="535" t="n"/>
      <c r="Q37" s="531" t="n"/>
      <c r="R37" s="532">
        <f>SUM(C37*D37+E37*F37+G37*H37+I37*J37+K37*L37+M37*+N37+O37*P37)</f>
        <v/>
      </c>
    </row>
    <row r="38" ht="15" customHeight="1" s="1085">
      <c r="B38" s="523" t="inlineStr">
        <is>
          <t>Offset 0.8m</t>
        </is>
      </c>
      <c r="C38" s="524" t="n">
        <v>83.39</v>
      </c>
      <c r="D38" s="525" t="n"/>
      <c r="E38" s="526" t="n">
        <v>90.05</v>
      </c>
      <c r="F38" s="527" t="n"/>
      <c r="G38" s="528" t="n">
        <v>97.33</v>
      </c>
      <c r="H38" s="525" t="n"/>
      <c r="I38" s="529" t="n">
        <v>105.1</v>
      </c>
      <c r="J38" s="527" t="n"/>
      <c r="K38" s="528" t="n">
        <v>113.6</v>
      </c>
      <c r="L38" s="525" t="n"/>
      <c r="M38" s="529" t="n">
        <v>122.67</v>
      </c>
      <c r="N38" s="527" t="n"/>
      <c r="O38" s="530" t="n"/>
      <c r="P38" s="535" t="n"/>
      <c r="Q38" s="531" t="n"/>
      <c r="R38" s="532">
        <f>SUM(C38*D38+E38*F38+G38*H38+I38*J38+K38*L38+M38*+N38+O38*P38)</f>
        <v/>
      </c>
    </row>
    <row r="39" ht="15" customHeight="1" s="1085">
      <c r="B39" s="523" t="inlineStr">
        <is>
          <t>Sq to Round</t>
        </is>
      </c>
      <c r="C39" s="524" t="n">
        <v>77.56999999999999</v>
      </c>
      <c r="D39" s="525" t="n"/>
      <c r="E39" s="622" t="n">
        <v>83.61</v>
      </c>
      <c r="F39" s="527" t="n"/>
      <c r="G39" s="528" t="n">
        <v>90.28</v>
      </c>
      <c r="H39" s="525" t="n"/>
      <c r="I39" s="529" t="n">
        <v>97.31</v>
      </c>
      <c r="J39" s="527" t="n"/>
      <c r="K39" s="528" t="n">
        <v>105.08</v>
      </c>
      <c r="L39" s="525" t="n"/>
      <c r="M39" s="529" t="n">
        <v>113.26</v>
      </c>
      <c r="N39" s="527" t="n"/>
      <c r="O39" s="530" t="n"/>
      <c r="P39" s="535" t="n"/>
      <c r="Q39" s="531" t="n"/>
      <c r="R39" s="532">
        <f>SUM(C39*D39+E39*F39+G39*H39+I39*J39+K39*L39+M39*+N39+O39*P39)</f>
        <v/>
      </c>
    </row>
    <row r="40" ht="15" customHeight="1" s="1085">
      <c r="B40" s="523" t="inlineStr">
        <is>
          <t>Shoe</t>
        </is>
      </c>
      <c r="C40" s="524" t="n">
        <v>47.28</v>
      </c>
      <c r="D40" s="525" t="n"/>
      <c r="E40" s="526" t="n">
        <v>50.86</v>
      </c>
      <c r="F40" s="527" t="n"/>
      <c r="G40" s="528" t="n">
        <v>54.57</v>
      </c>
      <c r="H40" s="525" t="n"/>
      <c r="I40" s="529" t="n">
        <v>58.71</v>
      </c>
      <c r="J40" s="527" t="n"/>
      <c r="K40" s="528" t="n">
        <v>62.98</v>
      </c>
      <c r="L40" s="525" t="n"/>
      <c r="M40" s="529" t="n">
        <v>67.76000000000001</v>
      </c>
      <c r="N40" s="527" t="n"/>
      <c r="O40" s="530" t="n"/>
      <c r="P40" s="535" t="n"/>
      <c r="Q40" s="531" t="n"/>
      <c r="R40" s="532">
        <f>SUM(C40*D40+E40*F40+G40*H40+I40*J40+K40*L40+M40*+N40+O40*P40)</f>
        <v/>
      </c>
    </row>
    <row r="41" ht="15" customHeight="1" s="1085">
      <c r="B41" s="523" t="inlineStr">
        <is>
          <t>Blank End</t>
        </is>
      </c>
      <c r="C41" s="524" t="n">
        <v>10.53</v>
      </c>
      <c r="D41" s="525" t="n"/>
      <c r="E41" s="526" t="n">
        <v>11.48</v>
      </c>
      <c r="F41" s="527" t="n"/>
      <c r="G41" s="528" t="n">
        <v>12.52</v>
      </c>
      <c r="H41" s="525" t="n"/>
      <c r="I41" s="529" t="n">
        <v>13.64</v>
      </c>
      <c r="J41" s="527" t="n"/>
      <c r="K41" s="528" t="n">
        <v>14.88</v>
      </c>
      <c r="L41" s="525" t="n"/>
      <c r="M41" s="529" t="n">
        <v>16.22</v>
      </c>
      <c r="N41" s="527" t="n"/>
      <c r="O41" s="530" t="n"/>
      <c r="P41" s="535" t="n"/>
      <c r="Q41" s="531" t="n"/>
      <c r="R41" s="532">
        <f>SUM(C41*D41+E41*F41+G41*H41+I41*J41+K41*L41+M41*+N41+O41*P41)</f>
        <v/>
      </c>
    </row>
    <row r="42" ht="15" customHeight="1" s="1085">
      <c r="B42" s="523" t="inlineStr">
        <is>
          <t>Grille Box</t>
        </is>
      </c>
      <c r="C42" s="524" t="n">
        <v>37.8</v>
      </c>
      <c r="D42" s="525" t="n"/>
      <c r="E42" s="526" t="n">
        <v>40.82</v>
      </c>
      <c r="F42" s="527" t="n"/>
      <c r="G42" s="528" t="n">
        <v>44.12</v>
      </c>
      <c r="H42" s="525" t="n"/>
      <c r="I42" s="529" t="n">
        <v>47.64</v>
      </c>
      <c r="J42" s="527" t="n"/>
      <c r="K42" s="528" t="n">
        <v>51.49</v>
      </c>
      <c r="L42" s="525" t="n"/>
      <c r="M42" s="529" t="n">
        <v>55.6</v>
      </c>
      <c r="N42" s="527" t="n"/>
      <c r="O42" s="530" t="n"/>
      <c r="P42" s="535" t="n"/>
      <c r="Q42" s="531" t="n"/>
      <c r="R42" s="532">
        <f>SUM(C42*D42+E42*F42+G42*H42+I42*J42+K42*L42+M42*+N42+O42*P42)</f>
        <v/>
      </c>
    </row>
    <row r="43" ht="15" customHeight="1" s="1085">
      <c r="B43" s="523" t="inlineStr">
        <is>
          <t>Flange</t>
        </is>
      </c>
      <c r="C43" s="524" t="n">
        <v>12.58</v>
      </c>
      <c r="D43" s="525" t="n"/>
      <c r="E43" s="526" t="n">
        <v>13.53</v>
      </c>
      <c r="F43" s="527" t="n"/>
      <c r="G43" s="528" t="n">
        <v>14.52</v>
      </c>
      <c r="H43" s="525" t="n"/>
      <c r="I43" s="529" t="n">
        <v>15.62</v>
      </c>
      <c r="J43" s="527" t="n"/>
      <c r="K43" s="528" t="n">
        <v>16.75</v>
      </c>
      <c r="L43" s="525" t="n"/>
      <c r="M43" s="529" t="n">
        <v>18.02</v>
      </c>
      <c r="N43" s="527" t="n"/>
      <c r="O43" s="530" t="n"/>
      <c r="P43" s="535" t="n"/>
      <c r="Q43" s="531" t="n"/>
      <c r="R43" s="532">
        <f>SUM(C43*D43+E43*F43+G43*H43+I43*J43+K43*L43+M43*+N43+O43*P43)</f>
        <v/>
      </c>
    </row>
    <row r="44" ht="15" customHeight="1" s="1085">
      <c r="B44" s="523" t="inlineStr">
        <is>
          <t>Access Door</t>
        </is>
      </c>
      <c r="C44" s="524" t="n">
        <v>35</v>
      </c>
      <c r="D44" s="525" t="n"/>
      <c r="E44" s="526" t="n">
        <v>48</v>
      </c>
      <c r="F44" s="527" t="n"/>
      <c r="G44" s="528" t="n">
        <v>48</v>
      </c>
      <c r="H44" s="525" t="n"/>
      <c r="I44" s="529" t="n">
        <v>48</v>
      </c>
      <c r="J44" s="527" t="n"/>
      <c r="K44" s="528" t="n">
        <v>48</v>
      </c>
      <c r="L44" s="525" t="n"/>
      <c r="M44" s="529" t="n">
        <v>48</v>
      </c>
      <c r="N44" s="527" t="n"/>
      <c r="O44" s="530" t="n"/>
      <c r="P44" s="535" t="n"/>
      <c r="Q44" s="531" t="n"/>
      <c r="R44" s="532">
        <f>SUM(C44*D44+E44*F44+G44*H44+I44*J44+K44*L44+M44*+N44+O44*P44)</f>
        <v/>
      </c>
    </row>
    <row r="45" ht="15" customHeight="1" s="1085">
      <c r="B45" s="523" t="inlineStr">
        <is>
          <t>VCD</t>
        </is>
      </c>
      <c r="C45" s="524" t="n">
        <v>58.52</v>
      </c>
      <c r="D45" s="525" t="n"/>
      <c r="E45" s="526" t="n">
        <v>62.94</v>
      </c>
      <c r="F45" s="527" t="n"/>
      <c r="G45" s="528" t="n">
        <v>71.89</v>
      </c>
      <c r="H45" s="525" t="n"/>
      <c r="I45" s="529" t="n">
        <v>77.38</v>
      </c>
      <c r="J45" s="527" t="n"/>
      <c r="K45" s="528" t="n">
        <v>84.03</v>
      </c>
      <c r="L45" s="525" t="n"/>
      <c r="M45" s="529" t="n">
        <v>89.84</v>
      </c>
      <c r="N45" s="527" t="n"/>
      <c r="O45" s="530" t="n"/>
      <c r="P45" s="535" t="n"/>
      <c r="Q45" s="531" t="n"/>
      <c r="R45" s="532">
        <f>SUM(C45*D45+E45*F45+G45*H45+I45*J45+K45*L45+M45*+N45+O45*P45)</f>
        <v/>
      </c>
    </row>
    <row r="46" ht="15" customHeight="1" s="1085">
      <c r="B46" s="523" t="n"/>
      <c r="C46" s="550" t="n"/>
      <c r="D46" s="535" t="n"/>
      <c r="E46" s="551" t="n"/>
      <c r="F46" s="535" t="n"/>
      <c r="G46" s="552" t="n"/>
      <c r="H46" s="535" t="n"/>
      <c r="I46" s="552" t="n"/>
      <c r="J46" s="535" t="n"/>
      <c r="K46" s="552" t="n"/>
      <c r="L46" s="535" t="n"/>
      <c r="M46" s="552" t="n"/>
      <c r="N46" s="535" t="n"/>
      <c r="O46" s="530" t="n"/>
      <c r="P46" s="535" t="n"/>
      <c r="Q46" s="625" t="inlineStr">
        <is>
          <t>S/TOTAL</t>
        </is>
      </c>
      <c r="R46" s="541">
        <f>SUM(R30:R45)</f>
        <v/>
      </c>
    </row>
    <row r="47" ht="15" customHeight="1" s="1085">
      <c r="B47" s="523" t="inlineStr">
        <is>
          <t>Supports</t>
        </is>
      </c>
      <c r="C47" s="534" t="n"/>
      <c r="D47" s="535" t="n"/>
      <c r="E47" s="535" t="n"/>
      <c r="F47" s="535" t="n"/>
      <c r="G47" s="535" t="n"/>
      <c r="H47" s="535" t="n"/>
      <c r="I47" s="535" t="n"/>
      <c r="J47" s="535" t="n"/>
      <c r="K47" s="535" t="n"/>
      <c r="L47" s="535" t="n"/>
      <c r="M47" s="535" t="n"/>
      <c r="N47" s="535" t="n"/>
      <c r="O47" s="530" t="n"/>
      <c r="P47" s="535" t="n"/>
      <c r="Q47" s="540" t="n">
        <v>0.15</v>
      </c>
      <c r="R47" s="541">
        <f>SUM(R46*0.15)</f>
        <v/>
      </c>
    </row>
    <row r="48" ht="16" customHeight="1" s="1085" thickBot="1">
      <c r="B48" s="542" t="n"/>
      <c r="C48" s="543" t="n"/>
      <c r="D48" s="544" t="n"/>
      <c r="E48" s="544" t="n"/>
      <c r="F48" s="544" t="n"/>
      <c r="G48" s="544" t="n"/>
      <c r="H48" s="544" t="n"/>
      <c r="I48" s="544" t="n"/>
      <c r="J48" s="544" t="n"/>
      <c r="K48" s="544" t="n"/>
      <c r="L48" s="544" t="n"/>
      <c r="M48" s="544" t="n"/>
      <c r="N48" s="544" t="n"/>
      <c r="O48" s="545" t="n"/>
      <c r="P48" s="544" t="n"/>
      <c r="Q48" s="546" t="inlineStr">
        <is>
          <t>TOTAL</t>
        </is>
      </c>
      <c r="R48" s="547">
        <f>SUM(R46+R47)</f>
        <v/>
      </c>
    </row>
    <row r="50" ht="14" customHeight="1" s="1085" thickBot="1"/>
    <row r="51" ht="15" customHeight="1" s="1085">
      <c r="C51" s="503" t="inlineStr">
        <is>
          <t>Size</t>
        </is>
      </c>
      <c r="D51" s="504" t="inlineStr">
        <is>
          <t>No. Off</t>
        </is>
      </c>
      <c r="E51" s="504" t="inlineStr">
        <is>
          <t>Size</t>
        </is>
      </c>
      <c r="F51" s="504" t="inlineStr">
        <is>
          <t>No. Off</t>
        </is>
      </c>
      <c r="G51" s="504" t="inlineStr">
        <is>
          <t>Size</t>
        </is>
      </c>
      <c r="H51" s="504" t="inlineStr">
        <is>
          <t>No. Off</t>
        </is>
      </c>
      <c r="I51" s="504" t="inlineStr">
        <is>
          <t>Size</t>
        </is>
      </c>
      <c r="J51" s="504" t="inlineStr">
        <is>
          <t>No. Off</t>
        </is>
      </c>
      <c r="K51" s="504" t="inlineStr">
        <is>
          <t>Size</t>
        </is>
      </c>
      <c r="L51" s="504" t="inlineStr">
        <is>
          <t>No. Off</t>
        </is>
      </c>
      <c r="M51" s="504" t="inlineStr">
        <is>
          <t>Size</t>
        </is>
      </c>
      <c r="N51" s="504" t="inlineStr">
        <is>
          <t>No. Off</t>
        </is>
      </c>
      <c r="O51" s="504" t="inlineStr">
        <is>
          <t>Size</t>
        </is>
      </c>
      <c r="P51" s="504" t="inlineStr">
        <is>
          <t>No. Off</t>
        </is>
      </c>
      <c r="Q51" s="505" t="n"/>
      <c r="R51" s="506" t="inlineStr">
        <is>
          <t>Total</t>
        </is>
      </c>
    </row>
    <row r="52" ht="16" customHeight="1" s="1085" thickBot="1">
      <c r="C52" s="507" t="inlineStr">
        <is>
          <t>800x800</t>
        </is>
      </c>
      <c r="D52" s="508" t="n"/>
      <c r="E52" s="509" t="inlineStr">
        <is>
          <t>850x850</t>
        </is>
      </c>
      <c r="F52" s="508" t="n"/>
      <c r="G52" s="510" t="inlineStr">
        <is>
          <t>900x900</t>
        </is>
      </c>
      <c r="H52" s="508" t="n"/>
      <c r="I52" s="509" t="inlineStr">
        <is>
          <t>950x950</t>
        </is>
      </c>
      <c r="J52" s="508" t="n"/>
      <c r="K52" s="510" t="inlineStr">
        <is>
          <t>1000x1000</t>
        </is>
      </c>
      <c r="L52" s="508" t="n"/>
      <c r="M52" s="509" t="inlineStr">
        <is>
          <t>1050x1050</t>
        </is>
      </c>
      <c r="N52" s="508" t="n"/>
      <c r="O52" s="510" t="inlineStr">
        <is>
          <t>1100x1100</t>
        </is>
      </c>
      <c r="P52" s="508" t="n"/>
      <c r="Q52" s="512" t="n"/>
      <c r="R52" s="513" t="n"/>
    </row>
    <row r="53" ht="15" customHeight="1" s="1085">
      <c r="B53" s="514" t="inlineStr">
        <is>
          <t>Spigot</t>
        </is>
      </c>
      <c r="C53" s="515" t="n">
        <v>45.2</v>
      </c>
      <c r="D53" s="516" t="n"/>
      <c r="E53" s="517" t="n">
        <v>48.62</v>
      </c>
      <c r="F53" s="518" t="n"/>
      <c r="G53" s="519" t="n">
        <v>52.16</v>
      </c>
      <c r="H53" s="516" t="n"/>
      <c r="I53" s="520" t="n">
        <v>56.12</v>
      </c>
      <c r="J53" s="518" t="n"/>
      <c r="K53" s="519" t="n">
        <v>61.33</v>
      </c>
      <c r="L53" s="516" t="n"/>
      <c r="M53" s="520" t="n">
        <v>65.98</v>
      </c>
      <c r="N53" s="518" t="n"/>
      <c r="O53" s="553" t="n">
        <v>70.79000000000001</v>
      </c>
      <c r="P53" s="516" t="n"/>
      <c r="Q53" s="505" t="n"/>
      <c r="R53" s="522">
        <f>SUM(C53*D53+E53*F53+G53*H53+I53*J53+K53*L53+M53*+N53+O53*P53)</f>
        <v/>
      </c>
    </row>
    <row r="54" ht="15" customHeight="1" s="1085">
      <c r="B54" s="523" t="inlineStr">
        <is>
          <t>1.5m Sraight</t>
        </is>
      </c>
      <c r="C54" s="524" t="n">
        <v>118.56</v>
      </c>
      <c r="D54" s="525" t="n"/>
      <c r="E54" s="526" t="n">
        <v>128.02</v>
      </c>
      <c r="F54" s="527" t="n"/>
      <c r="G54" s="528" t="n">
        <v>138.37</v>
      </c>
      <c r="H54" s="525" t="n"/>
      <c r="I54" s="529" t="n">
        <v>149.42</v>
      </c>
      <c r="J54" s="527" t="n"/>
      <c r="K54" s="528" t="n">
        <v>162.99</v>
      </c>
      <c r="L54" s="525" t="n"/>
      <c r="M54" s="529" t="n">
        <v>176</v>
      </c>
      <c r="N54" s="527" t="n"/>
      <c r="O54" s="554" t="n">
        <v>190.23</v>
      </c>
      <c r="P54" s="525" t="n"/>
      <c r="Q54" s="531" t="n"/>
      <c r="R54" s="532">
        <f>SUM(C54*D54+E54*F54+G54*H54+I54*J54+K54*L54+M54*+N54+O54*P54)</f>
        <v/>
      </c>
    </row>
    <row r="55" ht="15" customHeight="1" s="1085">
      <c r="B55" s="523" t="inlineStr">
        <is>
          <t>90 Rad Bend</t>
        </is>
      </c>
      <c r="C55" s="524" t="n">
        <v>168.41</v>
      </c>
      <c r="D55" s="525" t="n"/>
      <c r="E55" s="526" t="n">
        <v>181.57</v>
      </c>
      <c r="F55" s="527" t="n"/>
      <c r="G55" s="528" t="n">
        <v>195.76</v>
      </c>
      <c r="H55" s="525" t="n"/>
      <c r="I55" s="529" t="n">
        <v>211.05</v>
      </c>
      <c r="J55" s="527" t="n"/>
      <c r="K55" s="528" t="n">
        <v>227.54</v>
      </c>
      <c r="L55" s="525" t="n"/>
      <c r="M55" s="529" t="n">
        <v>245.32</v>
      </c>
      <c r="N55" s="527" t="n"/>
      <c r="O55" s="554" t="n">
        <v>264.49</v>
      </c>
      <c r="P55" s="525" t="n"/>
      <c r="Q55" s="531" t="n"/>
      <c r="R55" s="532">
        <f>SUM(C55*D55+E55*F55+G55*H55+I55*J55+K55*L55+M55*+N55+O55*P55)</f>
        <v/>
      </c>
    </row>
    <row r="56" ht="15" customHeight="1" s="1085">
      <c r="B56" s="523" t="inlineStr">
        <is>
          <t>45 Bend</t>
        </is>
      </c>
      <c r="C56" s="524" t="n">
        <v>107.11</v>
      </c>
      <c r="D56" s="525" t="n"/>
      <c r="E56" s="526" t="n">
        <v>115.45</v>
      </c>
      <c r="F56" s="527" t="n"/>
      <c r="G56" s="528" t="n">
        <v>124.67</v>
      </c>
      <c r="H56" s="525" t="n"/>
      <c r="I56" s="529" t="n">
        <v>134.37</v>
      </c>
      <c r="J56" s="527" t="n"/>
      <c r="K56" s="528" t="n">
        <v>146.44</v>
      </c>
      <c r="L56" s="525" t="n"/>
      <c r="M56" s="529" t="n">
        <v>157.84</v>
      </c>
      <c r="N56" s="527" t="n"/>
      <c r="O56" s="554" t="n">
        <v>170.45</v>
      </c>
      <c r="P56" s="525" t="n"/>
      <c r="Q56" s="531" t="n"/>
      <c r="R56" s="532">
        <f>SUM(C56*D56+E56*F56+G56*H56+I56*J56+K56*L56+M56*+N56+O56*P56)</f>
        <v/>
      </c>
    </row>
    <row r="57" ht="15" customHeight="1" s="1085">
      <c r="B57" s="523" t="inlineStr">
        <is>
          <t>90 Sq Bend</t>
        </is>
      </c>
      <c r="C57" s="524" t="n">
        <v>148.9</v>
      </c>
      <c r="D57" s="525" t="n"/>
      <c r="E57" s="526" t="n">
        <v>161.68</v>
      </c>
      <c r="F57" s="527" t="n"/>
      <c r="G57" s="528" t="n">
        <v>174.75</v>
      </c>
      <c r="H57" s="525" t="n"/>
      <c r="I57" s="529" t="n">
        <v>189.75</v>
      </c>
      <c r="J57" s="527" t="n"/>
      <c r="K57" s="528" t="n">
        <v>206.99</v>
      </c>
      <c r="L57" s="525" t="n"/>
      <c r="M57" s="529" t="n">
        <v>224.76</v>
      </c>
      <c r="N57" s="527" t="n"/>
      <c r="O57" s="554" t="n">
        <v>242.93</v>
      </c>
      <c r="P57" s="525" t="n"/>
      <c r="Q57" s="531" t="n"/>
      <c r="R57" s="532">
        <f>SUM(C57*D57+E57*F57+G57*H57+I57*J57+K57*L57+M57*+N57+O57*P57)</f>
        <v/>
      </c>
    </row>
    <row r="58" ht="15" customHeight="1" s="1085">
      <c r="B58" s="523" t="inlineStr">
        <is>
          <t>Rad Tee</t>
        </is>
      </c>
      <c r="C58" s="524" t="n">
        <v>244.13</v>
      </c>
      <c r="D58" s="525" t="n"/>
      <c r="E58" s="526" t="n">
        <v>263.21</v>
      </c>
      <c r="F58" s="527" t="n"/>
      <c r="G58" s="528" t="n">
        <v>283.77</v>
      </c>
      <c r="H58" s="525" t="n"/>
      <c r="I58" s="529" t="n">
        <v>305.94</v>
      </c>
      <c r="J58" s="527" t="n"/>
      <c r="K58" s="528" t="n">
        <v>329.85</v>
      </c>
      <c r="L58" s="525" t="n"/>
      <c r="M58" s="529" t="n">
        <v>355.62</v>
      </c>
      <c r="N58" s="527" t="n"/>
      <c r="O58" s="554" t="n">
        <v>383.41</v>
      </c>
      <c r="P58" s="525" t="n"/>
      <c r="Q58" s="531" t="n"/>
      <c r="R58" s="532">
        <f>SUM(C58*D58+E58*F58+G58*H58+I58*J58+K58*L58+M58*+N58+O58*P58)</f>
        <v/>
      </c>
    </row>
    <row r="59" ht="15" customHeight="1" s="1085">
      <c r="B59" s="523" t="inlineStr">
        <is>
          <t>Square Tee</t>
        </is>
      </c>
      <c r="C59" s="524" t="n">
        <v>166.31</v>
      </c>
      <c r="D59" s="525" t="n"/>
      <c r="E59" s="526" t="n">
        <v>180.59</v>
      </c>
      <c r="F59" s="527" t="n"/>
      <c r="G59" s="528" t="n">
        <v>195.18</v>
      </c>
      <c r="H59" s="525" t="n"/>
      <c r="I59" s="529" t="n">
        <v>211.94</v>
      </c>
      <c r="J59" s="527" t="n"/>
      <c r="K59" s="528" t="n">
        <v>231.19</v>
      </c>
      <c r="L59" s="525" t="n"/>
      <c r="M59" s="529" t="n">
        <v>251.04</v>
      </c>
      <c r="N59" s="527" t="n"/>
      <c r="O59" s="554" t="n">
        <v>271.33</v>
      </c>
      <c r="P59" s="525" t="n"/>
      <c r="Q59" s="531" t="n"/>
      <c r="R59" s="532">
        <f>SUM(C59*D59+E59*F59+G59*H59+I59*J59+K59*L59+M59*+N59+O59*P59)</f>
        <v/>
      </c>
    </row>
    <row r="60" ht="15" customHeight="1" s="1085">
      <c r="B60" s="523" t="inlineStr">
        <is>
          <t>Taper 0.8m</t>
        </is>
      </c>
      <c r="C60" s="524" t="n">
        <v>132.59</v>
      </c>
      <c r="D60" s="525" t="n"/>
      <c r="E60" s="526" t="n">
        <v>143.17</v>
      </c>
      <c r="F60" s="527" t="n"/>
      <c r="G60" s="528" t="n">
        <v>154.75</v>
      </c>
      <c r="H60" s="525" t="n"/>
      <c r="I60" s="529" t="n">
        <v>167.1</v>
      </c>
      <c r="J60" s="527" t="n"/>
      <c r="K60" s="528" t="n">
        <v>180.61</v>
      </c>
      <c r="L60" s="525" t="n"/>
      <c r="M60" s="529" t="n">
        <v>195.03</v>
      </c>
      <c r="N60" s="527" t="n"/>
      <c r="O60" s="554" t="n">
        <v>210.79</v>
      </c>
      <c r="P60" s="525" t="n"/>
      <c r="Q60" s="531" t="n"/>
      <c r="R60" s="532">
        <f>SUM(C60*D60+E60*F60+G60*H60+I60*J60+K60*L60+M60*+N60+O60*P60)</f>
        <v/>
      </c>
    </row>
    <row r="61" ht="15" customHeight="1" s="1085">
      <c r="B61" s="523" t="inlineStr">
        <is>
          <t>Offset 0.8m</t>
        </is>
      </c>
      <c r="C61" s="524" t="n">
        <v>132.59</v>
      </c>
      <c r="D61" s="525" t="n"/>
      <c r="E61" s="526" t="n">
        <v>143.17</v>
      </c>
      <c r="F61" s="527" t="n"/>
      <c r="G61" s="528" t="n">
        <v>154.75</v>
      </c>
      <c r="H61" s="525" t="n"/>
      <c r="I61" s="529" t="n">
        <v>167.1</v>
      </c>
      <c r="J61" s="527" t="n"/>
      <c r="K61" s="528" t="n">
        <v>180.61</v>
      </c>
      <c r="L61" s="525" t="n"/>
      <c r="M61" s="529" t="n">
        <v>195.03</v>
      </c>
      <c r="N61" s="527" t="n"/>
      <c r="O61" s="554" t="n">
        <v>210.79</v>
      </c>
      <c r="P61" s="525" t="n"/>
      <c r="Q61" s="531" t="n"/>
      <c r="R61" s="532">
        <f>SUM(C61*D61+E61*F61+G61*H61+I61*J61+K61*L61+M61*+N61+O61*P61)</f>
        <v/>
      </c>
    </row>
    <row r="62" ht="15" customHeight="1" s="1085">
      <c r="B62" s="523" t="inlineStr">
        <is>
          <t>Sq to Round</t>
        </is>
      </c>
      <c r="C62" s="524" t="n">
        <v>122.3</v>
      </c>
      <c r="D62" s="525" t="n"/>
      <c r="E62" s="526" t="n">
        <v>131.82</v>
      </c>
      <c r="F62" s="527" t="n"/>
      <c r="G62" s="528" t="n">
        <v>142.34</v>
      </c>
      <c r="H62" s="525" t="n"/>
      <c r="I62" s="529" t="n">
        <v>153.42</v>
      </c>
      <c r="J62" s="527" t="n"/>
      <c r="K62" s="528" t="n">
        <v>165.67</v>
      </c>
      <c r="L62" s="525" t="n"/>
      <c r="M62" s="529" t="n">
        <v>178.57</v>
      </c>
      <c r="N62" s="527" t="n"/>
      <c r="O62" s="554" t="n">
        <v>192.82</v>
      </c>
      <c r="P62" s="525" t="n"/>
      <c r="Q62" s="531" t="n"/>
      <c r="R62" s="532">
        <f>SUM(C62*D62+E62*F62+G62*H62+I62*J62+K62*L62+M62*+N62+O62*P62)</f>
        <v/>
      </c>
    </row>
    <row r="63" ht="15" customHeight="1" s="1085">
      <c r="B63" s="523" t="inlineStr">
        <is>
          <t>Shoe</t>
        </is>
      </c>
      <c r="C63" s="524" t="n">
        <v>72.7</v>
      </c>
      <c r="D63" s="525" t="n"/>
      <c r="E63" s="526" t="n">
        <v>78.20999999999999</v>
      </c>
      <c r="F63" s="527" t="n"/>
      <c r="G63" s="528" t="n">
        <v>83.91</v>
      </c>
      <c r="H63" s="525" t="n"/>
      <c r="I63" s="529" t="n">
        <v>90.27</v>
      </c>
      <c r="J63" s="527" t="n"/>
      <c r="K63" s="528" t="n">
        <v>96.84999999999999</v>
      </c>
      <c r="L63" s="525" t="n"/>
      <c r="M63" s="529" t="n">
        <v>104.19</v>
      </c>
      <c r="N63" s="527" t="n"/>
      <c r="O63" s="554" t="n">
        <v>111.78</v>
      </c>
      <c r="P63" s="525" t="n"/>
      <c r="Q63" s="531" t="n"/>
      <c r="R63" s="532">
        <f>SUM(C63*D63+E63*F63+G63*H63+I63*J63+K63*L63+M63*+N63+O63*P63)</f>
        <v/>
      </c>
    </row>
    <row r="64" ht="15" customHeight="1" s="1085">
      <c r="B64" s="523" t="inlineStr">
        <is>
          <t>Blank End</t>
        </is>
      </c>
      <c r="C64" s="524" t="n">
        <v>17.69</v>
      </c>
      <c r="D64" s="525" t="n"/>
      <c r="E64" s="526" t="n">
        <v>19.28</v>
      </c>
      <c r="F64" s="527" t="n"/>
      <c r="G64" s="528" t="n">
        <v>21.03</v>
      </c>
      <c r="H64" s="525" t="n"/>
      <c r="I64" s="529" t="n">
        <v>22.92</v>
      </c>
      <c r="J64" s="527" t="n"/>
      <c r="K64" s="528" t="n">
        <v>25</v>
      </c>
      <c r="L64" s="525" t="n"/>
      <c r="M64" s="529" t="n">
        <v>27.25</v>
      </c>
      <c r="N64" s="527" t="n"/>
      <c r="O64" s="554" t="n">
        <v>29.73</v>
      </c>
      <c r="P64" s="525" t="n"/>
      <c r="Q64" s="531" t="n"/>
      <c r="R64" s="532">
        <f>SUM(C64*D64+E64*F64+G64*H64+I64*J64+K64*L64+M64*+N64+O64*P64)</f>
        <v/>
      </c>
    </row>
    <row r="65" ht="15" customHeight="1" s="1085">
      <c r="B65" s="523" t="inlineStr">
        <is>
          <t>Grille Box</t>
        </is>
      </c>
      <c r="C65" s="524" t="n">
        <v>60.1</v>
      </c>
      <c r="D65" s="525" t="n"/>
      <c r="E65" s="526" t="n">
        <v>64.90000000000001</v>
      </c>
      <c r="F65" s="527" t="n"/>
      <c r="G65" s="528" t="n">
        <v>70.14</v>
      </c>
      <c r="H65" s="525" t="n"/>
      <c r="I65" s="529" t="n">
        <v>75.73999999999999</v>
      </c>
      <c r="J65" s="527" t="n"/>
      <c r="K65" s="528" t="n">
        <v>81.87</v>
      </c>
      <c r="L65" s="525" t="n"/>
      <c r="M65" s="529" t="n">
        <v>88.40000000000001</v>
      </c>
      <c r="N65" s="527" t="n"/>
      <c r="O65" s="554" t="n">
        <v>95.55</v>
      </c>
      <c r="P65" s="525" t="n"/>
      <c r="Q65" s="531" t="n"/>
      <c r="R65" s="532">
        <f>SUM(C65*D65+E65*F65+G65*H65+I65*J65+K65*L65+M65*+N65+O65*P65)</f>
        <v/>
      </c>
    </row>
    <row r="66" ht="15" customHeight="1" s="1085">
      <c r="B66" s="523" t="inlineStr">
        <is>
          <t>Flange</t>
        </is>
      </c>
      <c r="C66" s="524" t="n">
        <v>19.34</v>
      </c>
      <c r="D66" s="525" t="n"/>
      <c r="E66" s="526" t="n">
        <v>20.8</v>
      </c>
      <c r="F66" s="527" t="n"/>
      <c r="G66" s="528" t="n">
        <v>22.32</v>
      </c>
      <c r="H66" s="525" t="n"/>
      <c r="I66" s="529" t="n">
        <v>24.01</v>
      </c>
      <c r="J66" s="527" t="n"/>
      <c r="K66" s="528" t="n">
        <v>25.76</v>
      </c>
      <c r="L66" s="525" t="n"/>
      <c r="M66" s="529" t="n">
        <v>27.71</v>
      </c>
      <c r="N66" s="527" t="n"/>
      <c r="O66" s="554" t="n">
        <v>29.73</v>
      </c>
      <c r="P66" s="525" t="n"/>
      <c r="Q66" s="531" t="n"/>
      <c r="R66" s="532">
        <f>SUM(C66*D66+E66*F66+G66*H66+I66*J66+K66*L66+M66*+N66+O66*P66)</f>
        <v/>
      </c>
    </row>
    <row r="67" ht="15" customHeight="1" s="1085">
      <c r="B67" s="523" t="inlineStr">
        <is>
          <t>Access Door</t>
        </is>
      </c>
      <c r="C67" s="524" t="n">
        <v>48</v>
      </c>
      <c r="D67" s="525" t="n"/>
      <c r="E67" s="526" t="n">
        <v>48</v>
      </c>
      <c r="F67" s="527" t="n"/>
      <c r="G67" s="528" t="n">
        <v>48</v>
      </c>
      <c r="H67" s="525" t="n"/>
      <c r="I67" s="529" t="n">
        <v>48</v>
      </c>
      <c r="J67" s="527" t="n"/>
      <c r="K67" s="528" t="n">
        <v>48</v>
      </c>
      <c r="L67" s="525" t="n"/>
      <c r="M67" s="529" t="n">
        <v>48</v>
      </c>
      <c r="N67" s="527" t="n"/>
      <c r="O67" s="554" t="n">
        <v>48</v>
      </c>
      <c r="P67" s="525" t="n"/>
      <c r="Q67" s="531" t="n"/>
      <c r="R67" s="532">
        <f>SUM(C67*D67+E67*F67+G67*H67+I67*J67+K67*L67+M67*+N67+O67*P67)</f>
        <v/>
      </c>
    </row>
    <row r="68" ht="15" customHeight="1" s="1085">
      <c r="B68" s="523" t="inlineStr">
        <is>
          <t>VCD</t>
        </is>
      </c>
      <c r="C68" s="524" t="n">
        <v>97.22</v>
      </c>
      <c r="D68" s="525" t="n"/>
      <c r="E68" s="526" t="n">
        <v>104.74</v>
      </c>
      <c r="F68" s="527" t="n"/>
      <c r="G68" s="528" t="n">
        <v>112.19</v>
      </c>
      <c r="H68" s="525" t="n"/>
      <c r="I68" s="529" t="n">
        <v>119.05</v>
      </c>
      <c r="J68" s="527" t="n"/>
      <c r="K68" s="528" t="n">
        <v>127.24</v>
      </c>
      <c r="L68" s="525" t="n"/>
      <c r="M68" s="529" t="n">
        <v>148.56</v>
      </c>
      <c r="N68" s="527" t="n"/>
      <c r="O68" s="554" t="n">
        <v>157.18</v>
      </c>
      <c r="P68" s="525" t="n"/>
      <c r="Q68" s="531" t="n"/>
      <c r="R68" s="532">
        <f>SUM(C68*D68+E68*F68+G68*H68+I68*J68+K68*L68+M68*+N68+O68*P68)</f>
        <v/>
      </c>
    </row>
    <row r="69" ht="15" customHeight="1" s="1085">
      <c r="B69" s="533" t="n"/>
      <c r="C69" s="534" t="n"/>
      <c r="D69" s="535" t="n"/>
      <c r="E69" s="535" t="n"/>
      <c r="F69" s="535" t="n"/>
      <c r="G69" s="535" t="n"/>
      <c r="H69" s="535" t="n"/>
      <c r="I69" s="535" t="n"/>
      <c r="J69" s="535" t="n"/>
      <c r="K69" s="535" t="n"/>
      <c r="L69" s="535" t="n"/>
      <c r="M69" s="535" t="n"/>
      <c r="N69" s="535" t="n"/>
      <c r="O69" s="530" t="n"/>
      <c r="P69" s="535" t="n"/>
      <c r="Q69" s="624" t="inlineStr">
        <is>
          <t>S/TOTAL</t>
        </is>
      </c>
      <c r="R69" s="541">
        <f>SUM(R52:R68)</f>
        <v/>
      </c>
    </row>
    <row r="70" ht="15" customHeight="1" s="1085">
      <c r="B70" s="523" t="inlineStr">
        <is>
          <t>Supports</t>
        </is>
      </c>
      <c r="C70" s="537" t="n"/>
      <c r="D70" s="538" t="n"/>
      <c r="E70" s="538" t="n"/>
      <c r="F70" s="538" t="n"/>
      <c r="G70" s="538" t="n"/>
      <c r="H70" s="538" t="n"/>
      <c r="I70" s="538" t="n"/>
      <c r="J70" s="538" t="n"/>
      <c r="K70" s="538" t="n"/>
      <c r="L70" s="538" t="n"/>
      <c r="M70" s="538" t="n"/>
      <c r="N70" s="538" t="n"/>
      <c r="O70" s="539" t="n"/>
      <c r="P70" s="538" t="n"/>
      <c r="Q70" s="540" t="n">
        <v>0.15</v>
      </c>
      <c r="R70" s="541">
        <f>SUM(R69*0.15)</f>
        <v/>
      </c>
    </row>
    <row r="71" ht="16" customHeight="1" s="1085" thickBot="1">
      <c r="B71" s="542" t="n"/>
      <c r="C71" s="543" t="n"/>
      <c r="D71" s="544" t="n"/>
      <c r="E71" s="544" t="n"/>
      <c r="F71" s="544" t="n"/>
      <c r="G71" s="544" t="n"/>
      <c r="H71" s="544" t="n"/>
      <c r="I71" s="544" t="n"/>
      <c r="J71" s="544" t="n"/>
      <c r="K71" s="544" t="n"/>
      <c r="L71" s="544" t="n"/>
      <c r="M71" s="544" t="n"/>
      <c r="N71" s="544" t="n"/>
      <c r="O71" s="545" t="n"/>
      <c r="P71" s="544" t="n"/>
      <c r="Q71" s="546" t="inlineStr">
        <is>
          <t>TOTAL</t>
        </is>
      </c>
      <c r="R71" s="547">
        <f>SUM(R69+R70)</f>
        <v/>
      </c>
    </row>
    <row r="73" ht="14" customHeight="1" s="1085" thickBot="1"/>
    <row r="74" ht="15" customHeight="1" s="1085">
      <c r="C74" s="503" t="inlineStr">
        <is>
          <t>Size</t>
        </is>
      </c>
      <c r="D74" s="504" t="inlineStr">
        <is>
          <t>No. Off</t>
        </is>
      </c>
      <c r="E74" s="504" t="inlineStr">
        <is>
          <t>Size</t>
        </is>
      </c>
      <c r="F74" s="504" t="inlineStr">
        <is>
          <t>No. Off</t>
        </is>
      </c>
      <c r="G74" s="504" t="inlineStr">
        <is>
          <t>Size</t>
        </is>
      </c>
      <c r="H74" s="504" t="inlineStr">
        <is>
          <t>No. Off</t>
        </is>
      </c>
      <c r="I74" s="504" t="inlineStr">
        <is>
          <t>Size</t>
        </is>
      </c>
      <c r="J74" s="504" t="inlineStr">
        <is>
          <t>No. Off</t>
        </is>
      </c>
      <c r="K74" s="504" t="inlineStr">
        <is>
          <t>Size</t>
        </is>
      </c>
      <c r="L74" s="504" t="inlineStr">
        <is>
          <t>No. Off</t>
        </is>
      </c>
      <c r="M74" s="504" t="inlineStr">
        <is>
          <t>Size</t>
        </is>
      </c>
      <c r="N74" s="504" t="inlineStr">
        <is>
          <t>No. Off</t>
        </is>
      </c>
      <c r="O74" s="504" t="inlineStr">
        <is>
          <t>Size</t>
        </is>
      </c>
      <c r="P74" s="504" t="inlineStr">
        <is>
          <t>No. Off</t>
        </is>
      </c>
      <c r="Q74" s="505" t="n"/>
      <c r="R74" s="506" t="inlineStr">
        <is>
          <t>Total</t>
        </is>
      </c>
    </row>
    <row r="75" ht="16" customHeight="1" s="1085" thickBot="1">
      <c r="C75" s="507" t="inlineStr">
        <is>
          <t>1150x1150</t>
        </is>
      </c>
      <c r="D75" s="508" t="n"/>
      <c r="E75" s="509" t="inlineStr">
        <is>
          <t>1200x1200</t>
        </is>
      </c>
      <c r="F75" s="508" t="n"/>
      <c r="G75" s="510" t="inlineStr">
        <is>
          <t>1250x1250</t>
        </is>
      </c>
      <c r="H75" s="508" t="n"/>
      <c r="I75" s="509" t="inlineStr">
        <is>
          <t>1300x1300</t>
        </is>
      </c>
      <c r="J75" s="508" t="n"/>
      <c r="K75" s="510" t="inlineStr">
        <is>
          <t>1350x1350</t>
        </is>
      </c>
      <c r="L75" s="508" t="n"/>
      <c r="M75" s="509" t="inlineStr">
        <is>
          <t>1400x1400</t>
        </is>
      </c>
      <c r="N75" s="508" t="n"/>
      <c r="O75" s="510" t="inlineStr">
        <is>
          <t>1450x1450</t>
        </is>
      </c>
      <c r="P75" s="508" t="n"/>
      <c r="Q75" s="512" t="n"/>
      <c r="R75" s="513" t="n"/>
    </row>
    <row r="76" ht="15" customHeight="1" s="1085">
      <c r="B76" s="514" t="inlineStr">
        <is>
          <t>Spigot</t>
        </is>
      </c>
      <c r="C76" s="515" t="n">
        <v>76.15000000000001</v>
      </c>
      <c r="D76" s="516" t="n"/>
      <c r="E76" s="517" t="n">
        <v>83.23</v>
      </c>
      <c r="F76" s="518" t="n"/>
      <c r="G76" s="519" t="n">
        <v>89.54000000000001</v>
      </c>
      <c r="H76" s="516" t="n"/>
      <c r="I76" s="520" t="n">
        <v>96.06</v>
      </c>
      <c r="J76" s="518" t="n"/>
      <c r="K76" s="519" t="n">
        <v>103.35</v>
      </c>
      <c r="L76" s="516" t="n"/>
      <c r="M76" s="520" t="n">
        <v>110.87</v>
      </c>
      <c r="N76" s="518" t="n"/>
      <c r="O76" s="553" t="n">
        <v>119.28</v>
      </c>
      <c r="P76" s="516" t="n"/>
      <c r="Q76" s="505" t="n"/>
      <c r="R76" s="522">
        <f>SUM(C76*D76+E76*F76+G76*H76+I76*J76+K76*L76+M76*+N76+O76*P76)</f>
        <v/>
      </c>
    </row>
    <row r="77" ht="15" customHeight="1" s="1085">
      <c r="B77" s="523" t="inlineStr">
        <is>
          <t>1.5m Sraight</t>
        </is>
      </c>
      <c r="C77" s="524" t="n">
        <v>205.42</v>
      </c>
      <c r="D77" s="525" t="n"/>
      <c r="E77" s="526" t="n">
        <v>224.08</v>
      </c>
      <c r="F77" s="527" t="n"/>
      <c r="G77" s="528" t="n">
        <v>241.97</v>
      </c>
      <c r="H77" s="525" t="n"/>
      <c r="I77" s="529" t="n">
        <v>261.53</v>
      </c>
      <c r="J77" s="527" t="n"/>
      <c r="K77" s="528" t="n">
        <v>282.41</v>
      </c>
      <c r="L77" s="525" t="n"/>
      <c r="M77" s="529" t="n">
        <v>305.24</v>
      </c>
      <c r="N77" s="527" t="n"/>
      <c r="O77" s="554" t="n">
        <v>329.62</v>
      </c>
      <c r="P77" s="525" t="n"/>
      <c r="Q77" s="531" t="n"/>
      <c r="R77" s="532">
        <f>SUM(C77*D77+E77*F77+G77*H77+I77*J77+K77*L77+M77*+N77+O77*P77)</f>
        <v/>
      </c>
    </row>
    <row r="78" ht="15" customHeight="1" s="1085">
      <c r="B78" s="523" t="inlineStr">
        <is>
          <t>90 Rad Bend</t>
        </is>
      </c>
      <c r="C78" s="524" t="n">
        <v>285.15</v>
      </c>
      <c r="D78" s="525" t="n"/>
      <c r="E78" s="526" t="n">
        <v>307.44</v>
      </c>
      <c r="F78" s="527" t="n"/>
      <c r="G78" s="528" t="n">
        <v>331.46</v>
      </c>
      <c r="H78" s="525" t="n"/>
      <c r="I78" s="529" t="n">
        <v>357.36</v>
      </c>
      <c r="J78" s="527" t="n"/>
      <c r="K78" s="528" t="n">
        <v>385.28</v>
      </c>
      <c r="L78" s="525" t="n"/>
      <c r="M78" s="529" t="n">
        <v>415.38</v>
      </c>
      <c r="N78" s="527" t="n"/>
      <c r="O78" s="554" t="n">
        <v>447.84</v>
      </c>
      <c r="P78" s="525" t="n"/>
      <c r="Q78" s="531" t="n"/>
      <c r="R78" s="532">
        <f>SUM(C78*D78+E78*F78+G78*H78+I78*J78+K78*L78+M78*+N78+O78*P78)</f>
        <v/>
      </c>
    </row>
    <row r="79" ht="15" customHeight="1" s="1085">
      <c r="B79" s="523" t="inlineStr">
        <is>
          <t>45 Bend</t>
        </is>
      </c>
      <c r="C79" s="524" t="n">
        <v>183.71</v>
      </c>
      <c r="D79" s="525" t="n"/>
      <c r="E79" s="526" t="n">
        <v>200.22</v>
      </c>
      <c r="F79" s="527" t="n"/>
      <c r="G79" s="528" t="n">
        <v>215.8</v>
      </c>
      <c r="H79" s="525" t="n"/>
      <c r="I79" s="529" t="n">
        <v>233.03</v>
      </c>
      <c r="J79" s="527" t="n"/>
      <c r="K79" s="528" t="n">
        <v>251.17</v>
      </c>
      <c r="L79" s="525" t="n"/>
      <c r="M79" s="529" t="n">
        <v>271.23</v>
      </c>
      <c r="N79" s="527" t="n"/>
      <c r="O79" s="554" t="n">
        <v>292.34</v>
      </c>
      <c r="P79" s="525" t="n"/>
      <c r="Q79" s="531" t="n"/>
      <c r="R79" s="532">
        <f>SUM(C79*D79+E79*F79+G79*H79+I79*J79+K79*L79+M79*+N79+O79*P79)</f>
        <v/>
      </c>
    </row>
    <row r="80" ht="15" customHeight="1" s="1085">
      <c r="B80" s="523" t="inlineStr">
        <is>
          <t>90 Sq Bend</t>
        </is>
      </c>
      <c r="C80" s="524" t="n">
        <v>263.78</v>
      </c>
      <c r="D80" s="525" t="n"/>
      <c r="E80" s="526" t="n">
        <v>287.74</v>
      </c>
      <c r="F80" s="527" t="n"/>
      <c r="G80" s="528" t="n">
        <v>312.44</v>
      </c>
      <c r="H80" s="525" t="n"/>
      <c r="I80" s="529" t="n">
        <v>337.7</v>
      </c>
      <c r="J80" s="527" t="n"/>
      <c r="K80" s="528" t="n">
        <v>366.69</v>
      </c>
      <c r="L80" s="525" t="n"/>
      <c r="M80" s="529" t="n">
        <v>396.33</v>
      </c>
      <c r="N80" s="527" t="n"/>
      <c r="O80" s="554" t="n">
        <v>430.36</v>
      </c>
      <c r="P80" s="525" t="n"/>
      <c r="Q80" s="531" t="n"/>
      <c r="R80" s="532">
        <f>SUM(C80*D80+E80*F80+G80*H80+I80*J80+K80*L80+M80*+N80+O80*P80)</f>
        <v/>
      </c>
    </row>
    <row r="81" ht="15" customHeight="1" s="1085">
      <c r="B81" s="523" t="inlineStr">
        <is>
          <t>Rad Tee</t>
        </is>
      </c>
      <c r="C81" s="524" t="n">
        <v>413.37</v>
      </c>
      <c r="D81" s="525" t="n"/>
      <c r="E81" s="526" t="n">
        <v>445.66</v>
      </c>
      <c r="F81" s="527" t="n"/>
      <c r="G81" s="528" t="n">
        <v>480.49</v>
      </c>
      <c r="H81" s="525" t="n"/>
      <c r="I81" s="529" t="n">
        <v>518.03</v>
      </c>
      <c r="J81" s="527" t="n"/>
      <c r="K81" s="528" t="n">
        <v>558.51</v>
      </c>
      <c r="L81" s="525" t="n"/>
      <c r="M81" s="529" t="n">
        <v>602.14</v>
      </c>
      <c r="N81" s="527" t="n"/>
      <c r="O81" s="554" t="n">
        <v>649.1900000000001</v>
      </c>
      <c r="P81" s="525" t="n"/>
      <c r="Q81" s="531" t="n"/>
      <c r="R81" s="532">
        <f>SUM(C81*D81+E81*F81+G81*H81+I81*J81+K81*L81+M81*+N81+O81*P81)</f>
        <v/>
      </c>
    </row>
    <row r="82" ht="15" customHeight="1" s="1085">
      <c r="B82" s="523" t="inlineStr">
        <is>
          <t>Square Tee</t>
        </is>
      </c>
      <c r="C82" s="524" t="n">
        <v>294.62</v>
      </c>
      <c r="D82" s="525" t="n"/>
      <c r="E82" s="526" t="n">
        <v>321.39</v>
      </c>
      <c r="F82" s="527" t="n"/>
      <c r="G82" s="528" t="n">
        <v>348.97</v>
      </c>
      <c r="H82" s="525" t="n"/>
      <c r="I82" s="529" t="n">
        <v>377.19</v>
      </c>
      <c r="J82" s="527" t="n"/>
      <c r="K82" s="528" t="n">
        <v>409.56</v>
      </c>
      <c r="L82" s="525" t="n"/>
      <c r="M82" s="529" t="n">
        <v>442.67</v>
      </c>
      <c r="N82" s="527" t="n"/>
      <c r="O82" s="554" t="n">
        <v>480.67</v>
      </c>
      <c r="P82" s="525" t="n"/>
      <c r="Q82" s="531" t="n"/>
      <c r="R82" s="532">
        <f>SUM(C82*D82+E82*F82+G82*H82+I82*J82+K82*L82+M82*+N82+O82*P82)</f>
        <v/>
      </c>
    </row>
    <row r="83" ht="15" customHeight="1" s="1085">
      <c r="B83" s="523" t="inlineStr">
        <is>
          <t>Taper 0.8m</t>
        </is>
      </c>
      <c r="C83" s="524" t="n">
        <v>227.62</v>
      </c>
      <c r="D83" s="525" t="n"/>
      <c r="E83" s="526" t="n">
        <v>246.03</v>
      </c>
      <c r="F83" s="527" t="n"/>
      <c r="G83" s="528" t="n">
        <v>265.67</v>
      </c>
      <c r="H83" s="525" t="n"/>
      <c r="I83" s="529" t="n">
        <v>287.15</v>
      </c>
      <c r="J83" s="527" t="n"/>
      <c r="K83" s="528" t="n">
        <v>310.07</v>
      </c>
      <c r="L83" s="525" t="n"/>
      <c r="M83" s="529" t="n">
        <v>335.14</v>
      </c>
      <c r="N83" s="527" t="n"/>
      <c r="O83" s="554" t="n">
        <v>361.89</v>
      </c>
      <c r="P83" s="525" t="n"/>
      <c r="Q83" s="531" t="n"/>
      <c r="R83" s="532">
        <f>SUM(C83*D83+E83*F83+G83*H83+I83*J83+K83*L83+M83*+N83+O83*P83)</f>
        <v/>
      </c>
    </row>
    <row r="84" ht="15" customHeight="1" s="1085">
      <c r="B84" s="523" t="inlineStr">
        <is>
          <t>Offset 0.8m</t>
        </is>
      </c>
      <c r="C84" s="524" t="n">
        <v>227.62</v>
      </c>
      <c r="D84" s="525" t="n"/>
      <c r="E84" s="526" t="n">
        <v>246.03</v>
      </c>
      <c r="F84" s="527" t="n"/>
      <c r="G84" s="528" t="n">
        <v>265.67</v>
      </c>
      <c r="H84" s="525" t="n"/>
      <c r="I84" s="529" t="n">
        <v>287.15</v>
      </c>
      <c r="J84" s="527" t="n"/>
      <c r="K84" s="528" t="n">
        <v>310.07</v>
      </c>
      <c r="L84" s="525" t="n"/>
      <c r="M84" s="529" t="n">
        <v>335.14</v>
      </c>
      <c r="N84" s="527" t="n"/>
      <c r="O84" s="554" t="n">
        <v>361.89</v>
      </c>
      <c r="P84" s="525" t="n"/>
      <c r="Q84" s="531" t="n"/>
      <c r="R84" s="532">
        <f>SUM(C84*D84+E84*F84+G84*H84+I84*J84+K84*L84+M84*+N84+O84*P84)</f>
        <v/>
      </c>
    </row>
    <row r="85" ht="15" customHeight="1" s="1085">
      <c r="B85" s="523" t="inlineStr">
        <is>
          <t>Sq to Round</t>
        </is>
      </c>
      <c r="C85" s="524" t="n">
        <v>207.83</v>
      </c>
      <c r="D85" s="525" t="n"/>
      <c r="E85" s="526" t="n">
        <v>224.43</v>
      </c>
      <c r="F85" s="527" t="n"/>
      <c r="G85" s="528" t="n">
        <v>241.9</v>
      </c>
      <c r="H85" s="525" t="n"/>
      <c r="I85" s="529" t="n">
        <v>261.21</v>
      </c>
      <c r="J85" s="527" t="n"/>
      <c r="K85" s="528" t="n">
        <v>281.54</v>
      </c>
      <c r="L85" s="525" t="n"/>
      <c r="M85" s="529" t="n">
        <v>304.02</v>
      </c>
      <c r="N85" s="527" t="n"/>
      <c r="O85" s="554" t="n">
        <v>327.68</v>
      </c>
      <c r="P85" s="525" t="n"/>
      <c r="Q85" s="531" t="n"/>
      <c r="R85" s="532">
        <f>SUM(C85*D85+E85*F85+G85*H85+I85*J85+K85*L85+M85*+N85+O85*P85)</f>
        <v/>
      </c>
    </row>
    <row r="86" ht="15" customHeight="1" s="1085">
      <c r="B86" s="523" t="inlineStr">
        <is>
          <t>Shoe</t>
        </is>
      </c>
      <c r="C86" s="524" t="n">
        <v>120.26</v>
      </c>
      <c r="D86" s="525" t="n"/>
      <c r="E86" s="526" t="n">
        <v>129.02</v>
      </c>
      <c r="F86" s="527" t="n"/>
      <c r="G86" s="528" t="n">
        <v>138.8</v>
      </c>
      <c r="H86" s="525" t="n"/>
      <c r="I86" s="529" t="n">
        <v>148.91</v>
      </c>
      <c r="J86" s="527" t="n"/>
      <c r="K86" s="528" t="n">
        <v>160.21</v>
      </c>
      <c r="L86" s="525" t="n"/>
      <c r="M86" s="529" t="n">
        <v>171.88</v>
      </c>
      <c r="N86" s="527" t="n"/>
      <c r="O86" s="554" t="n">
        <v>184.91</v>
      </c>
      <c r="P86" s="525" t="n"/>
      <c r="Q86" s="531" t="n"/>
      <c r="R86" s="532">
        <f>SUM(C86*D86+E86*F86+G86*H86+I86*J86+K86*L86+M86*+N86+O86*P86)</f>
        <v/>
      </c>
    </row>
    <row r="87" ht="15" customHeight="1" s="1085">
      <c r="B87" s="523" t="inlineStr">
        <is>
          <t>Blank End</t>
        </is>
      </c>
      <c r="C87" s="524" t="n">
        <v>32.4</v>
      </c>
      <c r="D87" s="525" t="n"/>
      <c r="E87" s="526" t="n">
        <v>35.34</v>
      </c>
      <c r="F87" s="527" t="n"/>
      <c r="G87" s="528" t="n">
        <v>38.52</v>
      </c>
      <c r="H87" s="525" t="n"/>
      <c r="I87" s="529" t="n">
        <v>42.01</v>
      </c>
      <c r="J87" s="527" t="n"/>
      <c r="K87" s="528" t="n">
        <v>45.79</v>
      </c>
      <c r="L87" s="525" t="n"/>
      <c r="M87" s="529" t="n">
        <v>49.95</v>
      </c>
      <c r="N87" s="527" t="n"/>
      <c r="O87" s="554" t="n">
        <v>54.44</v>
      </c>
      <c r="P87" s="525" t="n"/>
      <c r="Q87" s="531" t="n"/>
      <c r="R87" s="532">
        <f>SUM(C87*D87+E87*F87+G87*H87+I87*J87+K87*L87+M87*+N87+O87*P87)</f>
        <v/>
      </c>
    </row>
    <row r="88" ht="15" customHeight="1" s="1085">
      <c r="B88" s="523" t="inlineStr">
        <is>
          <t>Grille Box</t>
        </is>
      </c>
      <c r="C88" s="524" t="n">
        <v>103.18</v>
      </c>
      <c r="D88" s="525" t="n"/>
      <c r="E88" s="526" t="n">
        <v>111.52</v>
      </c>
      <c r="F88" s="527" t="n"/>
      <c r="G88" s="528" t="n">
        <v>120.42</v>
      </c>
      <c r="H88" s="525" t="n"/>
      <c r="I88" s="529" t="n">
        <v>130.16</v>
      </c>
      <c r="J88" s="527" t="n"/>
      <c r="K88" s="528" t="n">
        <v>140.55</v>
      </c>
      <c r="L88" s="525" t="n"/>
      <c r="M88" s="529" t="n">
        <v>151.91</v>
      </c>
      <c r="N88" s="527" t="n"/>
      <c r="O88" s="554" t="n">
        <v>164.04</v>
      </c>
      <c r="P88" s="525" t="n"/>
      <c r="Q88" s="531" t="n"/>
      <c r="R88" s="532">
        <f>SUM(C88*D88+E88*F88+G88*H88+I88*J88+K88*L88+M88*+N88+O88*P88)</f>
        <v/>
      </c>
    </row>
    <row r="89" ht="15" customHeight="1" s="1085">
      <c r="B89" s="523" t="inlineStr">
        <is>
          <t>Flange</t>
        </is>
      </c>
      <c r="C89" s="524" t="n">
        <v>31.99</v>
      </c>
      <c r="D89" s="525" t="n"/>
      <c r="E89" s="526" t="n">
        <v>34.32</v>
      </c>
      <c r="F89" s="527" t="n"/>
      <c r="G89" s="528" t="n">
        <v>36.92</v>
      </c>
      <c r="H89" s="525" t="n"/>
      <c r="I89" s="529" t="n">
        <v>39.61</v>
      </c>
      <c r="J89" s="527" t="n"/>
      <c r="K89" s="528" t="n">
        <v>42.61</v>
      </c>
      <c r="L89" s="525" t="n"/>
      <c r="M89" s="529" t="n">
        <v>45.72</v>
      </c>
      <c r="N89" s="527" t="n"/>
      <c r="O89" s="554" t="n">
        <v>49.18</v>
      </c>
      <c r="P89" s="525" t="n"/>
      <c r="Q89" s="531" t="n"/>
      <c r="R89" s="532">
        <f>SUM(C89*D89+E89*F89+G89*H89+I89*J89+K89*L89+M89*+N89+O89*P89)</f>
        <v/>
      </c>
    </row>
    <row r="90" ht="15" customHeight="1" s="1085">
      <c r="B90" s="523" t="inlineStr">
        <is>
          <t>Access Door</t>
        </is>
      </c>
      <c r="C90" s="524" t="n">
        <v>48</v>
      </c>
      <c r="D90" s="525" t="n"/>
      <c r="E90" s="526" t="n">
        <v>48</v>
      </c>
      <c r="F90" s="527" t="n"/>
      <c r="G90" s="528" t="n">
        <v>48</v>
      </c>
      <c r="H90" s="525" t="n"/>
      <c r="I90" s="529" t="n">
        <v>48</v>
      </c>
      <c r="J90" s="527" t="n"/>
      <c r="K90" s="528" t="n">
        <v>48</v>
      </c>
      <c r="L90" s="525" t="n"/>
      <c r="M90" s="529" t="n">
        <v>48</v>
      </c>
      <c r="N90" s="527" t="n"/>
      <c r="O90" s="554" t="n">
        <v>48</v>
      </c>
      <c r="P90" s="525" t="n"/>
      <c r="Q90" s="531" t="n"/>
      <c r="R90" s="532">
        <f>SUM(C90*D90+E90*F90+G90*H90+I90*J90+K90*L90+M90*+N90+O90*P90)</f>
        <v/>
      </c>
    </row>
    <row r="91" ht="15" customHeight="1" s="1085">
      <c r="B91" s="523" t="inlineStr">
        <is>
          <t>VCD</t>
        </is>
      </c>
      <c r="C91" s="524" t="n"/>
      <c r="D91" s="525" t="n"/>
      <c r="E91" s="526" t="n"/>
      <c r="F91" s="527" t="n"/>
      <c r="G91" s="528" t="n"/>
      <c r="H91" s="525" t="n"/>
      <c r="I91" s="529" t="n"/>
      <c r="J91" s="527" t="n"/>
      <c r="K91" s="528" t="n"/>
      <c r="L91" s="525" t="n"/>
      <c r="M91" s="529" t="n"/>
      <c r="N91" s="527" t="n"/>
      <c r="O91" s="554" t="n"/>
      <c r="P91" s="525" t="n"/>
      <c r="Q91" s="531" t="n"/>
      <c r="R91" s="532">
        <f>SUM(C91*D91+E91*F91+G91*H91+I91*J91+K91*L91+M91*+N91+O91*P91)</f>
        <v/>
      </c>
    </row>
    <row r="92" ht="15" customHeight="1" s="1085">
      <c r="B92" s="533" t="n"/>
      <c r="C92" s="534" t="n"/>
      <c r="D92" s="535" t="n"/>
      <c r="E92" s="535" t="n"/>
      <c r="F92" s="535" t="n"/>
      <c r="G92" s="535" t="n"/>
      <c r="H92" s="535" t="n"/>
      <c r="I92" s="535" t="n"/>
      <c r="J92" s="535" t="n"/>
      <c r="K92" s="535" t="n"/>
      <c r="L92" s="535" t="n"/>
      <c r="M92" s="535" t="n"/>
      <c r="N92" s="535" t="n"/>
      <c r="O92" s="530" t="n"/>
      <c r="P92" s="535" t="n"/>
      <c r="Q92" s="624" t="inlineStr">
        <is>
          <t>S/TOTAL</t>
        </is>
      </c>
      <c r="R92" s="541">
        <f>SUM(R75:R91)</f>
        <v/>
      </c>
    </row>
    <row r="93" ht="15" customHeight="1" s="1085">
      <c r="B93" s="523" t="inlineStr">
        <is>
          <t>Supports</t>
        </is>
      </c>
      <c r="C93" s="537" t="n"/>
      <c r="D93" s="538" t="n"/>
      <c r="E93" s="538" t="n"/>
      <c r="F93" s="538" t="n"/>
      <c r="G93" s="538" t="n"/>
      <c r="H93" s="538" t="n"/>
      <c r="I93" s="538" t="n"/>
      <c r="J93" s="538" t="n"/>
      <c r="K93" s="538" t="n"/>
      <c r="L93" s="538" t="n"/>
      <c r="M93" s="538" t="n"/>
      <c r="N93" s="538" t="n"/>
      <c r="O93" s="539" t="n"/>
      <c r="P93" s="538" t="n"/>
      <c r="Q93" s="540" t="n">
        <v>0.15</v>
      </c>
      <c r="R93" s="541">
        <f>SUM(R92*0.15)</f>
        <v/>
      </c>
    </row>
    <row r="94" ht="16" customHeight="1" s="1085" thickBot="1">
      <c r="B94" s="542" t="n"/>
      <c r="C94" s="543" t="n"/>
      <c r="D94" s="544" t="n"/>
      <c r="E94" s="544" t="n"/>
      <c r="F94" s="544" t="n"/>
      <c r="G94" s="544" t="n"/>
      <c r="H94" s="544" t="n"/>
      <c r="I94" s="544" t="n"/>
      <c r="J94" s="544" t="n"/>
      <c r="K94" s="544" t="n"/>
      <c r="L94" s="544" t="n"/>
      <c r="M94" s="544" t="n"/>
      <c r="N94" s="544" t="n"/>
      <c r="O94" s="545" t="n"/>
      <c r="P94" s="544" t="n"/>
      <c r="Q94" s="546" t="inlineStr">
        <is>
          <t>TOTAL</t>
        </is>
      </c>
      <c r="R94" s="547">
        <f>SUM(R92+R93)</f>
        <v/>
      </c>
    </row>
  </sheetData>
  <mergeCells count="4">
    <mergeCell ref="H2:L2"/>
    <mergeCell ref="B3:O3"/>
    <mergeCell ref="N2:O2"/>
    <mergeCell ref="B2:E2"/>
  </mergeCells>
  <pageMargins left="0.7" right="0.7" top="0.75" bottom="0.75" header="0.3" footer="0.3"/>
  <pageSetup orientation="portrait" paperSize="9"/>
</worksheet>
</file>

<file path=xl/worksheets/sheet50.xml><?xml version="1.0" encoding="utf-8"?>
<worksheet xmlns="http://schemas.openxmlformats.org/spreadsheetml/2006/main">
  <sheetPr codeName="Sheet16">
    <tabColor theme="8" tint="0.7999816888943144"/>
    <outlinePr summaryBelow="1" summaryRight="1"/>
    <pageSetUpPr fitToPage="1"/>
  </sheetPr>
  <dimension ref="B1:AH204"/>
  <sheetViews>
    <sheetView zoomScale="80" zoomScaleNormal="80" workbookViewId="0">
      <selection activeCell="C4" sqref="C4"/>
    </sheetView>
  </sheetViews>
  <sheetFormatPr baseColWidth="10" defaultColWidth="8.83203125" defaultRowHeight="15" customHeight="1"/>
  <cols>
    <col width="1.6640625" customWidth="1" style="55" min="1" max="1"/>
    <col width="29.83203125" customWidth="1" style="55" min="2" max="2"/>
    <col width="23.33203125" customWidth="1" style="55" min="3" max="3"/>
    <col width="26.6640625" customWidth="1" style="56" min="4" max="4"/>
    <col width="11.5" customWidth="1" style="55" min="5" max="5"/>
    <col width="25.83203125" customWidth="1" style="55" min="6" max="6"/>
    <col width="12.5" customWidth="1" style="362" min="7" max="7"/>
    <col width="15.5" customWidth="1" style="362" min="8" max="8"/>
    <col width="9.33203125" customWidth="1" style="56" min="9" max="9"/>
    <col hidden="1" width="14" customWidth="1" style="362" min="10" max="10"/>
    <col width="17" customWidth="1" style="362" min="11" max="11"/>
    <col width="13.1640625" bestFit="1" customWidth="1" style="362" min="12" max="12"/>
    <col width="12.5" customWidth="1" style="55" min="13" max="13"/>
    <col width="9.1640625" customWidth="1" style="55" min="14" max="235"/>
    <col width="25.6640625" customWidth="1" style="55" min="236" max="236"/>
    <col width="9" customWidth="1" style="55" min="237" max="237"/>
    <col width="22" customWidth="1" style="55" min="238" max="238"/>
    <col width="4.5" customWidth="1" style="55" min="239" max="239"/>
    <col width="13.33203125" customWidth="1" style="55" min="240" max="240"/>
    <col width="14.1640625" customWidth="1" style="55" min="241" max="241"/>
    <col width="9.33203125" customWidth="1" style="55" min="242" max="242"/>
    <col width="11.1640625" customWidth="1" style="55" min="243" max="243"/>
    <col width="9.1640625" customWidth="1" style="55" min="244" max="244"/>
    <col width="10.33203125" customWidth="1" style="55" min="245" max="245"/>
    <col width="7.6640625" customWidth="1" style="55" min="246" max="246"/>
    <col width="12.6640625" customWidth="1" style="55" min="247" max="247"/>
    <col width="10.6640625" customWidth="1" style="55" min="248" max="248"/>
    <col width="12.83203125" customWidth="1" style="55" min="249" max="249"/>
    <col width="10.83203125" customWidth="1" style="55" min="250" max="250"/>
    <col width="12.5" customWidth="1" style="55" min="251" max="251"/>
    <col width="10.5" customWidth="1" style="55" min="252" max="252"/>
    <col width="13.1640625" customWidth="1" style="55" min="253" max="253"/>
    <col width="9.83203125" customWidth="1" style="55" min="254" max="254"/>
    <col width="13.6640625" customWidth="1" style="55" min="255" max="255"/>
    <col width="9.5" customWidth="1" style="55" min="256" max="256"/>
    <col width="12.5" customWidth="1" style="55" min="257" max="257"/>
    <col width="10" customWidth="1" style="55" min="258" max="258"/>
    <col width="13" customWidth="1" style="55" min="259" max="259"/>
    <col width="11" customWidth="1" style="55" min="260" max="260"/>
    <col width="13.83203125" customWidth="1" style="55" min="261" max="261"/>
    <col width="11.33203125" customWidth="1" style="55" min="262" max="262"/>
    <col width="13" customWidth="1" style="55" min="263" max="263"/>
    <col width="9" customWidth="1" style="55" min="264" max="264"/>
    <col width="3.83203125" customWidth="1" style="55" min="265" max="265"/>
    <col width="18.5" customWidth="1" style="55" min="266" max="266"/>
    <col width="10" customWidth="1" style="55" min="267" max="267"/>
    <col width="9.1640625" customWidth="1" style="55" min="268" max="491"/>
    <col width="25.6640625" customWidth="1" style="55" min="492" max="492"/>
    <col width="9" customWidth="1" style="55" min="493" max="493"/>
    <col width="22" customWidth="1" style="55" min="494" max="494"/>
    <col width="4.5" customWidth="1" style="55" min="495" max="495"/>
    <col width="13.33203125" customWidth="1" style="55" min="496" max="496"/>
    <col width="14.1640625" customWidth="1" style="55" min="497" max="497"/>
    <col width="9.33203125" customWidth="1" style="55" min="498" max="498"/>
    <col width="11.1640625" customWidth="1" style="55" min="499" max="499"/>
    <col width="9.1640625" customWidth="1" style="55" min="500" max="500"/>
    <col width="10.33203125" customWidth="1" style="55" min="501" max="501"/>
    <col width="7.6640625" customWidth="1" style="55" min="502" max="502"/>
    <col width="12.6640625" customWidth="1" style="55" min="503" max="503"/>
    <col width="10.6640625" customWidth="1" style="55" min="504" max="504"/>
    <col width="12.83203125" customWidth="1" style="55" min="505" max="505"/>
    <col width="10.83203125" customWidth="1" style="55" min="506" max="506"/>
    <col width="12.5" customWidth="1" style="55" min="507" max="507"/>
    <col width="10.5" customWidth="1" style="55" min="508" max="508"/>
    <col width="13.1640625" customWidth="1" style="55" min="509" max="509"/>
    <col width="9.83203125" customWidth="1" style="55" min="510" max="510"/>
    <col width="13.6640625" customWidth="1" style="55" min="511" max="511"/>
    <col width="9.5" customWidth="1" style="55" min="512" max="512"/>
    <col width="12.5" customWidth="1" style="55" min="513" max="513"/>
    <col width="10" customWidth="1" style="55" min="514" max="514"/>
    <col width="13" customWidth="1" style="55" min="515" max="515"/>
    <col width="11" customWidth="1" style="55" min="516" max="516"/>
    <col width="13.83203125" customWidth="1" style="55" min="517" max="517"/>
    <col width="11.33203125" customWidth="1" style="55" min="518" max="518"/>
    <col width="13" customWidth="1" style="55" min="519" max="519"/>
    <col width="9" customWidth="1" style="55" min="520" max="520"/>
    <col width="3.83203125" customWidth="1" style="55" min="521" max="521"/>
    <col width="18.5" customWidth="1" style="55" min="522" max="522"/>
    <col width="10" customWidth="1" style="55" min="523" max="523"/>
    <col width="9.1640625" customWidth="1" style="55" min="524" max="747"/>
    <col width="25.6640625" customWidth="1" style="55" min="748" max="748"/>
    <col width="9" customWidth="1" style="55" min="749" max="749"/>
    <col width="22" customWidth="1" style="55" min="750" max="750"/>
    <col width="4.5" customWidth="1" style="55" min="751" max="751"/>
    <col width="13.33203125" customWidth="1" style="55" min="752" max="752"/>
    <col width="14.1640625" customWidth="1" style="55" min="753" max="753"/>
    <col width="9.33203125" customWidth="1" style="55" min="754" max="754"/>
    <col width="11.1640625" customWidth="1" style="55" min="755" max="755"/>
    <col width="9.1640625" customWidth="1" style="55" min="756" max="756"/>
    <col width="10.33203125" customWidth="1" style="55" min="757" max="757"/>
    <col width="7.6640625" customWidth="1" style="55" min="758" max="758"/>
    <col width="12.6640625" customWidth="1" style="55" min="759" max="759"/>
    <col width="10.6640625" customWidth="1" style="55" min="760" max="760"/>
    <col width="12.83203125" customWidth="1" style="55" min="761" max="761"/>
    <col width="10.83203125" customWidth="1" style="55" min="762" max="762"/>
    <col width="12.5" customWidth="1" style="55" min="763" max="763"/>
    <col width="10.5" customWidth="1" style="55" min="764" max="764"/>
    <col width="13.1640625" customWidth="1" style="55" min="765" max="765"/>
    <col width="9.83203125" customWidth="1" style="55" min="766" max="766"/>
    <col width="13.6640625" customWidth="1" style="55" min="767" max="767"/>
    <col width="9.5" customWidth="1" style="55" min="768" max="768"/>
    <col width="12.5" customWidth="1" style="55" min="769" max="769"/>
    <col width="10" customWidth="1" style="55" min="770" max="770"/>
    <col width="13" customWidth="1" style="55" min="771" max="771"/>
    <col width="11" customWidth="1" style="55" min="772" max="772"/>
    <col width="13.83203125" customWidth="1" style="55" min="773" max="773"/>
    <col width="11.33203125" customWidth="1" style="55" min="774" max="774"/>
    <col width="13" customWidth="1" style="55" min="775" max="775"/>
    <col width="9" customWidth="1" style="55" min="776" max="776"/>
    <col width="3.83203125" customWidth="1" style="55" min="777" max="777"/>
    <col width="18.5" customWidth="1" style="55" min="778" max="778"/>
    <col width="10" customWidth="1" style="55" min="779" max="779"/>
    <col width="9.1640625" customWidth="1" style="55" min="780" max="1003"/>
    <col width="25.6640625" customWidth="1" style="55" min="1004" max="1004"/>
    <col width="9" customWidth="1" style="55" min="1005" max="1005"/>
    <col width="22" customWidth="1" style="55" min="1006" max="1006"/>
    <col width="4.5" customWidth="1" style="55" min="1007" max="1007"/>
    <col width="13.33203125" customWidth="1" style="55" min="1008" max="1008"/>
    <col width="14.1640625" customWidth="1" style="55" min="1009" max="1009"/>
    <col width="9.33203125" customWidth="1" style="55" min="1010" max="1010"/>
    <col width="11.1640625" customWidth="1" style="55" min="1011" max="1011"/>
    <col width="9.1640625" customWidth="1" style="55" min="1012" max="1012"/>
    <col width="10.33203125" customWidth="1" style="55" min="1013" max="1013"/>
    <col width="7.6640625" customWidth="1" style="55" min="1014" max="1014"/>
    <col width="12.6640625" customWidth="1" style="55" min="1015" max="1015"/>
    <col width="10.6640625" customWidth="1" style="55" min="1016" max="1016"/>
    <col width="12.83203125" customWidth="1" style="55" min="1017" max="1017"/>
    <col width="10.83203125" customWidth="1" style="55" min="1018" max="1018"/>
    <col width="12.5" customWidth="1" style="55" min="1019" max="1019"/>
    <col width="10.5" customWidth="1" style="55" min="1020" max="1020"/>
    <col width="13.1640625" customWidth="1" style="55" min="1021" max="1021"/>
    <col width="9.83203125" customWidth="1" style="55" min="1022" max="1022"/>
    <col width="13.6640625" customWidth="1" style="55" min="1023" max="1023"/>
    <col width="9.5" customWidth="1" style="55" min="1024" max="1024"/>
    <col width="12.5" customWidth="1" style="55" min="1025" max="1025"/>
    <col width="10" customWidth="1" style="55" min="1026" max="1026"/>
    <col width="13" customWidth="1" style="55" min="1027" max="1027"/>
    <col width="11" customWidth="1" style="55" min="1028" max="1028"/>
    <col width="13.83203125" customWidth="1" style="55" min="1029" max="1029"/>
    <col width="11.33203125" customWidth="1" style="55" min="1030" max="1030"/>
    <col width="13" customWidth="1" style="55" min="1031" max="1031"/>
    <col width="9" customWidth="1" style="55" min="1032" max="1032"/>
    <col width="3.83203125" customWidth="1" style="55" min="1033" max="1033"/>
    <col width="18.5" customWidth="1" style="55" min="1034" max="1034"/>
    <col width="10" customWidth="1" style="55" min="1035" max="1035"/>
    <col width="9.1640625" customWidth="1" style="55" min="1036" max="1259"/>
    <col width="25.6640625" customWidth="1" style="55" min="1260" max="1260"/>
    <col width="9" customWidth="1" style="55" min="1261" max="1261"/>
    <col width="22" customWidth="1" style="55" min="1262" max="1262"/>
    <col width="4.5" customWidth="1" style="55" min="1263" max="1263"/>
    <col width="13.33203125" customWidth="1" style="55" min="1264" max="1264"/>
    <col width="14.1640625" customWidth="1" style="55" min="1265" max="1265"/>
    <col width="9.33203125" customWidth="1" style="55" min="1266" max="1266"/>
    <col width="11.1640625" customWidth="1" style="55" min="1267" max="1267"/>
    <col width="9.1640625" customWidth="1" style="55" min="1268" max="1268"/>
    <col width="10.33203125" customWidth="1" style="55" min="1269" max="1269"/>
    <col width="7.6640625" customWidth="1" style="55" min="1270" max="1270"/>
    <col width="12.6640625" customWidth="1" style="55" min="1271" max="1271"/>
    <col width="10.6640625" customWidth="1" style="55" min="1272" max="1272"/>
    <col width="12.83203125" customWidth="1" style="55" min="1273" max="1273"/>
    <col width="10.83203125" customWidth="1" style="55" min="1274" max="1274"/>
    <col width="12.5" customWidth="1" style="55" min="1275" max="1275"/>
    <col width="10.5" customWidth="1" style="55" min="1276" max="1276"/>
    <col width="13.1640625" customWidth="1" style="55" min="1277" max="1277"/>
    <col width="9.83203125" customWidth="1" style="55" min="1278" max="1278"/>
    <col width="13.6640625" customWidth="1" style="55" min="1279" max="1279"/>
    <col width="9.5" customWidth="1" style="55" min="1280" max="1280"/>
    <col width="12.5" customWidth="1" style="55" min="1281" max="1281"/>
    <col width="10" customWidth="1" style="55" min="1282" max="1282"/>
    <col width="13" customWidth="1" style="55" min="1283" max="1283"/>
    <col width="11" customWidth="1" style="55" min="1284" max="1284"/>
    <col width="13.83203125" customWidth="1" style="55" min="1285" max="1285"/>
    <col width="11.33203125" customWidth="1" style="55" min="1286" max="1286"/>
    <col width="13" customWidth="1" style="55" min="1287" max="1287"/>
    <col width="9" customWidth="1" style="55" min="1288" max="1288"/>
    <col width="3.83203125" customWidth="1" style="55" min="1289" max="1289"/>
    <col width="18.5" customWidth="1" style="55" min="1290" max="1290"/>
    <col width="10" customWidth="1" style="55" min="1291" max="1291"/>
    <col width="9.1640625" customWidth="1" style="55" min="1292" max="1515"/>
    <col width="25.6640625" customWidth="1" style="55" min="1516" max="1516"/>
    <col width="9" customWidth="1" style="55" min="1517" max="1517"/>
    <col width="22" customWidth="1" style="55" min="1518" max="1518"/>
    <col width="4.5" customWidth="1" style="55" min="1519" max="1519"/>
    <col width="13.33203125" customWidth="1" style="55" min="1520" max="1520"/>
    <col width="14.1640625" customWidth="1" style="55" min="1521" max="1521"/>
    <col width="9.33203125" customWidth="1" style="55" min="1522" max="1522"/>
    <col width="11.1640625" customWidth="1" style="55" min="1523" max="1523"/>
    <col width="9.1640625" customWidth="1" style="55" min="1524" max="1524"/>
    <col width="10.33203125" customWidth="1" style="55" min="1525" max="1525"/>
    <col width="7.6640625" customWidth="1" style="55" min="1526" max="1526"/>
    <col width="12.6640625" customWidth="1" style="55" min="1527" max="1527"/>
    <col width="10.6640625" customWidth="1" style="55" min="1528" max="1528"/>
    <col width="12.83203125" customWidth="1" style="55" min="1529" max="1529"/>
    <col width="10.83203125" customWidth="1" style="55" min="1530" max="1530"/>
    <col width="12.5" customWidth="1" style="55" min="1531" max="1531"/>
    <col width="10.5" customWidth="1" style="55" min="1532" max="1532"/>
    <col width="13.1640625" customWidth="1" style="55" min="1533" max="1533"/>
    <col width="9.83203125" customWidth="1" style="55" min="1534" max="1534"/>
    <col width="13.6640625" customWidth="1" style="55" min="1535" max="1535"/>
    <col width="9.5" customWidth="1" style="55" min="1536" max="1536"/>
    <col width="12.5" customWidth="1" style="55" min="1537" max="1537"/>
    <col width="10" customWidth="1" style="55" min="1538" max="1538"/>
    <col width="13" customWidth="1" style="55" min="1539" max="1539"/>
    <col width="11" customWidth="1" style="55" min="1540" max="1540"/>
    <col width="13.83203125" customWidth="1" style="55" min="1541" max="1541"/>
    <col width="11.33203125" customWidth="1" style="55" min="1542" max="1542"/>
    <col width="13" customWidth="1" style="55" min="1543" max="1543"/>
    <col width="9" customWidth="1" style="55" min="1544" max="1544"/>
    <col width="3.83203125" customWidth="1" style="55" min="1545" max="1545"/>
    <col width="18.5" customWidth="1" style="55" min="1546" max="1546"/>
    <col width="10" customWidth="1" style="55" min="1547" max="1547"/>
    <col width="9.1640625" customWidth="1" style="55" min="1548" max="1771"/>
    <col width="25.6640625" customWidth="1" style="55" min="1772" max="1772"/>
    <col width="9" customWidth="1" style="55" min="1773" max="1773"/>
    <col width="22" customWidth="1" style="55" min="1774" max="1774"/>
    <col width="4.5" customWidth="1" style="55" min="1775" max="1775"/>
    <col width="13.33203125" customWidth="1" style="55" min="1776" max="1776"/>
    <col width="14.1640625" customWidth="1" style="55" min="1777" max="1777"/>
    <col width="9.33203125" customWidth="1" style="55" min="1778" max="1778"/>
    <col width="11.1640625" customWidth="1" style="55" min="1779" max="1779"/>
    <col width="9.1640625" customWidth="1" style="55" min="1780" max="1780"/>
    <col width="10.33203125" customWidth="1" style="55" min="1781" max="1781"/>
    <col width="7.6640625" customWidth="1" style="55" min="1782" max="1782"/>
    <col width="12.6640625" customWidth="1" style="55" min="1783" max="1783"/>
    <col width="10.6640625" customWidth="1" style="55" min="1784" max="1784"/>
    <col width="12.83203125" customWidth="1" style="55" min="1785" max="1785"/>
    <col width="10.83203125" customWidth="1" style="55" min="1786" max="1786"/>
    <col width="12.5" customWidth="1" style="55" min="1787" max="1787"/>
    <col width="10.5" customWidth="1" style="55" min="1788" max="1788"/>
    <col width="13.1640625" customWidth="1" style="55" min="1789" max="1789"/>
    <col width="9.83203125" customWidth="1" style="55" min="1790" max="1790"/>
    <col width="13.6640625" customWidth="1" style="55" min="1791" max="1791"/>
    <col width="9.5" customWidth="1" style="55" min="1792" max="1792"/>
    <col width="12.5" customWidth="1" style="55" min="1793" max="1793"/>
    <col width="10" customWidth="1" style="55" min="1794" max="1794"/>
    <col width="13" customWidth="1" style="55" min="1795" max="1795"/>
    <col width="11" customWidth="1" style="55" min="1796" max="1796"/>
    <col width="13.83203125" customWidth="1" style="55" min="1797" max="1797"/>
    <col width="11.33203125" customWidth="1" style="55" min="1798" max="1798"/>
    <col width="13" customWidth="1" style="55" min="1799" max="1799"/>
    <col width="9" customWidth="1" style="55" min="1800" max="1800"/>
    <col width="3.83203125" customWidth="1" style="55" min="1801" max="1801"/>
    <col width="18.5" customWidth="1" style="55" min="1802" max="1802"/>
    <col width="10" customWidth="1" style="55" min="1803" max="1803"/>
    <col width="9.1640625" customWidth="1" style="55" min="1804" max="2027"/>
    <col width="25.6640625" customWidth="1" style="55" min="2028" max="2028"/>
    <col width="9" customWidth="1" style="55" min="2029" max="2029"/>
    <col width="22" customWidth="1" style="55" min="2030" max="2030"/>
    <col width="4.5" customWidth="1" style="55" min="2031" max="2031"/>
    <col width="13.33203125" customWidth="1" style="55" min="2032" max="2032"/>
    <col width="14.1640625" customWidth="1" style="55" min="2033" max="2033"/>
    <col width="9.33203125" customWidth="1" style="55" min="2034" max="2034"/>
    <col width="11.1640625" customWidth="1" style="55" min="2035" max="2035"/>
    <col width="9.1640625" customWidth="1" style="55" min="2036" max="2036"/>
    <col width="10.33203125" customWidth="1" style="55" min="2037" max="2037"/>
    <col width="7.6640625" customWidth="1" style="55" min="2038" max="2038"/>
    <col width="12.6640625" customWidth="1" style="55" min="2039" max="2039"/>
    <col width="10.6640625" customWidth="1" style="55" min="2040" max="2040"/>
    <col width="12.83203125" customWidth="1" style="55" min="2041" max="2041"/>
    <col width="10.83203125" customWidth="1" style="55" min="2042" max="2042"/>
    <col width="12.5" customWidth="1" style="55" min="2043" max="2043"/>
    <col width="10.5" customWidth="1" style="55" min="2044" max="2044"/>
    <col width="13.1640625" customWidth="1" style="55" min="2045" max="2045"/>
    <col width="9.83203125" customWidth="1" style="55" min="2046" max="2046"/>
    <col width="13.6640625" customWidth="1" style="55" min="2047" max="2047"/>
    <col width="9.5" customWidth="1" style="55" min="2048" max="2048"/>
    <col width="12.5" customWidth="1" style="55" min="2049" max="2049"/>
    <col width="10" customWidth="1" style="55" min="2050" max="2050"/>
    <col width="13" customWidth="1" style="55" min="2051" max="2051"/>
    <col width="11" customWidth="1" style="55" min="2052" max="2052"/>
    <col width="13.83203125" customWidth="1" style="55" min="2053" max="2053"/>
    <col width="11.33203125" customWidth="1" style="55" min="2054" max="2054"/>
    <col width="13" customWidth="1" style="55" min="2055" max="2055"/>
    <col width="9" customWidth="1" style="55" min="2056" max="2056"/>
    <col width="3.83203125" customWidth="1" style="55" min="2057" max="2057"/>
    <col width="18.5" customWidth="1" style="55" min="2058" max="2058"/>
    <col width="10" customWidth="1" style="55" min="2059" max="2059"/>
    <col width="9.1640625" customWidth="1" style="55" min="2060" max="2283"/>
    <col width="25.6640625" customWidth="1" style="55" min="2284" max="2284"/>
    <col width="9" customWidth="1" style="55" min="2285" max="2285"/>
    <col width="22" customWidth="1" style="55" min="2286" max="2286"/>
    <col width="4.5" customWidth="1" style="55" min="2287" max="2287"/>
    <col width="13.33203125" customWidth="1" style="55" min="2288" max="2288"/>
    <col width="14.1640625" customWidth="1" style="55" min="2289" max="2289"/>
    <col width="9.33203125" customWidth="1" style="55" min="2290" max="2290"/>
    <col width="11.1640625" customWidth="1" style="55" min="2291" max="2291"/>
    <col width="9.1640625" customWidth="1" style="55" min="2292" max="2292"/>
    <col width="10.33203125" customWidth="1" style="55" min="2293" max="2293"/>
    <col width="7.6640625" customWidth="1" style="55" min="2294" max="2294"/>
    <col width="12.6640625" customWidth="1" style="55" min="2295" max="2295"/>
    <col width="10.6640625" customWidth="1" style="55" min="2296" max="2296"/>
    <col width="12.83203125" customWidth="1" style="55" min="2297" max="2297"/>
    <col width="10.83203125" customWidth="1" style="55" min="2298" max="2298"/>
    <col width="12.5" customWidth="1" style="55" min="2299" max="2299"/>
    <col width="10.5" customWidth="1" style="55" min="2300" max="2300"/>
    <col width="13.1640625" customWidth="1" style="55" min="2301" max="2301"/>
    <col width="9.83203125" customWidth="1" style="55" min="2302" max="2302"/>
    <col width="13.6640625" customWidth="1" style="55" min="2303" max="2303"/>
    <col width="9.5" customWidth="1" style="55" min="2304" max="2304"/>
    <col width="12.5" customWidth="1" style="55" min="2305" max="2305"/>
    <col width="10" customWidth="1" style="55" min="2306" max="2306"/>
    <col width="13" customWidth="1" style="55" min="2307" max="2307"/>
    <col width="11" customWidth="1" style="55" min="2308" max="2308"/>
    <col width="13.83203125" customWidth="1" style="55" min="2309" max="2309"/>
    <col width="11.33203125" customWidth="1" style="55" min="2310" max="2310"/>
    <col width="13" customWidth="1" style="55" min="2311" max="2311"/>
    <col width="9" customWidth="1" style="55" min="2312" max="2312"/>
    <col width="3.83203125" customWidth="1" style="55" min="2313" max="2313"/>
    <col width="18.5" customWidth="1" style="55" min="2314" max="2314"/>
    <col width="10" customWidth="1" style="55" min="2315" max="2315"/>
    <col width="9.1640625" customWidth="1" style="55" min="2316" max="2539"/>
    <col width="25.6640625" customWidth="1" style="55" min="2540" max="2540"/>
    <col width="9" customWidth="1" style="55" min="2541" max="2541"/>
    <col width="22" customWidth="1" style="55" min="2542" max="2542"/>
    <col width="4.5" customWidth="1" style="55" min="2543" max="2543"/>
    <col width="13.33203125" customWidth="1" style="55" min="2544" max="2544"/>
    <col width="14.1640625" customWidth="1" style="55" min="2545" max="2545"/>
    <col width="9.33203125" customWidth="1" style="55" min="2546" max="2546"/>
    <col width="11.1640625" customWidth="1" style="55" min="2547" max="2547"/>
    <col width="9.1640625" customWidth="1" style="55" min="2548" max="2548"/>
    <col width="10.33203125" customWidth="1" style="55" min="2549" max="2549"/>
    <col width="7.6640625" customWidth="1" style="55" min="2550" max="2550"/>
    <col width="12.6640625" customWidth="1" style="55" min="2551" max="2551"/>
    <col width="10.6640625" customWidth="1" style="55" min="2552" max="2552"/>
    <col width="12.83203125" customWidth="1" style="55" min="2553" max="2553"/>
    <col width="10.83203125" customWidth="1" style="55" min="2554" max="2554"/>
    <col width="12.5" customWidth="1" style="55" min="2555" max="2555"/>
    <col width="10.5" customWidth="1" style="55" min="2556" max="2556"/>
    <col width="13.1640625" customWidth="1" style="55" min="2557" max="2557"/>
    <col width="9.83203125" customWidth="1" style="55" min="2558" max="2558"/>
    <col width="13.6640625" customWidth="1" style="55" min="2559" max="2559"/>
    <col width="9.5" customWidth="1" style="55" min="2560" max="2560"/>
    <col width="12.5" customWidth="1" style="55" min="2561" max="2561"/>
    <col width="10" customWidth="1" style="55" min="2562" max="2562"/>
    <col width="13" customWidth="1" style="55" min="2563" max="2563"/>
    <col width="11" customWidth="1" style="55" min="2564" max="2564"/>
    <col width="13.83203125" customWidth="1" style="55" min="2565" max="2565"/>
    <col width="11.33203125" customWidth="1" style="55" min="2566" max="2566"/>
    <col width="13" customWidth="1" style="55" min="2567" max="2567"/>
    <col width="9" customWidth="1" style="55" min="2568" max="2568"/>
    <col width="3.83203125" customWidth="1" style="55" min="2569" max="2569"/>
    <col width="18.5" customWidth="1" style="55" min="2570" max="2570"/>
    <col width="10" customWidth="1" style="55" min="2571" max="2571"/>
    <col width="9.1640625" customWidth="1" style="55" min="2572" max="2795"/>
    <col width="25.6640625" customWidth="1" style="55" min="2796" max="2796"/>
    <col width="9" customWidth="1" style="55" min="2797" max="2797"/>
    <col width="22" customWidth="1" style="55" min="2798" max="2798"/>
    <col width="4.5" customWidth="1" style="55" min="2799" max="2799"/>
    <col width="13.33203125" customWidth="1" style="55" min="2800" max="2800"/>
    <col width="14.1640625" customWidth="1" style="55" min="2801" max="2801"/>
    <col width="9.33203125" customWidth="1" style="55" min="2802" max="2802"/>
    <col width="11.1640625" customWidth="1" style="55" min="2803" max="2803"/>
    <col width="9.1640625" customWidth="1" style="55" min="2804" max="2804"/>
    <col width="10.33203125" customWidth="1" style="55" min="2805" max="2805"/>
    <col width="7.6640625" customWidth="1" style="55" min="2806" max="2806"/>
    <col width="12.6640625" customWidth="1" style="55" min="2807" max="2807"/>
    <col width="10.6640625" customWidth="1" style="55" min="2808" max="2808"/>
    <col width="12.83203125" customWidth="1" style="55" min="2809" max="2809"/>
    <col width="10.83203125" customWidth="1" style="55" min="2810" max="2810"/>
    <col width="12.5" customWidth="1" style="55" min="2811" max="2811"/>
    <col width="10.5" customWidth="1" style="55" min="2812" max="2812"/>
    <col width="13.1640625" customWidth="1" style="55" min="2813" max="2813"/>
    <col width="9.83203125" customWidth="1" style="55" min="2814" max="2814"/>
    <col width="13.6640625" customWidth="1" style="55" min="2815" max="2815"/>
    <col width="9.5" customWidth="1" style="55" min="2816" max="2816"/>
    <col width="12.5" customWidth="1" style="55" min="2817" max="2817"/>
    <col width="10" customWidth="1" style="55" min="2818" max="2818"/>
    <col width="13" customWidth="1" style="55" min="2819" max="2819"/>
    <col width="11" customWidth="1" style="55" min="2820" max="2820"/>
    <col width="13.83203125" customWidth="1" style="55" min="2821" max="2821"/>
    <col width="11.33203125" customWidth="1" style="55" min="2822" max="2822"/>
    <col width="13" customWidth="1" style="55" min="2823" max="2823"/>
    <col width="9" customWidth="1" style="55" min="2824" max="2824"/>
    <col width="3.83203125" customWidth="1" style="55" min="2825" max="2825"/>
    <col width="18.5" customWidth="1" style="55" min="2826" max="2826"/>
    <col width="10" customWidth="1" style="55" min="2827" max="2827"/>
    <col width="9.1640625" customWidth="1" style="55" min="2828" max="3051"/>
    <col width="25.6640625" customWidth="1" style="55" min="3052" max="3052"/>
    <col width="9" customWidth="1" style="55" min="3053" max="3053"/>
    <col width="22" customWidth="1" style="55" min="3054" max="3054"/>
    <col width="4.5" customWidth="1" style="55" min="3055" max="3055"/>
    <col width="13.33203125" customWidth="1" style="55" min="3056" max="3056"/>
    <col width="14.1640625" customWidth="1" style="55" min="3057" max="3057"/>
    <col width="9.33203125" customWidth="1" style="55" min="3058" max="3058"/>
    <col width="11.1640625" customWidth="1" style="55" min="3059" max="3059"/>
    <col width="9.1640625" customWidth="1" style="55" min="3060" max="3060"/>
    <col width="10.33203125" customWidth="1" style="55" min="3061" max="3061"/>
    <col width="7.6640625" customWidth="1" style="55" min="3062" max="3062"/>
    <col width="12.6640625" customWidth="1" style="55" min="3063" max="3063"/>
    <col width="10.6640625" customWidth="1" style="55" min="3064" max="3064"/>
    <col width="12.83203125" customWidth="1" style="55" min="3065" max="3065"/>
    <col width="10.83203125" customWidth="1" style="55" min="3066" max="3066"/>
    <col width="12.5" customWidth="1" style="55" min="3067" max="3067"/>
    <col width="10.5" customWidth="1" style="55" min="3068" max="3068"/>
    <col width="13.1640625" customWidth="1" style="55" min="3069" max="3069"/>
    <col width="9.83203125" customWidth="1" style="55" min="3070" max="3070"/>
    <col width="13.6640625" customWidth="1" style="55" min="3071" max="3071"/>
    <col width="9.5" customWidth="1" style="55" min="3072" max="3072"/>
    <col width="12.5" customWidth="1" style="55" min="3073" max="3073"/>
    <col width="10" customWidth="1" style="55" min="3074" max="3074"/>
    <col width="13" customWidth="1" style="55" min="3075" max="3075"/>
    <col width="11" customWidth="1" style="55" min="3076" max="3076"/>
    <col width="13.83203125" customWidth="1" style="55" min="3077" max="3077"/>
    <col width="11.33203125" customWidth="1" style="55" min="3078" max="3078"/>
    <col width="13" customWidth="1" style="55" min="3079" max="3079"/>
    <col width="9" customWidth="1" style="55" min="3080" max="3080"/>
    <col width="3.83203125" customWidth="1" style="55" min="3081" max="3081"/>
    <col width="18.5" customWidth="1" style="55" min="3082" max="3082"/>
    <col width="10" customWidth="1" style="55" min="3083" max="3083"/>
    <col width="9.1640625" customWidth="1" style="55" min="3084" max="3307"/>
    <col width="25.6640625" customWidth="1" style="55" min="3308" max="3308"/>
    <col width="9" customWidth="1" style="55" min="3309" max="3309"/>
    <col width="22" customWidth="1" style="55" min="3310" max="3310"/>
    <col width="4.5" customWidth="1" style="55" min="3311" max="3311"/>
    <col width="13.33203125" customWidth="1" style="55" min="3312" max="3312"/>
    <col width="14.1640625" customWidth="1" style="55" min="3313" max="3313"/>
    <col width="9.33203125" customWidth="1" style="55" min="3314" max="3314"/>
    <col width="11.1640625" customWidth="1" style="55" min="3315" max="3315"/>
    <col width="9.1640625" customWidth="1" style="55" min="3316" max="3316"/>
    <col width="10.33203125" customWidth="1" style="55" min="3317" max="3317"/>
    <col width="7.6640625" customWidth="1" style="55" min="3318" max="3318"/>
    <col width="12.6640625" customWidth="1" style="55" min="3319" max="3319"/>
    <col width="10.6640625" customWidth="1" style="55" min="3320" max="3320"/>
    <col width="12.83203125" customWidth="1" style="55" min="3321" max="3321"/>
    <col width="10.83203125" customWidth="1" style="55" min="3322" max="3322"/>
    <col width="12.5" customWidth="1" style="55" min="3323" max="3323"/>
    <col width="10.5" customWidth="1" style="55" min="3324" max="3324"/>
    <col width="13.1640625" customWidth="1" style="55" min="3325" max="3325"/>
    <col width="9.83203125" customWidth="1" style="55" min="3326" max="3326"/>
    <col width="13.6640625" customWidth="1" style="55" min="3327" max="3327"/>
    <col width="9.5" customWidth="1" style="55" min="3328" max="3328"/>
    <col width="12.5" customWidth="1" style="55" min="3329" max="3329"/>
    <col width="10" customWidth="1" style="55" min="3330" max="3330"/>
    <col width="13" customWidth="1" style="55" min="3331" max="3331"/>
    <col width="11" customWidth="1" style="55" min="3332" max="3332"/>
    <col width="13.83203125" customWidth="1" style="55" min="3333" max="3333"/>
    <col width="11.33203125" customWidth="1" style="55" min="3334" max="3334"/>
    <col width="13" customWidth="1" style="55" min="3335" max="3335"/>
    <col width="9" customWidth="1" style="55" min="3336" max="3336"/>
    <col width="3.83203125" customWidth="1" style="55" min="3337" max="3337"/>
    <col width="18.5" customWidth="1" style="55" min="3338" max="3338"/>
    <col width="10" customWidth="1" style="55" min="3339" max="3339"/>
    <col width="9.1640625" customWidth="1" style="55" min="3340" max="3563"/>
    <col width="25.6640625" customWidth="1" style="55" min="3564" max="3564"/>
    <col width="9" customWidth="1" style="55" min="3565" max="3565"/>
    <col width="22" customWidth="1" style="55" min="3566" max="3566"/>
    <col width="4.5" customWidth="1" style="55" min="3567" max="3567"/>
    <col width="13.33203125" customWidth="1" style="55" min="3568" max="3568"/>
    <col width="14.1640625" customWidth="1" style="55" min="3569" max="3569"/>
    <col width="9.33203125" customWidth="1" style="55" min="3570" max="3570"/>
    <col width="11.1640625" customWidth="1" style="55" min="3571" max="3571"/>
    <col width="9.1640625" customWidth="1" style="55" min="3572" max="3572"/>
    <col width="10.33203125" customWidth="1" style="55" min="3573" max="3573"/>
    <col width="7.6640625" customWidth="1" style="55" min="3574" max="3574"/>
    <col width="12.6640625" customWidth="1" style="55" min="3575" max="3575"/>
    <col width="10.6640625" customWidth="1" style="55" min="3576" max="3576"/>
    <col width="12.83203125" customWidth="1" style="55" min="3577" max="3577"/>
    <col width="10.83203125" customWidth="1" style="55" min="3578" max="3578"/>
    <col width="12.5" customWidth="1" style="55" min="3579" max="3579"/>
    <col width="10.5" customWidth="1" style="55" min="3580" max="3580"/>
    <col width="13.1640625" customWidth="1" style="55" min="3581" max="3581"/>
    <col width="9.83203125" customWidth="1" style="55" min="3582" max="3582"/>
    <col width="13.6640625" customWidth="1" style="55" min="3583" max="3583"/>
    <col width="9.5" customWidth="1" style="55" min="3584" max="3584"/>
    <col width="12.5" customWidth="1" style="55" min="3585" max="3585"/>
    <col width="10" customWidth="1" style="55" min="3586" max="3586"/>
    <col width="13" customWidth="1" style="55" min="3587" max="3587"/>
    <col width="11" customWidth="1" style="55" min="3588" max="3588"/>
    <col width="13.83203125" customWidth="1" style="55" min="3589" max="3589"/>
    <col width="11.33203125" customWidth="1" style="55" min="3590" max="3590"/>
    <col width="13" customWidth="1" style="55" min="3591" max="3591"/>
    <col width="9" customWidth="1" style="55" min="3592" max="3592"/>
    <col width="3.83203125" customWidth="1" style="55" min="3593" max="3593"/>
    <col width="18.5" customWidth="1" style="55" min="3594" max="3594"/>
    <col width="10" customWidth="1" style="55" min="3595" max="3595"/>
    <col width="9.1640625" customWidth="1" style="55" min="3596" max="3819"/>
    <col width="25.6640625" customWidth="1" style="55" min="3820" max="3820"/>
    <col width="9" customWidth="1" style="55" min="3821" max="3821"/>
    <col width="22" customWidth="1" style="55" min="3822" max="3822"/>
    <col width="4.5" customWidth="1" style="55" min="3823" max="3823"/>
    <col width="13.33203125" customWidth="1" style="55" min="3824" max="3824"/>
    <col width="14.1640625" customWidth="1" style="55" min="3825" max="3825"/>
    <col width="9.33203125" customWidth="1" style="55" min="3826" max="3826"/>
    <col width="11.1640625" customWidth="1" style="55" min="3827" max="3827"/>
    <col width="9.1640625" customWidth="1" style="55" min="3828" max="3828"/>
    <col width="10.33203125" customWidth="1" style="55" min="3829" max="3829"/>
    <col width="7.6640625" customWidth="1" style="55" min="3830" max="3830"/>
    <col width="12.6640625" customWidth="1" style="55" min="3831" max="3831"/>
    <col width="10.6640625" customWidth="1" style="55" min="3832" max="3832"/>
    <col width="12.83203125" customWidth="1" style="55" min="3833" max="3833"/>
    <col width="10.83203125" customWidth="1" style="55" min="3834" max="3834"/>
    <col width="12.5" customWidth="1" style="55" min="3835" max="3835"/>
    <col width="10.5" customWidth="1" style="55" min="3836" max="3836"/>
    <col width="13.1640625" customWidth="1" style="55" min="3837" max="3837"/>
    <col width="9.83203125" customWidth="1" style="55" min="3838" max="3838"/>
    <col width="13.6640625" customWidth="1" style="55" min="3839" max="3839"/>
    <col width="9.5" customWidth="1" style="55" min="3840" max="3840"/>
    <col width="12.5" customWidth="1" style="55" min="3841" max="3841"/>
    <col width="10" customWidth="1" style="55" min="3842" max="3842"/>
    <col width="13" customWidth="1" style="55" min="3843" max="3843"/>
    <col width="11" customWidth="1" style="55" min="3844" max="3844"/>
    <col width="13.83203125" customWidth="1" style="55" min="3845" max="3845"/>
    <col width="11.33203125" customWidth="1" style="55" min="3846" max="3846"/>
    <col width="13" customWidth="1" style="55" min="3847" max="3847"/>
    <col width="9" customWidth="1" style="55" min="3848" max="3848"/>
    <col width="3.83203125" customWidth="1" style="55" min="3849" max="3849"/>
    <col width="18.5" customWidth="1" style="55" min="3850" max="3850"/>
    <col width="10" customWidth="1" style="55" min="3851" max="3851"/>
    <col width="9.1640625" customWidth="1" style="55" min="3852" max="4075"/>
    <col width="25.6640625" customWidth="1" style="55" min="4076" max="4076"/>
    <col width="9" customWidth="1" style="55" min="4077" max="4077"/>
    <col width="22" customWidth="1" style="55" min="4078" max="4078"/>
    <col width="4.5" customWidth="1" style="55" min="4079" max="4079"/>
    <col width="13.33203125" customWidth="1" style="55" min="4080" max="4080"/>
    <col width="14.1640625" customWidth="1" style="55" min="4081" max="4081"/>
    <col width="9.33203125" customWidth="1" style="55" min="4082" max="4082"/>
    <col width="11.1640625" customWidth="1" style="55" min="4083" max="4083"/>
    <col width="9.1640625" customWidth="1" style="55" min="4084" max="4084"/>
    <col width="10.33203125" customWidth="1" style="55" min="4085" max="4085"/>
    <col width="7.6640625" customWidth="1" style="55" min="4086" max="4086"/>
    <col width="12.6640625" customWidth="1" style="55" min="4087" max="4087"/>
    <col width="10.6640625" customWidth="1" style="55" min="4088" max="4088"/>
    <col width="12.83203125" customWidth="1" style="55" min="4089" max="4089"/>
    <col width="10.83203125" customWidth="1" style="55" min="4090" max="4090"/>
    <col width="12.5" customWidth="1" style="55" min="4091" max="4091"/>
    <col width="10.5" customWidth="1" style="55" min="4092" max="4092"/>
    <col width="13.1640625" customWidth="1" style="55" min="4093" max="4093"/>
    <col width="9.83203125" customWidth="1" style="55" min="4094" max="4094"/>
    <col width="13.6640625" customWidth="1" style="55" min="4095" max="4095"/>
    <col width="9.5" customWidth="1" style="55" min="4096" max="4096"/>
    <col width="12.5" customWidth="1" style="55" min="4097" max="4097"/>
    <col width="10" customWidth="1" style="55" min="4098" max="4098"/>
    <col width="13" customWidth="1" style="55" min="4099" max="4099"/>
    <col width="11" customWidth="1" style="55" min="4100" max="4100"/>
    <col width="13.83203125" customWidth="1" style="55" min="4101" max="4101"/>
    <col width="11.33203125" customWidth="1" style="55" min="4102" max="4102"/>
    <col width="13" customWidth="1" style="55" min="4103" max="4103"/>
    <col width="9" customWidth="1" style="55" min="4104" max="4104"/>
    <col width="3.83203125" customWidth="1" style="55" min="4105" max="4105"/>
    <col width="18.5" customWidth="1" style="55" min="4106" max="4106"/>
    <col width="10" customWidth="1" style="55" min="4107" max="4107"/>
    <col width="9.1640625" customWidth="1" style="55" min="4108" max="4331"/>
    <col width="25.6640625" customWidth="1" style="55" min="4332" max="4332"/>
    <col width="9" customWidth="1" style="55" min="4333" max="4333"/>
    <col width="22" customWidth="1" style="55" min="4334" max="4334"/>
    <col width="4.5" customWidth="1" style="55" min="4335" max="4335"/>
    <col width="13.33203125" customWidth="1" style="55" min="4336" max="4336"/>
    <col width="14.1640625" customWidth="1" style="55" min="4337" max="4337"/>
    <col width="9.33203125" customWidth="1" style="55" min="4338" max="4338"/>
    <col width="11.1640625" customWidth="1" style="55" min="4339" max="4339"/>
    <col width="9.1640625" customWidth="1" style="55" min="4340" max="4340"/>
    <col width="10.33203125" customWidth="1" style="55" min="4341" max="4341"/>
    <col width="7.6640625" customWidth="1" style="55" min="4342" max="4342"/>
    <col width="12.6640625" customWidth="1" style="55" min="4343" max="4343"/>
    <col width="10.6640625" customWidth="1" style="55" min="4344" max="4344"/>
    <col width="12.83203125" customWidth="1" style="55" min="4345" max="4345"/>
    <col width="10.83203125" customWidth="1" style="55" min="4346" max="4346"/>
    <col width="12.5" customWidth="1" style="55" min="4347" max="4347"/>
    <col width="10.5" customWidth="1" style="55" min="4348" max="4348"/>
    <col width="13.1640625" customWidth="1" style="55" min="4349" max="4349"/>
    <col width="9.83203125" customWidth="1" style="55" min="4350" max="4350"/>
    <col width="13.6640625" customWidth="1" style="55" min="4351" max="4351"/>
    <col width="9.5" customWidth="1" style="55" min="4352" max="4352"/>
    <col width="12.5" customWidth="1" style="55" min="4353" max="4353"/>
    <col width="10" customWidth="1" style="55" min="4354" max="4354"/>
    <col width="13" customWidth="1" style="55" min="4355" max="4355"/>
    <col width="11" customWidth="1" style="55" min="4356" max="4356"/>
    <col width="13.83203125" customWidth="1" style="55" min="4357" max="4357"/>
    <col width="11.33203125" customWidth="1" style="55" min="4358" max="4358"/>
    <col width="13" customWidth="1" style="55" min="4359" max="4359"/>
    <col width="9" customWidth="1" style="55" min="4360" max="4360"/>
    <col width="3.83203125" customWidth="1" style="55" min="4361" max="4361"/>
    <col width="18.5" customWidth="1" style="55" min="4362" max="4362"/>
    <col width="10" customWidth="1" style="55" min="4363" max="4363"/>
    <col width="9.1640625" customWidth="1" style="55" min="4364" max="4587"/>
    <col width="25.6640625" customWidth="1" style="55" min="4588" max="4588"/>
    <col width="9" customWidth="1" style="55" min="4589" max="4589"/>
    <col width="22" customWidth="1" style="55" min="4590" max="4590"/>
    <col width="4.5" customWidth="1" style="55" min="4591" max="4591"/>
    <col width="13.33203125" customWidth="1" style="55" min="4592" max="4592"/>
    <col width="14.1640625" customWidth="1" style="55" min="4593" max="4593"/>
    <col width="9.33203125" customWidth="1" style="55" min="4594" max="4594"/>
    <col width="11.1640625" customWidth="1" style="55" min="4595" max="4595"/>
    <col width="9.1640625" customWidth="1" style="55" min="4596" max="4596"/>
    <col width="10.33203125" customWidth="1" style="55" min="4597" max="4597"/>
    <col width="7.6640625" customWidth="1" style="55" min="4598" max="4598"/>
    <col width="12.6640625" customWidth="1" style="55" min="4599" max="4599"/>
    <col width="10.6640625" customWidth="1" style="55" min="4600" max="4600"/>
    <col width="12.83203125" customWidth="1" style="55" min="4601" max="4601"/>
    <col width="10.83203125" customWidth="1" style="55" min="4602" max="4602"/>
    <col width="12.5" customWidth="1" style="55" min="4603" max="4603"/>
    <col width="10.5" customWidth="1" style="55" min="4604" max="4604"/>
    <col width="13.1640625" customWidth="1" style="55" min="4605" max="4605"/>
    <col width="9.83203125" customWidth="1" style="55" min="4606" max="4606"/>
    <col width="13.6640625" customWidth="1" style="55" min="4607" max="4607"/>
    <col width="9.5" customWidth="1" style="55" min="4608" max="4608"/>
    <col width="12.5" customWidth="1" style="55" min="4609" max="4609"/>
    <col width="10" customWidth="1" style="55" min="4610" max="4610"/>
    <col width="13" customWidth="1" style="55" min="4611" max="4611"/>
    <col width="11" customWidth="1" style="55" min="4612" max="4612"/>
    <col width="13.83203125" customWidth="1" style="55" min="4613" max="4613"/>
    <col width="11.33203125" customWidth="1" style="55" min="4614" max="4614"/>
    <col width="13" customWidth="1" style="55" min="4615" max="4615"/>
    <col width="9" customWidth="1" style="55" min="4616" max="4616"/>
    <col width="3.83203125" customWidth="1" style="55" min="4617" max="4617"/>
    <col width="18.5" customWidth="1" style="55" min="4618" max="4618"/>
    <col width="10" customWidth="1" style="55" min="4619" max="4619"/>
    <col width="9.1640625" customWidth="1" style="55" min="4620" max="4843"/>
    <col width="25.6640625" customWidth="1" style="55" min="4844" max="4844"/>
    <col width="9" customWidth="1" style="55" min="4845" max="4845"/>
    <col width="22" customWidth="1" style="55" min="4846" max="4846"/>
    <col width="4.5" customWidth="1" style="55" min="4847" max="4847"/>
    <col width="13.33203125" customWidth="1" style="55" min="4848" max="4848"/>
    <col width="14.1640625" customWidth="1" style="55" min="4849" max="4849"/>
    <col width="9.33203125" customWidth="1" style="55" min="4850" max="4850"/>
    <col width="11.1640625" customWidth="1" style="55" min="4851" max="4851"/>
    <col width="9.1640625" customWidth="1" style="55" min="4852" max="4852"/>
    <col width="10.33203125" customWidth="1" style="55" min="4853" max="4853"/>
    <col width="7.6640625" customWidth="1" style="55" min="4854" max="4854"/>
    <col width="12.6640625" customWidth="1" style="55" min="4855" max="4855"/>
    <col width="10.6640625" customWidth="1" style="55" min="4856" max="4856"/>
    <col width="12.83203125" customWidth="1" style="55" min="4857" max="4857"/>
    <col width="10.83203125" customWidth="1" style="55" min="4858" max="4858"/>
    <col width="12.5" customWidth="1" style="55" min="4859" max="4859"/>
    <col width="10.5" customWidth="1" style="55" min="4860" max="4860"/>
    <col width="13.1640625" customWidth="1" style="55" min="4861" max="4861"/>
    <col width="9.83203125" customWidth="1" style="55" min="4862" max="4862"/>
    <col width="13.6640625" customWidth="1" style="55" min="4863" max="4863"/>
    <col width="9.5" customWidth="1" style="55" min="4864" max="4864"/>
    <col width="12.5" customWidth="1" style="55" min="4865" max="4865"/>
    <col width="10" customWidth="1" style="55" min="4866" max="4866"/>
    <col width="13" customWidth="1" style="55" min="4867" max="4867"/>
    <col width="11" customWidth="1" style="55" min="4868" max="4868"/>
    <col width="13.83203125" customWidth="1" style="55" min="4869" max="4869"/>
    <col width="11.33203125" customWidth="1" style="55" min="4870" max="4870"/>
    <col width="13" customWidth="1" style="55" min="4871" max="4871"/>
    <col width="9" customWidth="1" style="55" min="4872" max="4872"/>
    <col width="3.83203125" customWidth="1" style="55" min="4873" max="4873"/>
    <col width="18.5" customWidth="1" style="55" min="4874" max="4874"/>
    <col width="10" customWidth="1" style="55" min="4875" max="4875"/>
    <col width="9.1640625" customWidth="1" style="55" min="4876" max="5099"/>
    <col width="25.6640625" customWidth="1" style="55" min="5100" max="5100"/>
    <col width="9" customWidth="1" style="55" min="5101" max="5101"/>
    <col width="22" customWidth="1" style="55" min="5102" max="5102"/>
    <col width="4.5" customWidth="1" style="55" min="5103" max="5103"/>
    <col width="13.33203125" customWidth="1" style="55" min="5104" max="5104"/>
    <col width="14.1640625" customWidth="1" style="55" min="5105" max="5105"/>
    <col width="9.33203125" customWidth="1" style="55" min="5106" max="5106"/>
    <col width="11.1640625" customWidth="1" style="55" min="5107" max="5107"/>
    <col width="9.1640625" customWidth="1" style="55" min="5108" max="5108"/>
    <col width="10.33203125" customWidth="1" style="55" min="5109" max="5109"/>
    <col width="7.6640625" customWidth="1" style="55" min="5110" max="5110"/>
    <col width="12.6640625" customWidth="1" style="55" min="5111" max="5111"/>
    <col width="10.6640625" customWidth="1" style="55" min="5112" max="5112"/>
    <col width="12.83203125" customWidth="1" style="55" min="5113" max="5113"/>
    <col width="10.83203125" customWidth="1" style="55" min="5114" max="5114"/>
    <col width="12.5" customWidth="1" style="55" min="5115" max="5115"/>
    <col width="10.5" customWidth="1" style="55" min="5116" max="5116"/>
    <col width="13.1640625" customWidth="1" style="55" min="5117" max="5117"/>
    <col width="9.83203125" customWidth="1" style="55" min="5118" max="5118"/>
    <col width="13.6640625" customWidth="1" style="55" min="5119" max="5119"/>
    <col width="9.5" customWidth="1" style="55" min="5120" max="5120"/>
    <col width="12.5" customWidth="1" style="55" min="5121" max="5121"/>
    <col width="10" customWidth="1" style="55" min="5122" max="5122"/>
    <col width="13" customWidth="1" style="55" min="5123" max="5123"/>
    <col width="11" customWidth="1" style="55" min="5124" max="5124"/>
    <col width="13.83203125" customWidth="1" style="55" min="5125" max="5125"/>
    <col width="11.33203125" customWidth="1" style="55" min="5126" max="5126"/>
    <col width="13" customWidth="1" style="55" min="5127" max="5127"/>
    <col width="9" customWidth="1" style="55" min="5128" max="5128"/>
    <col width="3.83203125" customWidth="1" style="55" min="5129" max="5129"/>
    <col width="18.5" customWidth="1" style="55" min="5130" max="5130"/>
    <col width="10" customWidth="1" style="55" min="5131" max="5131"/>
    <col width="9.1640625" customWidth="1" style="55" min="5132" max="5355"/>
    <col width="25.6640625" customWidth="1" style="55" min="5356" max="5356"/>
    <col width="9" customWidth="1" style="55" min="5357" max="5357"/>
    <col width="22" customWidth="1" style="55" min="5358" max="5358"/>
    <col width="4.5" customWidth="1" style="55" min="5359" max="5359"/>
    <col width="13.33203125" customWidth="1" style="55" min="5360" max="5360"/>
    <col width="14.1640625" customWidth="1" style="55" min="5361" max="5361"/>
    <col width="9.33203125" customWidth="1" style="55" min="5362" max="5362"/>
    <col width="11.1640625" customWidth="1" style="55" min="5363" max="5363"/>
    <col width="9.1640625" customWidth="1" style="55" min="5364" max="5364"/>
    <col width="10.33203125" customWidth="1" style="55" min="5365" max="5365"/>
    <col width="7.6640625" customWidth="1" style="55" min="5366" max="5366"/>
    <col width="12.6640625" customWidth="1" style="55" min="5367" max="5367"/>
    <col width="10.6640625" customWidth="1" style="55" min="5368" max="5368"/>
    <col width="12.83203125" customWidth="1" style="55" min="5369" max="5369"/>
    <col width="10.83203125" customWidth="1" style="55" min="5370" max="5370"/>
    <col width="12.5" customWidth="1" style="55" min="5371" max="5371"/>
    <col width="10.5" customWidth="1" style="55" min="5372" max="5372"/>
    <col width="13.1640625" customWidth="1" style="55" min="5373" max="5373"/>
    <col width="9.83203125" customWidth="1" style="55" min="5374" max="5374"/>
    <col width="13.6640625" customWidth="1" style="55" min="5375" max="5375"/>
    <col width="9.5" customWidth="1" style="55" min="5376" max="5376"/>
    <col width="12.5" customWidth="1" style="55" min="5377" max="5377"/>
    <col width="10" customWidth="1" style="55" min="5378" max="5378"/>
    <col width="13" customWidth="1" style="55" min="5379" max="5379"/>
    <col width="11" customWidth="1" style="55" min="5380" max="5380"/>
    <col width="13.83203125" customWidth="1" style="55" min="5381" max="5381"/>
    <col width="11.33203125" customWidth="1" style="55" min="5382" max="5382"/>
    <col width="13" customWidth="1" style="55" min="5383" max="5383"/>
    <col width="9" customWidth="1" style="55" min="5384" max="5384"/>
    <col width="3.83203125" customWidth="1" style="55" min="5385" max="5385"/>
    <col width="18.5" customWidth="1" style="55" min="5386" max="5386"/>
    <col width="10" customWidth="1" style="55" min="5387" max="5387"/>
    <col width="9.1640625" customWidth="1" style="55" min="5388" max="5611"/>
    <col width="25.6640625" customWidth="1" style="55" min="5612" max="5612"/>
    <col width="9" customWidth="1" style="55" min="5613" max="5613"/>
    <col width="22" customWidth="1" style="55" min="5614" max="5614"/>
    <col width="4.5" customWidth="1" style="55" min="5615" max="5615"/>
    <col width="13.33203125" customWidth="1" style="55" min="5616" max="5616"/>
    <col width="14.1640625" customWidth="1" style="55" min="5617" max="5617"/>
    <col width="9.33203125" customWidth="1" style="55" min="5618" max="5618"/>
    <col width="11.1640625" customWidth="1" style="55" min="5619" max="5619"/>
    <col width="9.1640625" customWidth="1" style="55" min="5620" max="5620"/>
    <col width="10.33203125" customWidth="1" style="55" min="5621" max="5621"/>
    <col width="7.6640625" customWidth="1" style="55" min="5622" max="5622"/>
    <col width="12.6640625" customWidth="1" style="55" min="5623" max="5623"/>
    <col width="10.6640625" customWidth="1" style="55" min="5624" max="5624"/>
    <col width="12.83203125" customWidth="1" style="55" min="5625" max="5625"/>
    <col width="10.83203125" customWidth="1" style="55" min="5626" max="5626"/>
    <col width="12.5" customWidth="1" style="55" min="5627" max="5627"/>
    <col width="10.5" customWidth="1" style="55" min="5628" max="5628"/>
    <col width="13.1640625" customWidth="1" style="55" min="5629" max="5629"/>
    <col width="9.83203125" customWidth="1" style="55" min="5630" max="5630"/>
    <col width="13.6640625" customWidth="1" style="55" min="5631" max="5631"/>
    <col width="9.5" customWidth="1" style="55" min="5632" max="5632"/>
    <col width="12.5" customWidth="1" style="55" min="5633" max="5633"/>
    <col width="10" customWidth="1" style="55" min="5634" max="5634"/>
    <col width="13" customWidth="1" style="55" min="5635" max="5635"/>
    <col width="11" customWidth="1" style="55" min="5636" max="5636"/>
    <col width="13.83203125" customWidth="1" style="55" min="5637" max="5637"/>
    <col width="11.33203125" customWidth="1" style="55" min="5638" max="5638"/>
    <col width="13" customWidth="1" style="55" min="5639" max="5639"/>
    <col width="9" customWidth="1" style="55" min="5640" max="5640"/>
    <col width="3.83203125" customWidth="1" style="55" min="5641" max="5641"/>
    <col width="18.5" customWidth="1" style="55" min="5642" max="5642"/>
    <col width="10" customWidth="1" style="55" min="5643" max="5643"/>
    <col width="9.1640625" customWidth="1" style="55" min="5644" max="5867"/>
    <col width="25.6640625" customWidth="1" style="55" min="5868" max="5868"/>
    <col width="9" customWidth="1" style="55" min="5869" max="5869"/>
    <col width="22" customWidth="1" style="55" min="5870" max="5870"/>
    <col width="4.5" customWidth="1" style="55" min="5871" max="5871"/>
    <col width="13.33203125" customWidth="1" style="55" min="5872" max="5872"/>
    <col width="14.1640625" customWidth="1" style="55" min="5873" max="5873"/>
    <col width="9.33203125" customWidth="1" style="55" min="5874" max="5874"/>
    <col width="11.1640625" customWidth="1" style="55" min="5875" max="5875"/>
    <col width="9.1640625" customWidth="1" style="55" min="5876" max="5876"/>
    <col width="10.33203125" customWidth="1" style="55" min="5877" max="5877"/>
    <col width="7.6640625" customWidth="1" style="55" min="5878" max="5878"/>
    <col width="12.6640625" customWidth="1" style="55" min="5879" max="5879"/>
    <col width="10.6640625" customWidth="1" style="55" min="5880" max="5880"/>
    <col width="12.83203125" customWidth="1" style="55" min="5881" max="5881"/>
    <col width="10.83203125" customWidth="1" style="55" min="5882" max="5882"/>
    <col width="12.5" customWidth="1" style="55" min="5883" max="5883"/>
    <col width="10.5" customWidth="1" style="55" min="5884" max="5884"/>
    <col width="13.1640625" customWidth="1" style="55" min="5885" max="5885"/>
    <col width="9.83203125" customWidth="1" style="55" min="5886" max="5886"/>
    <col width="13.6640625" customWidth="1" style="55" min="5887" max="5887"/>
    <col width="9.5" customWidth="1" style="55" min="5888" max="5888"/>
    <col width="12.5" customWidth="1" style="55" min="5889" max="5889"/>
    <col width="10" customWidth="1" style="55" min="5890" max="5890"/>
    <col width="13" customWidth="1" style="55" min="5891" max="5891"/>
    <col width="11" customWidth="1" style="55" min="5892" max="5892"/>
    <col width="13.83203125" customWidth="1" style="55" min="5893" max="5893"/>
    <col width="11.33203125" customWidth="1" style="55" min="5894" max="5894"/>
    <col width="13" customWidth="1" style="55" min="5895" max="5895"/>
    <col width="9" customWidth="1" style="55" min="5896" max="5896"/>
    <col width="3.83203125" customWidth="1" style="55" min="5897" max="5897"/>
    <col width="18.5" customWidth="1" style="55" min="5898" max="5898"/>
    <col width="10" customWidth="1" style="55" min="5899" max="5899"/>
    <col width="9.1640625" customWidth="1" style="55" min="5900" max="6123"/>
    <col width="25.6640625" customWidth="1" style="55" min="6124" max="6124"/>
    <col width="9" customWidth="1" style="55" min="6125" max="6125"/>
    <col width="22" customWidth="1" style="55" min="6126" max="6126"/>
    <col width="4.5" customWidth="1" style="55" min="6127" max="6127"/>
    <col width="13.33203125" customWidth="1" style="55" min="6128" max="6128"/>
    <col width="14.1640625" customWidth="1" style="55" min="6129" max="6129"/>
    <col width="9.33203125" customWidth="1" style="55" min="6130" max="6130"/>
    <col width="11.1640625" customWidth="1" style="55" min="6131" max="6131"/>
    <col width="9.1640625" customWidth="1" style="55" min="6132" max="6132"/>
    <col width="10.33203125" customWidth="1" style="55" min="6133" max="6133"/>
    <col width="7.6640625" customWidth="1" style="55" min="6134" max="6134"/>
    <col width="12.6640625" customWidth="1" style="55" min="6135" max="6135"/>
    <col width="10.6640625" customWidth="1" style="55" min="6136" max="6136"/>
    <col width="12.83203125" customWidth="1" style="55" min="6137" max="6137"/>
    <col width="10.83203125" customWidth="1" style="55" min="6138" max="6138"/>
    <col width="12.5" customWidth="1" style="55" min="6139" max="6139"/>
    <col width="10.5" customWidth="1" style="55" min="6140" max="6140"/>
    <col width="13.1640625" customWidth="1" style="55" min="6141" max="6141"/>
    <col width="9.83203125" customWidth="1" style="55" min="6142" max="6142"/>
    <col width="13.6640625" customWidth="1" style="55" min="6143" max="6143"/>
    <col width="9.5" customWidth="1" style="55" min="6144" max="6144"/>
    <col width="12.5" customWidth="1" style="55" min="6145" max="6145"/>
    <col width="10" customWidth="1" style="55" min="6146" max="6146"/>
    <col width="13" customWidth="1" style="55" min="6147" max="6147"/>
    <col width="11" customWidth="1" style="55" min="6148" max="6148"/>
    <col width="13.83203125" customWidth="1" style="55" min="6149" max="6149"/>
    <col width="11.33203125" customWidth="1" style="55" min="6150" max="6150"/>
    <col width="13" customWidth="1" style="55" min="6151" max="6151"/>
    <col width="9" customWidth="1" style="55" min="6152" max="6152"/>
    <col width="3.83203125" customWidth="1" style="55" min="6153" max="6153"/>
    <col width="18.5" customWidth="1" style="55" min="6154" max="6154"/>
    <col width="10" customWidth="1" style="55" min="6155" max="6155"/>
    <col width="9.1640625" customWidth="1" style="55" min="6156" max="6379"/>
    <col width="25.6640625" customWidth="1" style="55" min="6380" max="6380"/>
    <col width="9" customWidth="1" style="55" min="6381" max="6381"/>
    <col width="22" customWidth="1" style="55" min="6382" max="6382"/>
    <col width="4.5" customWidth="1" style="55" min="6383" max="6383"/>
    <col width="13.33203125" customWidth="1" style="55" min="6384" max="6384"/>
    <col width="14.1640625" customWidth="1" style="55" min="6385" max="6385"/>
    <col width="9.33203125" customWidth="1" style="55" min="6386" max="6386"/>
    <col width="11.1640625" customWidth="1" style="55" min="6387" max="6387"/>
    <col width="9.1640625" customWidth="1" style="55" min="6388" max="6388"/>
    <col width="10.33203125" customWidth="1" style="55" min="6389" max="6389"/>
    <col width="7.6640625" customWidth="1" style="55" min="6390" max="6390"/>
    <col width="12.6640625" customWidth="1" style="55" min="6391" max="6391"/>
    <col width="10.6640625" customWidth="1" style="55" min="6392" max="6392"/>
    <col width="12.83203125" customWidth="1" style="55" min="6393" max="6393"/>
    <col width="10.83203125" customWidth="1" style="55" min="6394" max="6394"/>
    <col width="12.5" customWidth="1" style="55" min="6395" max="6395"/>
    <col width="10.5" customWidth="1" style="55" min="6396" max="6396"/>
    <col width="13.1640625" customWidth="1" style="55" min="6397" max="6397"/>
    <col width="9.83203125" customWidth="1" style="55" min="6398" max="6398"/>
    <col width="13.6640625" customWidth="1" style="55" min="6399" max="6399"/>
    <col width="9.5" customWidth="1" style="55" min="6400" max="6400"/>
    <col width="12.5" customWidth="1" style="55" min="6401" max="6401"/>
    <col width="10" customWidth="1" style="55" min="6402" max="6402"/>
    <col width="13" customWidth="1" style="55" min="6403" max="6403"/>
    <col width="11" customWidth="1" style="55" min="6404" max="6404"/>
    <col width="13.83203125" customWidth="1" style="55" min="6405" max="6405"/>
    <col width="11.33203125" customWidth="1" style="55" min="6406" max="6406"/>
    <col width="13" customWidth="1" style="55" min="6407" max="6407"/>
    <col width="9" customWidth="1" style="55" min="6408" max="6408"/>
    <col width="3.83203125" customWidth="1" style="55" min="6409" max="6409"/>
    <col width="18.5" customWidth="1" style="55" min="6410" max="6410"/>
    <col width="10" customWidth="1" style="55" min="6411" max="6411"/>
    <col width="9.1640625" customWidth="1" style="55" min="6412" max="6635"/>
    <col width="25.6640625" customWidth="1" style="55" min="6636" max="6636"/>
    <col width="9" customWidth="1" style="55" min="6637" max="6637"/>
    <col width="22" customWidth="1" style="55" min="6638" max="6638"/>
    <col width="4.5" customWidth="1" style="55" min="6639" max="6639"/>
    <col width="13.33203125" customWidth="1" style="55" min="6640" max="6640"/>
    <col width="14.1640625" customWidth="1" style="55" min="6641" max="6641"/>
    <col width="9.33203125" customWidth="1" style="55" min="6642" max="6642"/>
    <col width="11.1640625" customWidth="1" style="55" min="6643" max="6643"/>
    <col width="9.1640625" customWidth="1" style="55" min="6644" max="6644"/>
    <col width="10.33203125" customWidth="1" style="55" min="6645" max="6645"/>
    <col width="7.6640625" customWidth="1" style="55" min="6646" max="6646"/>
    <col width="12.6640625" customWidth="1" style="55" min="6647" max="6647"/>
    <col width="10.6640625" customWidth="1" style="55" min="6648" max="6648"/>
    <col width="12.83203125" customWidth="1" style="55" min="6649" max="6649"/>
    <col width="10.83203125" customWidth="1" style="55" min="6650" max="6650"/>
    <col width="12.5" customWidth="1" style="55" min="6651" max="6651"/>
    <col width="10.5" customWidth="1" style="55" min="6652" max="6652"/>
    <col width="13.1640625" customWidth="1" style="55" min="6653" max="6653"/>
    <col width="9.83203125" customWidth="1" style="55" min="6654" max="6654"/>
    <col width="13.6640625" customWidth="1" style="55" min="6655" max="6655"/>
    <col width="9.5" customWidth="1" style="55" min="6656" max="6656"/>
    <col width="12.5" customWidth="1" style="55" min="6657" max="6657"/>
    <col width="10" customWidth="1" style="55" min="6658" max="6658"/>
    <col width="13" customWidth="1" style="55" min="6659" max="6659"/>
    <col width="11" customWidth="1" style="55" min="6660" max="6660"/>
    <col width="13.83203125" customWidth="1" style="55" min="6661" max="6661"/>
    <col width="11.33203125" customWidth="1" style="55" min="6662" max="6662"/>
    <col width="13" customWidth="1" style="55" min="6663" max="6663"/>
    <col width="9" customWidth="1" style="55" min="6664" max="6664"/>
    <col width="3.83203125" customWidth="1" style="55" min="6665" max="6665"/>
    <col width="18.5" customWidth="1" style="55" min="6666" max="6666"/>
    <col width="10" customWidth="1" style="55" min="6667" max="6667"/>
    <col width="9.1640625" customWidth="1" style="55" min="6668" max="6891"/>
    <col width="25.6640625" customWidth="1" style="55" min="6892" max="6892"/>
    <col width="9" customWidth="1" style="55" min="6893" max="6893"/>
    <col width="22" customWidth="1" style="55" min="6894" max="6894"/>
    <col width="4.5" customWidth="1" style="55" min="6895" max="6895"/>
    <col width="13.33203125" customWidth="1" style="55" min="6896" max="6896"/>
    <col width="14.1640625" customWidth="1" style="55" min="6897" max="6897"/>
    <col width="9.33203125" customWidth="1" style="55" min="6898" max="6898"/>
    <col width="11.1640625" customWidth="1" style="55" min="6899" max="6899"/>
    <col width="9.1640625" customWidth="1" style="55" min="6900" max="6900"/>
    <col width="10.33203125" customWidth="1" style="55" min="6901" max="6901"/>
    <col width="7.6640625" customWidth="1" style="55" min="6902" max="6902"/>
    <col width="12.6640625" customWidth="1" style="55" min="6903" max="6903"/>
    <col width="10.6640625" customWidth="1" style="55" min="6904" max="6904"/>
    <col width="12.83203125" customWidth="1" style="55" min="6905" max="6905"/>
    <col width="10.83203125" customWidth="1" style="55" min="6906" max="6906"/>
    <col width="12.5" customWidth="1" style="55" min="6907" max="6907"/>
    <col width="10.5" customWidth="1" style="55" min="6908" max="6908"/>
    <col width="13.1640625" customWidth="1" style="55" min="6909" max="6909"/>
    <col width="9.83203125" customWidth="1" style="55" min="6910" max="6910"/>
    <col width="13.6640625" customWidth="1" style="55" min="6911" max="6911"/>
    <col width="9.5" customWidth="1" style="55" min="6912" max="6912"/>
    <col width="12.5" customWidth="1" style="55" min="6913" max="6913"/>
    <col width="10" customWidth="1" style="55" min="6914" max="6914"/>
    <col width="13" customWidth="1" style="55" min="6915" max="6915"/>
    <col width="11" customWidth="1" style="55" min="6916" max="6916"/>
    <col width="13.83203125" customWidth="1" style="55" min="6917" max="6917"/>
    <col width="11.33203125" customWidth="1" style="55" min="6918" max="6918"/>
    <col width="13" customWidth="1" style="55" min="6919" max="6919"/>
    <col width="9" customWidth="1" style="55" min="6920" max="6920"/>
    <col width="3.83203125" customWidth="1" style="55" min="6921" max="6921"/>
    <col width="18.5" customWidth="1" style="55" min="6922" max="6922"/>
    <col width="10" customWidth="1" style="55" min="6923" max="6923"/>
    <col width="9.1640625" customWidth="1" style="55" min="6924" max="7147"/>
    <col width="25.6640625" customWidth="1" style="55" min="7148" max="7148"/>
    <col width="9" customWidth="1" style="55" min="7149" max="7149"/>
    <col width="22" customWidth="1" style="55" min="7150" max="7150"/>
    <col width="4.5" customWidth="1" style="55" min="7151" max="7151"/>
    <col width="13.33203125" customWidth="1" style="55" min="7152" max="7152"/>
    <col width="14.1640625" customWidth="1" style="55" min="7153" max="7153"/>
    <col width="9.33203125" customWidth="1" style="55" min="7154" max="7154"/>
    <col width="11.1640625" customWidth="1" style="55" min="7155" max="7155"/>
    <col width="9.1640625" customWidth="1" style="55" min="7156" max="7156"/>
    <col width="10.33203125" customWidth="1" style="55" min="7157" max="7157"/>
    <col width="7.6640625" customWidth="1" style="55" min="7158" max="7158"/>
    <col width="12.6640625" customWidth="1" style="55" min="7159" max="7159"/>
    <col width="10.6640625" customWidth="1" style="55" min="7160" max="7160"/>
    <col width="12.83203125" customWidth="1" style="55" min="7161" max="7161"/>
    <col width="10.83203125" customWidth="1" style="55" min="7162" max="7162"/>
    <col width="12.5" customWidth="1" style="55" min="7163" max="7163"/>
    <col width="10.5" customWidth="1" style="55" min="7164" max="7164"/>
    <col width="13.1640625" customWidth="1" style="55" min="7165" max="7165"/>
    <col width="9.83203125" customWidth="1" style="55" min="7166" max="7166"/>
    <col width="13.6640625" customWidth="1" style="55" min="7167" max="7167"/>
    <col width="9.5" customWidth="1" style="55" min="7168" max="7168"/>
    <col width="12.5" customWidth="1" style="55" min="7169" max="7169"/>
    <col width="10" customWidth="1" style="55" min="7170" max="7170"/>
    <col width="13" customWidth="1" style="55" min="7171" max="7171"/>
    <col width="11" customWidth="1" style="55" min="7172" max="7172"/>
    <col width="13.83203125" customWidth="1" style="55" min="7173" max="7173"/>
    <col width="11.33203125" customWidth="1" style="55" min="7174" max="7174"/>
    <col width="13" customWidth="1" style="55" min="7175" max="7175"/>
    <col width="9" customWidth="1" style="55" min="7176" max="7176"/>
    <col width="3.83203125" customWidth="1" style="55" min="7177" max="7177"/>
    <col width="18.5" customWidth="1" style="55" min="7178" max="7178"/>
    <col width="10" customWidth="1" style="55" min="7179" max="7179"/>
    <col width="9.1640625" customWidth="1" style="55" min="7180" max="7403"/>
    <col width="25.6640625" customWidth="1" style="55" min="7404" max="7404"/>
    <col width="9" customWidth="1" style="55" min="7405" max="7405"/>
    <col width="22" customWidth="1" style="55" min="7406" max="7406"/>
    <col width="4.5" customWidth="1" style="55" min="7407" max="7407"/>
    <col width="13.33203125" customWidth="1" style="55" min="7408" max="7408"/>
    <col width="14.1640625" customWidth="1" style="55" min="7409" max="7409"/>
    <col width="9.33203125" customWidth="1" style="55" min="7410" max="7410"/>
    <col width="11.1640625" customWidth="1" style="55" min="7411" max="7411"/>
    <col width="9.1640625" customWidth="1" style="55" min="7412" max="7412"/>
    <col width="10.33203125" customWidth="1" style="55" min="7413" max="7413"/>
    <col width="7.6640625" customWidth="1" style="55" min="7414" max="7414"/>
    <col width="12.6640625" customWidth="1" style="55" min="7415" max="7415"/>
    <col width="10.6640625" customWidth="1" style="55" min="7416" max="7416"/>
    <col width="12.83203125" customWidth="1" style="55" min="7417" max="7417"/>
    <col width="10.83203125" customWidth="1" style="55" min="7418" max="7418"/>
    <col width="12.5" customWidth="1" style="55" min="7419" max="7419"/>
    <col width="10.5" customWidth="1" style="55" min="7420" max="7420"/>
    <col width="13.1640625" customWidth="1" style="55" min="7421" max="7421"/>
    <col width="9.83203125" customWidth="1" style="55" min="7422" max="7422"/>
    <col width="13.6640625" customWidth="1" style="55" min="7423" max="7423"/>
    <col width="9.5" customWidth="1" style="55" min="7424" max="7424"/>
    <col width="12.5" customWidth="1" style="55" min="7425" max="7425"/>
    <col width="10" customWidth="1" style="55" min="7426" max="7426"/>
    <col width="13" customWidth="1" style="55" min="7427" max="7427"/>
    <col width="11" customWidth="1" style="55" min="7428" max="7428"/>
    <col width="13.83203125" customWidth="1" style="55" min="7429" max="7429"/>
    <col width="11.33203125" customWidth="1" style="55" min="7430" max="7430"/>
    <col width="13" customWidth="1" style="55" min="7431" max="7431"/>
    <col width="9" customWidth="1" style="55" min="7432" max="7432"/>
    <col width="3.83203125" customWidth="1" style="55" min="7433" max="7433"/>
    <col width="18.5" customWidth="1" style="55" min="7434" max="7434"/>
    <col width="10" customWidth="1" style="55" min="7435" max="7435"/>
    <col width="9.1640625" customWidth="1" style="55" min="7436" max="7659"/>
    <col width="25.6640625" customWidth="1" style="55" min="7660" max="7660"/>
    <col width="9" customWidth="1" style="55" min="7661" max="7661"/>
    <col width="22" customWidth="1" style="55" min="7662" max="7662"/>
    <col width="4.5" customWidth="1" style="55" min="7663" max="7663"/>
    <col width="13.33203125" customWidth="1" style="55" min="7664" max="7664"/>
    <col width="14.1640625" customWidth="1" style="55" min="7665" max="7665"/>
    <col width="9.33203125" customWidth="1" style="55" min="7666" max="7666"/>
    <col width="11.1640625" customWidth="1" style="55" min="7667" max="7667"/>
    <col width="9.1640625" customWidth="1" style="55" min="7668" max="7668"/>
    <col width="10.33203125" customWidth="1" style="55" min="7669" max="7669"/>
    <col width="7.6640625" customWidth="1" style="55" min="7670" max="7670"/>
    <col width="12.6640625" customWidth="1" style="55" min="7671" max="7671"/>
    <col width="10.6640625" customWidth="1" style="55" min="7672" max="7672"/>
    <col width="12.83203125" customWidth="1" style="55" min="7673" max="7673"/>
    <col width="10.83203125" customWidth="1" style="55" min="7674" max="7674"/>
    <col width="12.5" customWidth="1" style="55" min="7675" max="7675"/>
    <col width="10.5" customWidth="1" style="55" min="7676" max="7676"/>
    <col width="13.1640625" customWidth="1" style="55" min="7677" max="7677"/>
    <col width="9.83203125" customWidth="1" style="55" min="7678" max="7678"/>
    <col width="13.6640625" customWidth="1" style="55" min="7679" max="7679"/>
    <col width="9.5" customWidth="1" style="55" min="7680" max="7680"/>
    <col width="12.5" customWidth="1" style="55" min="7681" max="7681"/>
    <col width="10" customWidth="1" style="55" min="7682" max="7682"/>
    <col width="13" customWidth="1" style="55" min="7683" max="7683"/>
    <col width="11" customWidth="1" style="55" min="7684" max="7684"/>
    <col width="13.83203125" customWidth="1" style="55" min="7685" max="7685"/>
    <col width="11.33203125" customWidth="1" style="55" min="7686" max="7686"/>
    <col width="13" customWidth="1" style="55" min="7687" max="7687"/>
    <col width="9" customWidth="1" style="55" min="7688" max="7688"/>
    <col width="3.83203125" customWidth="1" style="55" min="7689" max="7689"/>
    <col width="18.5" customWidth="1" style="55" min="7690" max="7690"/>
    <col width="10" customWidth="1" style="55" min="7691" max="7691"/>
    <col width="9.1640625" customWidth="1" style="55" min="7692" max="7915"/>
    <col width="25.6640625" customWidth="1" style="55" min="7916" max="7916"/>
    <col width="9" customWidth="1" style="55" min="7917" max="7917"/>
    <col width="22" customWidth="1" style="55" min="7918" max="7918"/>
    <col width="4.5" customWidth="1" style="55" min="7919" max="7919"/>
    <col width="13.33203125" customWidth="1" style="55" min="7920" max="7920"/>
    <col width="14.1640625" customWidth="1" style="55" min="7921" max="7921"/>
    <col width="9.33203125" customWidth="1" style="55" min="7922" max="7922"/>
    <col width="11.1640625" customWidth="1" style="55" min="7923" max="7923"/>
    <col width="9.1640625" customWidth="1" style="55" min="7924" max="7924"/>
    <col width="10.33203125" customWidth="1" style="55" min="7925" max="7925"/>
    <col width="7.6640625" customWidth="1" style="55" min="7926" max="7926"/>
    <col width="12.6640625" customWidth="1" style="55" min="7927" max="7927"/>
    <col width="10.6640625" customWidth="1" style="55" min="7928" max="7928"/>
    <col width="12.83203125" customWidth="1" style="55" min="7929" max="7929"/>
    <col width="10.83203125" customWidth="1" style="55" min="7930" max="7930"/>
    <col width="12.5" customWidth="1" style="55" min="7931" max="7931"/>
    <col width="10.5" customWidth="1" style="55" min="7932" max="7932"/>
    <col width="13.1640625" customWidth="1" style="55" min="7933" max="7933"/>
    <col width="9.83203125" customWidth="1" style="55" min="7934" max="7934"/>
    <col width="13.6640625" customWidth="1" style="55" min="7935" max="7935"/>
    <col width="9.5" customWidth="1" style="55" min="7936" max="7936"/>
    <col width="12.5" customWidth="1" style="55" min="7937" max="7937"/>
    <col width="10" customWidth="1" style="55" min="7938" max="7938"/>
    <col width="13" customWidth="1" style="55" min="7939" max="7939"/>
    <col width="11" customWidth="1" style="55" min="7940" max="7940"/>
    <col width="13.83203125" customWidth="1" style="55" min="7941" max="7941"/>
    <col width="11.33203125" customWidth="1" style="55" min="7942" max="7942"/>
    <col width="13" customWidth="1" style="55" min="7943" max="7943"/>
    <col width="9" customWidth="1" style="55" min="7944" max="7944"/>
    <col width="3.83203125" customWidth="1" style="55" min="7945" max="7945"/>
    <col width="18.5" customWidth="1" style="55" min="7946" max="7946"/>
    <col width="10" customWidth="1" style="55" min="7947" max="7947"/>
    <col width="9.1640625" customWidth="1" style="55" min="7948" max="8171"/>
    <col width="25.6640625" customWidth="1" style="55" min="8172" max="8172"/>
    <col width="9" customWidth="1" style="55" min="8173" max="8173"/>
    <col width="22" customWidth="1" style="55" min="8174" max="8174"/>
    <col width="4.5" customWidth="1" style="55" min="8175" max="8175"/>
    <col width="13.33203125" customWidth="1" style="55" min="8176" max="8176"/>
    <col width="14.1640625" customWidth="1" style="55" min="8177" max="8177"/>
    <col width="9.33203125" customWidth="1" style="55" min="8178" max="8178"/>
    <col width="11.1640625" customWidth="1" style="55" min="8179" max="8179"/>
    <col width="9.1640625" customWidth="1" style="55" min="8180" max="8180"/>
    <col width="10.33203125" customWidth="1" style="55" min="8181" max="8181"/>
    <col width="7.6640625" customWidth="1" style="55" min="8182" max="8182"/>
    <col width="12.6640625" customWidth="1" style="55" min="8183" max="8183"/>
    <col width="10.6640625" customWidth="1" style="55" min="8184" max="8184"/>
    <col width="12.83203125" customWidth="1" style="55" min="8185" max="8185"/>
    <col width="10.83203125" customWidth="1" style="55" min="8186" max="8186"/>
    <col width="12.5" customWidth="1" style="55" min="8187" max="8187"/>
    <col width="10.5" customWidth="1" style="55" min="8188" max="8188"/>
    <col width="13.1640625" customWidth="1" style="55" min="8189" max="8189"/>
    <col width="9.83203125" customWidth="1" style="55" min="8190" max="8190"/>
    <col width="13.6640625" customWidth="1" style="55" min="8191" max="8191"/>
    <col width="9.5" customWidth="1" style="55" min="8192" max="8192"/>
    <col width="12.5" customWidth="1" style="55" min="8193" max="8193"/>
    <col width="10" customWidth="1" style="55" min="8194" max="8194"/>
    <col width="13" customWidth="1" style="55" min="8195" max="8195"/>
    <col width="11" customWidth="1" style="55" min="8196" max="8196"/>
    <col width="13.83203125" customWidth="1" style="55" min="8197" max="8197"/>
    <col width="11.33203125" customWidth="1" style="55" min="8198" max="8198"/>
    <col width="13" customWidth="1" style="55" min="8199" max="8199"/>
    <col width="9" customWidth="1" style="55" min="8200" max="8200"/>
    <col width="3.83203125" customWidth="1" style="55" min="8201" max="8201"/>
    <col width="18.5" customWidth="1" style="55" min="8202" max="8202"/>
    <col width="10" customWidth="1" style="55" min="8203" max="8203"/>
    <col width="9.1640625" customWidth="1" style="55" min="8204" max="8427"/>
    <col width="25.6640625" customWidth="1" style="55" min="8428" max="8428"/>
    <col width="9" customWidth="1" style="55" min="8429" max="8429"/>
    <col width="22" customWidth="1" style="55" min="8430" max="8430"/>
    <col width="4.5" customWidth="1" style="55" min="8431" max="8431"/>
    <col width="13.33203125" customWidth="1" style="55" min="8432" max="8432"/>
    <col width="14.1640625" customWidth="1" style="55" min="8433" max="8433"/>
    <col width="9.33203125" customWidth="1" style="55" min="8434" max="8434"/>
    <col width="11.1640625" customWidth="1" style="55" min="8435" max="8435"/>
    <col width="9.1640625" customWidth="1" style="55" min="8436" max="8436"/>
    <col width="10.33203125" customWidth="1" style="55" min="8437" max="8437"/>
    <col width="7.6640625" customWidth="1" style="55" min="8438" max="8438"/>
    <col width="12.6640625" customWidth="1" style="55" min="8439" max="8439"/>
    <col width="10.6640625" customWidth="1" style="55" min="8440" max="8440"/>
    <col width="12.83203125" customWidth="1" style="55" min="8441" max="8441"/>
    <col width="10.83203125" customWidth="1" style="55" min="8442" max="8442"/>
    <col width="12.5" customWidth="1" style="55" min="8443" max="8443"/>
    <col width="10.5" customWidth="1" style="55" min="8444" max="8444"/>
    <col width="13.1640625" customWidth="1" style="55" min="8445" max="8445"/>
    <col width="9.83203125" customWidth="1" style="55" min="8446" max="8446"/>
    <col width="13.6640625" customWidth="1" style="55" min="8447" max="8447"/>
    <col width="9.5" customWidth="1" style="55" min="8448" max="8448"/>
    <col width="12.5" customWidth="1" style="55" min="8449" max="8449"/>
    <col width="10" customWidth="1" style="55" min="8450" max="8450"/>
    <col width="13" customWidth="1" style="55" min="8451" max="8451"/>
    <col width="11" customWidth="1" style="55" min="8452" max="8452"/>
    <col width="13.83203125" customWidth="1" style="55" min="8453" max="8453"/>
    <col width="11.33203125" customWidth="1" style="55" min="8454" max="8454"/>
    <col width="13" customWidth="1" style="55" min="8455" max="8455"/>
    <col width="9" customWidth="1" style="55" min="8456" max="8456"/>
    <col width="3.83203125" customWidth="1" style="55" min="8457" max="8457"/>
    <col width="18.5" customWidth="1" style="55" min="8458" max="8458"/>
    <col width="10" customWidth="1" style="55" min="8459" max="8459"/>
    <col width="9.1640625" customWidth="1" style="55" min="8460" max="8683"/>
    <col width="25.6640625" customWidth="1" style="55" min="8684" max="8684"/>
    <col width="9" customWidth="1" style="55" min="8685" max="8685"/>
    <col width="22" customWidth="1" style="55" min="8686" max="8686"/>
    <col width="4.5" customWidth="1" style="55" min="8687" max="8687"/>
    <col width="13.33203125" customWidth="1" style="55" min="8688" max="8688"/>
    <col width="14.1640625" customWidth="1" style="55" min="8689" max="8689"/>
    <col width="9.33203125" customWidth="1" style="55" min="8690" max="8690"/>
    <col width="11.1640625" customWidth="1" style="55" min="8691" max="8691"/>
    <col width="9.1640625" customWidth="1" style="55" min="8692" max="8692"/>
    <col width="10.33203125" customWidth="1" style="55" min="8693" max="8693"/>
    <col width="7.6640625" customWidth="1" style="55" min="8694" max="8694"/>
    <col width="12.6640625" customWidth="1" style="55" min="8695" max="8695"/>
    <col width="10.6640625" customWidth="1" style="55" min="8696" max="8696"/>
    <col width="12.83203125" customWidth="1" style="55" min="8697" max="8697"/>
    <col width="10.83203125" customWidth="1" style="55" min="8698" max="8698"/>
    <col width="12.5" customWidth="1" style="55" min="8699" max="8699"/>
    <col width="10.5" customWidth="1" style="55" min="8700" max="8700"/>
    <col width="13.1640625" customWidth="1" style="55" min="8701" max="8701"/>
    <col width="9.83203125" customWidth="1" style="55" min="8702" max="8702"/>
    <col width="13.6640625" customWidth="1" style="55" min="8703" max="8703"/>
    <col width="9.5" customWidth="1" style="55" min="8704" max="8704"/>
    <col width="12.5" customWidth="1" style="55" min="8705" max="8705"/>
    <col width="10" customWidth="1" style="55" min="8706" max="8706"/>
    <col width="13" customWidth="1" style="55" min="8707" max="8707"/>
    <col width="11" customWidth="1" style="55" min="8708" max="8708"/>
    <col width="13.83203125" customWidth="1" style="55" min="8709" max="8709"/>
    <col width="11.33203125" customWidth="1" style="55" min="8710" max="8710"/>
    <col width="13" customWidth="1" style="55" min="8711" max="8711"/>
    <col width="9" customWidth="1" style="55" min="8712" max="8712"/>
    <col width="3.83203125" customWidth="1" style="55" min="8713" max="8713"/>
    <col width="18.5" customWidth="1" style="55" min="8714" max="8714"/>
    <col width="10" customWidth="1" style="55" min="8715" max="8715"/>
    <col width="9.1640625" customWidth="1" style="55" min="8716" max="8939"/>
    <col width="25.6640625" customWidth="1" style="55" min="8940" max="8940"/>
    <col width="9" customWidth="1" style="55" min="8941" max="8941"/>
    <col width="22" customWidth="1" style="55" min="8942" max="8942"/>
    <col width="4.5" customWidth="1" style="55" min="8943" max="8943"/>
    <col width="13.33203125" customWidth="1" style="55" min="8944" max="8944"/>
    <col width="14.1640625" customWidth="1" style="55" min="8945" max="8945"/>
    <col width="9.33203125" customWidth="1" style="55" min="8946" max="8946"/>
    <col width="11.1640625" customWidth="1" style="55" min="8947" max="8947"/>
    <col width="9.1640625" customWidth="1" style="55" min="8948" max="8948"/>
    <col width="10.33203125" customWidth="1" style="55" min="8949" max="8949"/>
    <col width="7.6640625" customWidth="1" style="55" min="8950" max="8950"/>
    <col width="12.6640625" customWidth="1" style="55" min="8951" max="8951"/>
    <col width="10.6640625" customWidth="1" style="55" min="8952" max="8952"/>
    <col width="12.83203125" customWidth="1" style="55" min="8953" max="8953"/>
    <col width="10.83203125" customWidth="1" style="55" min="8954" max="8954"/>
    <col width="12.5" customWidth="1" style="55" min="8955" max="8955"/>
    <col width="10.5" customWidth="1" style="55" min="8956" max="8956"/>
    <col width="13.1640625" customWidth="1" style="55" min="8957" max="8957"/>
    <col width="9.83203125" customWidth="1" style="55" min="8958" max="8958"/>
    <col width="13.6640625" customWidth="1" style="55" min="8959" max="8959"/>
    <col width="9.5" customWidth="1" style="55" min="8960" max="8960"/>
    <col width="12.5" customWidth="1" style="55" min="8961" max="8961"/>
    <col width="10" customWidth="1" style="55" min="8962" max="8962"/>
    <col width="13" customWidth="1" style="55" min="8963" max="8963"/>
    <col width="11" customWidth="1" style="55" min="8964" max="8964"/>
    <col width="13.83203125" customWidth="1" style="55" min="8965" max="8965"/>
    <col width="11.33203125" customWidth="1" style="55" min="8966" max="8966"/>
    <col width="13" customWidth="1" style="55" min="8967" max="8967"/>
    <col width="9" customWidth="1" style="55" min="8968" max="8968"/>
    <col width="3.83203125" customWidth="1" style="55" min="8969" max="8969"/>
    <col width="18.5" customWidth="1" style="55" min="8970" max="8970"/>
    <col width="10" customWidth="1" style="55" min="8971" max="8971"/>
    <col width="9.1640625" customWidth="1" style="55" min="8972" max="9195"/>
    <col width="25.6640625" customWidth="1" style="55" min="9196" max="9196"/>
    <col width="9" customWidth="1" style="55" min="9197" max="9197"/>
    <col width="22" customWidth="1" style="55" min="9198" max="9198"/>
    <col width="4.5" customWidth="1" style="55" min="9199" max="9199"/>
    <col width="13.33203125" customWidth="1" style="55" min="9200" max="9200"/>
    <col width="14.1640625" customWidth="1" style="55" min="9201" max="9201"/>
    <col width="9.33203125" customWidth="1" style="55" min="9202" max="9202"/>
    <col width="11.1640625" customWidth="1" style="55" min="9203" max="9203"/>
    <col width="9.1640625" customWidth="1" style="55" min="9204" max="9204"/>
    <col width="10.33203125" customWidth="1" style="55" min="9205" max="9205"/>
    <col width="7.6640625" customWidth="1" style="55" min="9206" max="9206"/>
    <col width="12.6640625" customWidth="1" style="55" min="9207" max="9207"/>
    <col width="10.6640625" customWidth="1" style="55" min="9208" max="9208"/>
    <col width="12.83203125" customWidth="1" style="55" min="9209" max="9209"/>
    <col width="10.83203125" customWidth="1" style="55" min="9210" max="9210"/>
    <col width="12.5" customWidth="1" style="55" min="9211" max="9211"/>
    <col width="10.5" customWidth="1" style="55" min="9212" max="9212"/>
    <col width="13.1640625" customWidth="1" style="55" min="9213" max="9213"/>
    <col width="9.83203125" customWidth="1" style="55" min="9214" max="9214"/>
    <col width="13.6640625" customWidth="1" style="55" min="9215" max="9215"/>
    <col width="9.5" customWidth="1" style="55" min="9216" max="9216"/>
    <col width="12.5" customWidth="1" style="55" min="9217" max="9217"/>
    <col width="10" customWidth="1" style="55" min="9218" max="9218"/>
    <col width="13" customWidth="1" style="55" min="9219" max="9219"/>
    <col width="11" customWidth="1" style="55" min="9220" max="9220"/>
    <col width="13.83203125" customWidth="1" style="55" min="9221" max="9221"/>
    <col width="11.33203125" customWidth="1" style="55" min="9222" max="9222"/>
    <col width="13" customWidth="1" style="55" min="9223" max="9223"/>
    <col width="9" customWidth="1" style="55" min="9224" max="9224"/>
    <col width="3.83203125" customWidth="1" style="55" min="9225" max="9225"/>
    <col width="18.5" customWidth="1" style="55" min="9226" max="9226"/>
    <col width="10" customWidth="1" style="55" min="9227" max="9227"/>
    <col width="9.1640625" customWidth="1" style="55" min="9228" max="9451"/>
    <col width="25.6640625" customWidth="1" style="55" min="9452" max="9452"/>
    <col width="9" customWidth="1" style="55" min="9453" max="9453"/>
    <col width="22" customWidth="1" style="55" min="9454" max="9454"/>
    <col width="4.5" customWidth="1" style="55" min="9455" max="9455"/>
    <col width="13.33203125" customWidth="1" style="55" min="9456" max="9456"/>
    <col width="14.1640625" customWidth="1" style="55" min="9457" max="9457"/>
    <col width="9.33203125" customWidth="1" style="55" min="9458" max="9458"/>
    <col width="11.1640625" customWidth="1" style="55" min="9459" max="9459"/>
    <col width="9.1640625" customWidth="1" style="55" min="9460" max="9460"/>
    <col width="10.33203125" customWidth="1" style="55" min="9461" max="9461"/>
    <col width="7.6640625" customWidth="1" style="55" min="9462" max="9462"/>
    <col width="12.6640625" customWidth="1" style="55" min="9463" max="9463"/>
    <col width="10.6640625" customWidth="1" style="55" min="9464" max="9464"/>
    <col width="12.83203125" customWidth="1" style="55" min="9465" max="9465"/>
    <col width="10.83203125" customWidth="1" style="55" min="9466" max="9466"/>
    <col width="12.5" customWidth="1" style="55" min="9467" max="9467"/>
    <col width="10.5" customWidth="1" style="55" min="9468" max="9468"/>
    <col width="13.1640625" customWidth="1" style="55" min="9469" max="9469"/>
    <col width="9.83203125" customWidth="1" style="55" min="9470" max="9470"/>
    <col width="13.6640625" customWidth="1" style="55" min="9471" max="9471"/>
    <col width="9.5" customWidth="1" style="55" min="9472" max="9472"/>
    <col width="12.5" customWidth="1" style="55" min="9473" max="9473"/>
    <col width="10" customWidth="1" style="55" min="9474" max="9474"/>
    <col width="13" customWidth="1" style="55" min="9475" max="9475"/>
    <col width="11" customWidth="1" style="55" min="9476" max="9476"/>
    <col width="13.83203125" customWidth="1" style="55" min="9477" max="9477"/>
    <col width="11.33203125" customWidth="1" style="55" min="9478" max="9478"/>
    <col width="13" customWidth="1" style="55" min="9479" max="9479"/>
    <col width="9" customWidth="1" style="55" min="9480" max="9480"/>
    <col width="3.83203125" customWidth="1" style="55" min="9481" max="9481"/>
    <col width="18.5" customWidth="1" style="55" min="9482" max="9482"/>
    <col width="10" customWidth="1" style="55" min="9483" max="9483"/>
    <col width="9.1640625" customWidth="1" style="55" min="9484" max="9707"/>
    <col width="25.6640625" customWidth="1" style="55" min="9708" max="9708"/>
    <col width="9" customWidth="1" style="55" min="9709" max="9709"/>
    <col width="22" customWidth="1" style="55" min="9710" max="9710"/>
    <col width="4.5" customWidth="1" style="55" min="9711" max="9711"/>
    <col width="13.33203125" customWidth="1" style="55" min="9712" max="9712"/>
    <col width="14.1640625" customWidth="1" style="55" min="9713" max="9713"/>
    <col width="9.33203125" customWidth="1" style="55" min="9714" max="9714"/>
    <col width="11.1640625" customWidth="1" style="55" min="9715" max="9715"/>
    <col width="9.1640625" customWidth="1" style="55" min="9716" max="9716"/>
    <col width="10.33203125" customWidth="1" style="55" min="9717" max="9717"/>
    <col width="7.6640625" customWidth="1" style="55" min="9718" max="9718"/>
    <col width="12.6640625" customWidth="1" style="55" min="9719" max="9719"/>
    <col width="10.6640625" customWidth="1" style="55" min="9720" max="9720"/>
    <col width="12.83203125" customWidth="1" style="55" min="9721" max="9721"/>
    <col width="10.83203125" customWidth="1" style="55" min="9722" max="9722"/>
    <col width="12.5" customWidth="1" style="55" min="9723" max="9723"/>
    <col width="10.5" customWidth="1" style="55" min="9724" max="9724"/>
    <col width="13.1640625" customWidth="1" style="55" min="9725" max="9725"/>
    <col width="9.83203125" customWidth="1" style="55" min="9726" max="9726"/>
    <col width="13.6640625" customWidth="1" style="55" min="9727" max="9727"/>
    <col width="9.5" customWidth="1" style="55" min="9728" max="9728"/>
    <col width="12.5" customWidth="1" style="55" min="9729" max="9729"/>
    <col width="10" customWidth="1" style="55" min="9730" max="9730"/>
    <col width="13" customWidth="1" style="55" min="9731" max="9731"/>
    <col width="11" customWidth="1" style="55" min="9732" max="9732"/>
    <col width="13.83203125" customWidth="1" style="55" min="9733" max="9733"/>
    <col width="11.33203125" customWidth="1" style="55" min="9734" max="9734"/>
    <col width="13" customWidth="1" style="55" min="9735" max="9735"/>
    <col width="9" customWidth="1" style="55" min="9736" max="9736"/>
    <col width="3.83203125" customWidth="1" style="55" min="9737" max="9737"/>
    <col width="18.5" customWidth="1" style="55" min="9738" max="9738"/>
    <col width="10" customWidth="1" style="55" min="9739" max="9739"/>
    <col width="9.1640625" customWidth="1" style="55" min="9740" max="9963"/>
    <col width="25.6640625" customWidth="1" style="55" min="9964" max="9964"/>
    <col width="9" customWidth="1" style="55" min="9965" max="9965"/>
    <col width="22" customWidth="1" style="55" min="9966" max="9966"/>
    <col width="4.5" customWidth="1" style="55" min="9967" max="9967"/>
    <col width="13.33203125" customWidth="1" style="55" min="9968" max="9968"/>
    <col width="14.1640625" customWidth="1" style="55" min="9969" max="9969"/>
    <col width="9.33203125" customWidth="1" style="55" min="9970" max="9970"/>
    <col width="11.1640625" customWidth="1" style="55" min="9971" max="9971"/>
    <col width="9.1640625" customWidth="1" style="55" min="9972" max="9972"/>
    <col width="10.33203125" customWidth="1" style="55" min="9973" max="9973"/>
    <col width="7.6640625" customWidth="1" style="55" min="9974" max="9974"/>
    <col width="12.6640625" customWidth="1" style="55" min="9975" max="9975"/>
    <col width="10.6640625" customWidth="1" style="55" min="9976" max="9976"/>
    <col width="12.83203125" customWidth="1" style="55" min="9977" max="9977"/>
    <col width="10.83203125" customWidth="1" style="55" min="9978" max="9978"/>
    <col width="12.5" customWidth="1" style="55" min="9979" max="9979"/>
    <col width="10.5" customWidth="1" style="55" min="9980" max="9980"/>
    <col width="13.1640625" customWidth="1" style="55" min="9981" max="9981"/>
    <col width="9.83203125" customWidth="1" style="55" min="9982" max="9982"/>
    <col width="13.6640625" customWidth="1" style="55" min="9983" max="9983"/>
    <col width="9.5" customWidth="1" style="55" min="9984" max="9984"/>
    <col width="12.5" customWidth="1" style="55" min="9985" max="9985"/>
    <col width="10" customWidth="1" style="55" min="9986" max="9986"/>
    <col width="13" customWidth="1" style="55" min="9987" max="9987"/>
    <col width="11" customWidth="1" style="55" min="9988" max="9988"/>
    <col width="13.83203125" customWidth="1" style="55" min="9989" max="9989"/>
    <col width="11.33203125" customWidth="1" style="55" min="9990" max="9990"/>
    <col width="13" customWidth="1" style="55" min="9991" max="9991"/>
    <col width="9" customWidth="1" style="55" min="9992" max="9992"/>
    <col width="3.83203125" customWidth="1" style="55" min="9993" max="9993"/>
    <col width="18.5" customWidth="1" style="55" min="9994" max="9994"/>
    <col width="10" customWidth="1" style="55" min="9995" max="9995"/>
    <col width="9.1640625" customWidth="1" style="55" min="9996" max="10219"/>
    <col width="25.6640625" customWidth="1" style="55" min="10220" max="10220"/>
    <col width="9" customWidth="1" style="55" min="10221" max="10221"/>
    <col width="22" customWidth="1" style="55" min="10222" max="10222"/>
    <col width="4.5" customWidth="1" style="55" min="10223" max="10223"/>
    <col width="13.33203125" customWidth="1" style="55" min="10224" max="10224"/>
    <col width="14.1640625" customWidth="1" style="55" min="10225" max="10225"/>
    <col width="9.33203125" customWidth="1" style="55" min="10226" max="10226"/>
    <col width="11.1640625" customWidth="1" style="55" min="10227" max="10227"/>
    <col width="9.1640625" customWidth="1" style="55" min="10228" max="10228"/>
    <col width="10.33203125" customWidth="1" style="55" min="10229" max="10229"/>
    <col width="7.6640625" customWidth="1" style="55" min="10230" max="10230"/>
    <col width="12.6640625" customWidth="1" style="55" min="10231" max="10231"/>
    <col width="10.6640625" customWidth="1" style="55" min="10232" max="10232"/>
    <col width="12.83203125" customWidth="1" style="55" min="10233" max="10233"/>
    <col width="10.83203125" customWidth="1" style="55" min="10234" max="10234"/>
    <col width="12.5" customWidth="1" style="55" min="10235" max="10235"/>
    <col width="10.5" customWidth="1" style="55" min="10236" max="10236"/>
    <col width="13.1640625" customWidth="1" style="55" min="10237" max="10237"/>
    <col width="9.83203125" customWidth="1" style="55" min="10238" max="10238"/>
    <col width="13.6640625" customWidth="1" style="55" min="10239" max="10239"/>
    <col width="9.5" customWidth="1" style="55" min="10240" max="10240"/>
    <col width="12.5" customWidth="1" style="55" min="10241" max="10241"/>
    <col width="10" customWidth="1" style="55" min="10242" max="10242"/>
    <col width="13" customWidth="1" style="55" min="10243" max="10243"/>
    <col width="11" customWidth="1" style="55" min="10244" max="10244"/>
    <col width="13.83203125" customWidth="1" style="55" min="10245" max="10245"/>
    <col width="11.33203125" customWidth="1" style="55" min="10246" max="10246"/>
    <col width="13" customWidth="1" style="55" min="10247" max="10247"/>
    <col width="9" customWidth="1" style="55" min="10248" max="10248"/>
    <col width="3.83203125" customWidth="1" style="55" min="10249" max="10249"/>
    <col width="18.5" customWidth="1" style="55" min="10250" max="10250"/>
    <col width="10" customWidth="1" style="55" min="10251" max="10251"/>
    <col width="9.1640625" customWidth="1" style="55" min="10252" max="10475"/>
    <col width="25.6640625" customWidth="1" style="55" min="10476" max="10476"/>
    <col width="9" customWidth="1" style="55" min="10477" max="10477"/>
    <col width="22" customWidth="1" style="55" min="10478" max="10478"/>
    <col width="4.5" customWidth="1" style="55" min="10479" max="10479"/>
    <col width="13.33203125" customWidth="1" style="55" min="10480" max="10480"/>
    <col width="14.1640625" customWidth="1" style="55" min="10481" max="10481"/>
    <col width="9.33203125" customWidth="1" style="55" min="10482" max="10482"/>
    <col width="11.1640625" customWidth="1" style="55" min="10483" max="10483"/>
    <col width="9.1640625" customWidth="1" style="55" min="10484" max="10484"/>
    <col width="10.33203125" customWidth="1" style="55" min="10485" max="10485"/>
    <col width="7.6640625" customWidth="1" style="55" min="10486" max="10486"/>
    <col width="12.6640625" customWidth="1" style="55" min="10487" max="10487"/>
    <col width="10.6640625" customWidth="1" style="55" min="10488" max="10488"/>
    <col width="12.83203125" customWidth="1" style="55" min="10489" max="10489"/>
    <col width="10.83203125" customWidth="1" style="55" min="10490" max="10490"/>
    <col width="12.5" customWidth="1" style="55" min="10491" max="10491"/>
    <col width="10.5" customWidth="1" style="55" min="10492" max="10492"/>
    <col width="13.1640625" customWidth="1" style="55" min="10493" max="10493"/>
    <col width="9.83203125" customWidth="1" style="55" min="10494" max="10494"/>
    <col width="13.6640625" customWidth="1" style="55" min="10495" max="10495"/>
    <col width="9.5" customWidth="1" style="55" min="10496" max="10496"/>
    <col width="12.5" customWidth="1" style="55" min="10497" max="10497"/>
    <col width="10" customWidth="1" style="55" min="10498" max="10498"/>
    <col width="13" customWidth="1" style="55" min="10499" max="10499"/>
    <col width="11" customWidth="1" style="55" min="10500" max="10500"/>
    <col width="13.83203125" customWidth="1" style="55" min="10501" max="10501"/>
    <col width="11.33203125" customWidth="1" style="55" min="10502" max="10502"/>
    <col width="13" customWidth="1" style="55" min="10503" max="10503"/>
    <col width="9" customWidth="1" style="55" min="10504" max="10504"/>
    <col width="3.83203125" customWidth="1" style="55" min="10505" max="10505"/>
    <col width="18.5" customWidth="1" style="55" min="10506" max="10506"/>
    <col width="10" customWidth="1" style="55" min="10507" max="10507"/>
    <col width="9.1640625" customWidth="1" style="55" min="10508" max="10731"/>
    <col width="25.6640625" customWidth="1" style="55" min="10732" max="10732"/>
    <col width="9" customWidth="1" style="55" min="10733" max="10733"/>
    <col width="22" customWidth="1" style="55" min="10734" max="10734"/>
    <col width="4.5" customWidth="1" style="55" min="10735" max="10735"/>
    <col width="13.33203125" customWidth="1" style="55" min="10736" max="10736"/>
    <col width="14.1640625" customWidth="1" style="55" min="10737" max="10737"/>
    <col width="9.33203125" customWidth="1" style="55" min="10738" max="10738"/>
    <col width="11.1640625" customWidth="1" style="55" min="10739" max="10739"/>
    <col width="9.1640625" customWidth="1" style="55" min="10740" max="10740"/>
    <col width="10.33203125" customWidth="1" style="55" min="10741" max="10741"/>
    <col width="7.6640625" customWidth="1" style="55" min="10742" max="10742"/>
    <col width="12.6640625" customWidth="1" style="55" min="10743" max="10743"/>
    <col width="10.6640625" customWidth="1" style="55" min="10744" max="10744"/>
    <col width="12.83203125" customWidth="1" style="55" min="10745" max="10745"/>
    <col width="10.83203125" customWidth="1" style="55" min="10746" max="10746"/>
    <col width="12.5" customWidth="1" style="55" min="10747" max="10747"/>
    <col width="10.5" customWidth="1" style="55" min="10748" max="10748"/>
    <col width="13.1640625" customWidth="1" style="55" min="10749" max="10749"/>
    <col width="9.83203125" customWidth="1" style="55" min="10750" max="10750"/>
    <col width="13.6640625" customWidth="1" style="55" min="10751" max="10751"/>
    <col width="9.5" customWidth="1" style="55" min="10752" max="10752"/>
    <col width="12.5" customWidth="1" style="55" min="10753" max="10753"/>
    <col width="10" customWidth="1" style="55" min="10754" max="10754"/>
    <col width="13" customWidth="1" style="55" min="10755" max="10755"/>
    <col width="11" customWidth="1" style="55" min="10756" max="10756"/>
    <col width="13.83203125" customWidth="1" style="55" min="10757" max="10757"/>
    <col width="11.33203125" customWidth="1" style="55" min="10758" max="10758"/>
    <col width="13" customWidth="1" style="55" min="10759" max="10759"/>
    <col width="9" customWidth="1" style="55" min="10760" max="10760"/>
    <col width="3.83203125" customWidth="1" style="55" min="10761" max="10761"/>
    <col width="18.5" customWidth="1" style="55" min="10762" max="10762"/>
    <col width="10" customWidth="1" style="55" min="10763" max="10763"/>
    <col width="9.1640625" customWidth="1" style="55" min="10764" max="10987"/>
    <col width="25.6640625" customWidth="1" style="55" min="10988" max="10988"/>
    <col width="9" customWidth="1" style="55" min="10989" max="10989"/>
    <col width="22" customWidth="1" style="55" min="10990" max="10990"/>
    <col width="4.5" customWidth="1" style="55" min="10991" max="10991"/>
    <col width="13.33203125" customWidth="1" style="55" min="10992" max="10992"/>
    <col width="14.1640625" customWidth="1" style="55" min="10993" max="10993"/>
    <col width="9.33203125" customWidth="1" style="55" min="10994" max="10994"/>
    <col width="11.1640625" customWidth="1" style="55" min="10995" max="10995"/>
    <col width="9.1640625" customWidth="1" style="55" min="10996" max="10996"/>
    <col width="10.33203125" customWidth="1" style="55" min="10997" max="10997"/>
    <col width="7.6640625" customWidth="1" style="55" min="10998" max="10998"/>
    <col width="12.6640625" customWidth="1" style="55" min="10999" max="10999"/>
    <col width="10.6640625" customWidth="1" style="55" min="11000" max="11000"/>
    <col width="12.83203125" customWidth="1" style="55" min="11001" max="11001"/>
    <col width="10.83203125" customWidth="1" style="55" min="11002" max="11002"/>
    <col width="12.5" customWidth="1" style="55" min="11003" max="11003"/>
    <col width="10.5" customWidth="1" style="55" min="11004" max="11004"/>
    <col width="13.1640625" customWidth="1" style="55" min="11005" max="11005"/>
    <col width="9.83203125" customWidth="1" style="55" min="11006" max="11006"/>
    <col width="13.6640625" customWidth="1" style="55" min="11007" max="11007"/>
    <col width="9.5" customWidth="1" style="55" min="11008" max="11008"/>
    <col width="12.5" customWidth="1" style="55" min="11009" max="11009"/>
    <col width="10" customWidth="1" style="55" min="11010" max="11010"/>
    <col width="13" customWidth="1" style="55" min="11011" max="11011"/>
    <col width="11" customWidth="1" style="55" min="11012" max="11012"/>
    <col width="13.83203125" customWidth="1" style="55" min="11013" max="11013"/>
    <col width="11.33203125" customWidth="1" style="55" min="11014" max="11014"/>
    <col width="13" customWidth="1" style="55" min="11015" max="11015"/>
    <col width="9" customWidth="1" style="55" min="11016" max="11016"/>
    <col width="3.83203125" customWidth="1" style="55" min="11017" max="11017"/>
    <col width="18.5" customWidth="1" style="55" min="11018" max="11018"/>
    <col width="10" customWidth="1" style="55" min="11019" max="11019"/>
    <col width="9.1640625" customWidth="1" style="55" min="11020" max="11243"/>
    <col width="25.6640625" customWidth="1" style="55" min="11244" max="11244"/>
    <col width="9" customWidth="1" style="55" min="11245" max="11245"/>
    <col width="22" customWidth="1" style="55" min="11246" max="11246"/>
    <col width="4.5" customWidth="1" style="55" min="11247" max="11247"/>
    <col width="13.33203125" customWidth="1" style="55" min="11248" max="11248"/>
    <col width="14.1640625" customWidth="1" style="55" min="11249" max="11249"/>
    <col width="9.33203125" customWidth="1" style="55" min="11250" max="11250"/>
    <col width="11.1640625" customWidth="1" style="55" min="11251" max="11251"/>
    <col width="9.1640625" customWidth="1" style="55" min="11252" max="11252"/>
    <col width="10.33203125" customWidth="1" style="55" min="11253" max="11253"/>
    <col width="7.6640625" customWidth="1" style="55" min="11254" max="11254"/>
    <col width="12.6640625" customWidth="1" style="55" min="11255" max="11255"/>
    <col width="10.6640625" customWidth="1" style="55" min="11256" max="11256"/>
    <col width="12.83203125" customWidth="1" style="55" min="11257" max="11257"/>
    <col width="10.83203125" customWidth="1" style="55" min="11258" max="11258"/>
    <col width="12.5" customWidth="1" style="55" min="11259" max="11259"/>
    <col width="10.5" customWidth="1" style="55" min="11260" max="11260"/>
    <col width="13.1640625" customWidth="1" style="55" min="11261" max="11261"/>
    <col width="9.83203125" customWidth="1" style="55" min="11262" max="11262"/>
    <col width="13.6640625" customWidth="1" style="55" min="11263" max="11263"/>
    <col width="9.5" customWidth="1" style="55" min="11264" max="11264"/>
    <col width="12.5" customWidth="1" style="55" min="11265" max="11265"/>
    <col width="10" customWidth="1" style="55" min="11266" max="11266"/>
    <col width="13" customWidth="1" style="55" min="11267" max="11267"/>
    <col width="11" customWidth="1" style="55" min="11268" max="11268"/>
    <col width="13.83203125" customWidth="1" style="55" min="11269" max="11269"/>
    <col width="11.33203125" customWidth="1" style="55" min="11270" max="11270"/>
    <col width="13" customWidth="1" style="55" min="11271" max="11271"/>
    <col width="9" customWidth="1" style="55" min="11272" max="11272"/>
    <col width="3.83203125" customWidth="1" style="55" min="11273" max="11273"/>
    <col width="18.5" customWidth="1" style="55" min="11274" max="11274"/>
    <col width="10" customWidth="1" style="55" min="11275" max="11275"/>
    <col width="9.1640625" customWidth="1" style="55" min="11276" max="11499"/>
    <col width="25.6640625" customWidth="1" style="55" min="11500" max="11500"/>
    <col width="9" customWidth="1" style="55" min="11501" max="11501"/>
    <col width="22" customWidth="1" style="55" min="11502" max="11502"/>
    <col width="4.5" customWidth="1" style="55" min="11503" max="11503"/>
    <col width="13.33203125" customWidth="1" style="55" min="11504" max="11504"/>
    <col width="14.1640625" customWidth="1" style="55" min="11505" max="11505"/>
    <col width="9.33203125" customWidth="1" style="55" min="11506" max="11506"/>
    <col width="11.1640625" customWidth="1" style="55" min="11507" max="11507"/>
    <col width="9.1640625" customWidth="1" style="55" min="11508" max="11508"/>
    <col width="10.33203125" customWidth="1" style="55" min="11509" max="11509"/>
    <col width="7.6640625" customWidth="1" style="55" min="11510" max="11510"/>
    <col width="12.6640625" customWidth="1" style="55" min="11511" max="11511"/>
    <col width="10.6640625" customWidth="1" style="55" min="11512" max="11512"/>
    <col width="12.83203125" customWidth="1" style="55" min="11513" max="11513"/>
    <col width="10.83203125" customWidth="1" style="55" min="11514" max="11514"/>
    <col width="12.5" customWidth="1" style="55" min="11515" max="11515"/>
    <col width="10.5" customWidth="1" style="55" min="11516" max="11516"/>
    <col width="13.1640625" customWidth="1" style="55" min="11517" max="11517"/>
    <col width="9.83203125" customWidth="1" style="55" min="11518" max="11518"/>
    <col width="13.6640625" customWidth="1" style="55" min="11519" max="11519"/>
    <col width="9.5" customWidth="1" style="55" min="11520" max="11520"/>
    <col width="12.5" customWidth="1" style="55" min="11521" max="11521"/>
    <col width="10" customWidth="1" style="55" min="11522" max="11522"/>
    <col width="13" customWidth="1" style="55" min="11523" max="11523"/>
    <col width="11" customWidth="1" style="55" min="11524" max="11524"/>
    <col width="13.83203125" customWidth="1" style="55" min="11525" max="11525"/>
    <col width="11.33203125" customWidth="1" style="55" min="11526" max="11526"/>
    <col width="13" customWidth="1" style="55" min="11527" max="11527"/>
    <col width="9" customWidth="1" style="55" min="11528" max="11528"/>
    <col width="3.83203125" customWidth="1" style="55" min="11529" max="11529"/>
    <col width="18.5" customWidth="1" style="55" min="11530" max="11530"/>
    <col width="10" customWidth="1" style="55" min="11531" max="11531"/>
    <col width="9.1640625" customWidth="1" style="55" min="11532" max="11755"/>
    <col width="25.6640625" customWidth="1" style="55" min="11756" max="11756"/>
    <col width="9" customWidth="1" style="55" min="11757" max="11757"/>
    <col width="22" customWidth="1" style="55" min="11758" max="11758"/>
    <col width="4.5" customWidth="1" style="55" min="11759" max="11759"/>
    <col width="13.33203125" customWidth="1" style="55" min="11760" max="11760"/>
    <col width="14.1640625" customWidth="1" style="55" min="11761" max="11761"/>
    <col width="9.33203125" customWidth="1" style="55" min="11762" max="11762"/>
    <col width="11.1640625" customWidth="1" style="55" min="11763" max="11763"/>
    <col width="9.1640625" customWidth="1" style="55" min="11764" max="11764"/>
    <col width="10.33203125" customWidth="1" style="55" min="11765" max="11765"/>
    <col width="7.6640625" customWidth="1" style="55" min="11766" max="11766"/>
    <col width="12.6640625" customWidth="1" style="55" min="11767" max="11767"/>
    <col width="10.6640625" customWidth="1" style="55" min="11768" max="11768"/>
    <col width="12.83203125" customWidth="1" style="55" min="11769" max="11769"/>
    <col width="10.83203125" customWidth="1" style="55" min="11770" max="11770"/>
    <col width="12.5" customWidth="1" style="55" min="11771" max="11771"/>
    <col width="10.5" customWidth="1" style="55" min="11772" max="11772"/>
    <col width="13.1640625" customWidth="1" style="55" min="11773" max="11773"/>
    <col width="9.83203125" customWidth="1" style="55" min="11774" max="11774"/>
    <col width="13.6640625" customWidth="1" style="55" min="11775" max="11775"/>
    <col width="9.5" customWidth="1" style="55" min="11776" max="11776"/>
    <col width="12.5" customWidth="1" style="55" min="11777" max="11777"/>
    <col width="10" customWidth="1" style="55" min="11778" max="11778"/>
    <col width="13" customWidth="1" style="55" min="11779" max="11779"/>
    <col width="11" customWidth="1" style="55" min="11780" max="11780"/>
    <col width="13.83203125" customWidth="1" style="55" min="11781" max="11781"/>
    <col width="11.33203125" customWidth="1" style="55" min="11782" max="11782"/>
    <col width="13" customWidth="1" style="55" min="11783" max="11783"/>
    <col width="9" customWidth="1" style="55" min="11784" max="11784"/>
    <col width="3.83203125" customWidth="1" style="55" min="11785" max="11785"/>
    <col width="18.5" customWidth="1" style="55" min="11786" max="11786"/>
    <col width="10" customWidth="1" style="55" min="11787" max="11787"/>
    <col width="9.1640625" customWidth="1" style="55" min="11788" max="12011"/>
    <col width="25.6640625" customWidth="1" style="55" min="12012" max="12012"/>
    <col width="9" customWidth="1" style="55" min="12013" max="12013"/>
    <col width="22" customWidth="1" style="55" min="12014" max="12014"/>
    <col width="4.5" customWidth="1" style="55" min="12015" max="12015"/>
    <col width="13.33203125" customWidth="1" style="55" min="12016" max="12016"/>
    <col width="14.1640625" customWidth="1" style="55" min="12017" max="12017"/>
    <col width="9.33203125" customWidth="1" style="55" min="12018" max="12018"/>
    <col width="11.1640625" customWidth="1" style="55" min="12019" max="12019"/>
    <col width="9.1640625" customWidth="1" style="55" min="12020" max="12020"/>
    <col width="10.33203125" customWidth="1" style="55" min="12021" max="12021"/>
    <col width="7.6640625" customWidth="1" style="55" min="12022" max="12022"/>
    <col width="12.6640625" customWidth="1" style="55" min="12023" max="12023"/>
    <col width="10.6640625" customWidth="1" style="55" min="12024" max="12024"/>
    <col width="12.83203125" customWidth="1" style="55" min="12025" max="12025"/>
    <col width="10.83203125" customWidth="1" style="55" min="12026" max="12026"/>
    <col width="12.5" customWidth="1" style="55" min="12027" max="12027"/>
    <col width="10.5" customWidth="1" style="55" min="12028" max="12028"/>
    <col width="13.1640625" customWidth="1" style="55" min="12029" max="12029"/>
    <col width="9.83203125" customWidth="1" style="55" min="12030" max="12030"/>
    <col width="13.6640625" customWidth="1" style="55" min="12031" max="12031"/>
    <col width="9.5" customWidth="1" style="55" min="12032" max="12032"/>
    <col width="12.5" customWidth="1" style="55" min="12033" max="12033"/>
    <col width="10" customWidth="1" style="55" min="12034" max="12034"/>
    <col width="13" customWidth="1" style="55" min="12035" max="12035"/>
    <col width="11" customWidth="1" style="55" min="12036" max="12036"/>
    <col width="13.83203125" customWidth="1" style="55" min="12037" max="12037"/>
    <col width="11.33203125" customWidth="1" style="55" min="12038" max="12038"/>
    <col width="13" customWidth="1" style="55" min="12039" max="12039"/>
    <col width="9" customWidth="1" style="55" min="12040" max="12040"/>
    <col width="3.83203125" customWidth="1" style="55" min="12041" max="12041"/>
    <col width="18.5" customWidth="1" style="55" min="12042" max="12042"/>
    <col width="10" customWidth="1" style="55" min="12043" max="12043"/>
    <col width="9.1640625" customWidth="1" style="55" min="12044" max="12267"/>
    <col width="25.6640625" customWidth="1" style="55" min="12268" max="12268"/>
    <col width="9" customWidth="1" style="55" min="12269" max="12269"/>
    <col width="22" customWidth="1" style="55" min="12270" max="12270"/>
    <col width="4.5" customWidth="1" style="55" min="12271" max="12271"/>
    <col width="13.33203125" customWidth="1" style="55" min="12272" max="12272"/>
    <col width="14.1640625" customWidth="1" style="55" min="12273" max="12273"/>
    <col width="9.33203125" customWidth="1" style="55" min="12274" max="12274"/>
    <col width="11.1640625" customWidth="1" style="55" min="12275" max="12275"/>
    <col width="9.1640625" customWidth="1" style="55" min="12276" max="12276"/>
    <col width="10.33203125" customWidth="1" style="55" min="12277" max="12277"/>
    <col width="7.6640625" customWidth="1" style="55" min="12278" max="12278"/>
    <col width="12.6640625" customWidth="1" style="55" min="12279" max="12279"/>
    <col width="10.6640625" customWidth="1" style="55" min="12280" max="12280"/>
    <col width="12.83203125" customWidth="1" style="55" min="12281" max="12281"/>
    <col width="10.83203125" customWidth="1" style="55" min="12282" max="12282"/>
    <col width="12.5" customWidth="1" style="55" min="12283" max="12283"/>
    <col width="10.5" customWidth="1" style="55" min="12284" max="12284"/>
    <col width="13.1640625" customWidth="1" style="55" min="12285" max="12285"/>
    <col width="9.83203125" customWidth="1" style="55" min="12286" max="12286"/>
    <col width="13.6640625" customWidth="1" style="55" min="12287" max="12287"/>
    <col width="9.5" customWidth="1" style="55" min="12288" max="12288"/>
    <col width="12.5" customWidth="1" style="55" min="12289" max="12289"/>
    <col width="10" customWidth="1" style="55" min="12290" max="12290"/>
    <col width="13" customWidth="1" style="55" min="12291" max="12291"/>
    <col width="11" customWidth="1" style="55" min="12292" max="12292"/>
    <col width="13.83203125" customWidth="1" style="55" min="12293" max="12293"/>
    <col width="11.33203125" customWidth="1" style="55" min="12294" max="12294"/>
    <col width="13" customWidth="1" style="55" min="12295" max="12295"/>
    <col width="9" customWidth="1" style="55" min="12296" max="12296"/>
    <col width="3.83203125" customWidth="1" style="55" min="12297" max="12297"/>
    <col width="18.5" customWidth="1" style="55" min="12298" max="12298"/>
    <col width="10" customWidth="1" style="55" min="12299" max="12299"/>
    <col width="9.1640625" customWidth="1" style="55" min="12300" max="12523"/>
    <col width="25.6640625" customWidth="1" style="55" min="12524" max="12524"/>
    <col width="9" customWidth="1" style="55" min="12525" max="12525"/>
    <col width="22" customWidth="1" style="55" min="12526" max="12526"/>
    <col width="4.5" customWidth="1" style="55" min="12527" max="12527"/>
    <col width="13.33203125" customWidth="1" style="55" min="12528" max="12528"/>
    <col width="14.1640625" customWidth="1" style="55" min="12529" max="12529"/>
    <col width="9.33203125" customWidth="1" style="55" min="12530" max="12530"/>
    <col width="11.1640625" customWidth="1" style="55" min="12531" max="12531"/>
    <col width="9.1640625" customWidth="1" style="55" min="12532" max="12532"/>
    <col width="10.33203125" customWidth="1" style="55" min="12533" max="12533"/>
    <col width="7.6640625" customWidth="1" style="55" min="12534" max="12534"/>
    <col width="12.6640625" customWidth="1" style="55" min="12535" max="12535"/>
    <col width="10.6640625" customWidth="1" style="55" min="12536" max="12536"/>
    <col width="12.83203125" customWidth="1" style="55" min="12537" max="12537"/>
    <col width="10.83203125" customWidth="1" style="55" min="12538" max="12538"/>
    <col width="12.5" customWidth="1" style="55" min="12539" max="12539"/>
    <col width="10.5" customWidth="1" style="55" min="12540" max="12540"/>
    <col width="13.1640625" customWidth="1" style="55" min="12541" max="12541"/>
    <col width="9.83203125" customWidth="1" style="55" min="12542" max="12542"/>
    <col width="13.6640625" customWidth="1" style="55" min="12543" max="12543"/>
    <col width="9.5" customWidth="1" style="55" min="12544" max="12544"/>
    <col width="12.5" customWidth="1" style="55" min="12545" max="12545"/>
    <col width="10" customWidth="1" style="55" min="12546" max="12546"/>
    <col width="13" customWidth="1" style="55" min="12547" max="12547"/>
    <col width="11" customWidth="1" style="55" min="12548" max="12548"/>
    <col width="13.83203125" customWidth="1" style="55" min="12549" max="12549"/>
    <col width="11.33203125" customWidth="1" style="55" min="12550" max="12550"/>
    <col width="13" customWidth="1" style="55" min="12551" max="12551"/>
    <col width="9" customWidth="1" style="55" min="12552" max="12552"/>
    <col width="3.83203125" customWidth="1" style="55" min="12553" max="12553"/>
    <col width="18.5" customWidth="1" style="55" min="12554" max="12554"/>
    <col width="10" customWidth="1" style="55" min="12555" max="12555"/>
    <col width="9.1640625" customWidth="1" style="55" min="12556" max="12779"/>
    <col width="25.6640625" customWidth="1" style="55" min="12780" max="12780"/>
    <col width="9" customWidth="1" style="55" min="12781" max="12781"/>
    <col width="22" customWidth="1" style="55" min="12782" max="12782"/>
    <col width="4.5" customWidth="1" style="55" min="12783" max="12783"/>
    <col width="13.33203125" customWidth="1" style="55" min="12784" max="12784"/>
    <col width="14.1640625" customWidth="1" style="55" min="12785" max="12785"/>
    <col width="9.33203125" customWidth="1" style="55" min="12786" max="12786"/>
    <col width="11.1640625" customWidth="1" style="55" min="12787" max="12787"/>
    <col width="9.1640625" customWidth="1" style="55" min="12788" max="12788"/>
    <col width="10.33203125" customWidth="1" style="55" min="12789" max="12789"/>
    <col width="7.6640625" customWidth="1" style="55" min="12790" max="12790"/>
    <col width="12.6640625" customWidth="1" style="55" min="12791" max="12791"/>
    <col width="10.6640625" customWidth="1" style="55" min="12792" max="12792"/>
    <col width="12.83203125" customWidth="1" style="55" min="12793" max="12793"/>
    <col width="10.83203125" customWidth="1" style="55" min="12794" max="12794"/>
    <col width="12.5" customWidth="1" style="55" min="12795" max="12795"/>
    <col width="10.5" customWidth="1" style="55" min="12796" max="12796"/>
    <col width="13.1640625" customWidth="1" style="55" min="12797" max="12797"/>
    <col width="9.83203125" customWidth="1" style="55" min="12798" max="12798"/>
    <col width="13.6640625" customWidth="1" style="55" min="12799" max="12799"/>
    <col width="9.5" customWidth="1" style="55" min="12800" max="12800"/>
    <col width="12.5" customWidth="1" style="55" min="12801" max="12801"/>
    <col width="10" customWidth="1" style="55" min="12802" max="12802"/>
    <col width="13" customWidth="1" style="55" min="12803" max="12803"/>
    <col width="11" customWidth="1" style="55" min="12804" max="12804"/>
    <col width="13.83203125" customWidth="1" style="55" min="12805" max="12805"/>
    <col width="11.33203125" customWidth="1" style="55" min="12806" max="12806"/>
    <col width="13" customWidth="1" style="55" min="12807" max="12807"/>
    <col width="9" customWidth="1" style="55" min="12808" max="12808"/>
    <col width="3.83203125" customWidth="1" style="55" min="12809" max="12809"/>
    <col width="18.5" customWidth="1" style="55" min="12810" max="12810"/>
    <col width="10" customWidth="1" style="55" min="12811" max="12811"/>
    <col width="9.1640625" customWidth="1" style="55" min="12812" max="13035"/>
    <col width="25.6640625" customWidth="1" style="55" min="13036" max="13036"/>
    <col width="9" customWidth="1" style="55" min="13037" max="13037"/>
    <col width="22" customWidth="1" style="55" min="13038" max="13038"/>
    <col width="4.5" customWidth="1" style="55" min="13039" max="13039"/>
    <col width="13.33203125" customWidth="1" style="55" min="13040" max="13040"/>
    <col width="14.1640625" customWidth="1" style="55" min="13041" max="13041"/>
    <col width="9.33203125" customWidth="1" style="55" min="13042" max="13042"/>
    <col width="11.1640625" customWidth="1" style="55" min="13043" max="13043"/>
    <col width="9.1640625" customWidth="1" style="55" min="13044" max="13044"/>
    <col width="10.33203125" customWidth="1" style="55" min="13045" max="13045"/>
    <col width="7.6640625" customWidth="1" style="55" min="13046" max="13046"/>
    <col width="12.6640625" customWidth="1" style="55" min="13047" max="13047"/>
    <col width="10.6640625" customWidth="1" style="55" min="13048" max="13048"/>
    <col width="12.83203125" customWidth="1" style="55" min="13049" max="13049"/>
    <col width="10.83203125" customWidth="1" style="55" min="13050" max="13050"/>
    <col width="12.5" customWidth="1" style="55" min="13051" max="13051"/>
    <col width="10.5" customWidth="1" style="55" min="13052" max="13052"/>
    <col width="13.1640625" customWidth="1" style="55" min="13053" max="13053"/>
    <col width="9.83203125" customWidth="1" style="55" min="13054" max="13054"/>
    <col width="13.6640625" customWidth="1" style="55" min="13055" max="13055"/>
    <col width="9.5" customWidth="1" style="55" min="13056" max="13056"/>
    <col width="12.5" customWidth="1" style="55" min="13057" max="13057"/>
    <col width="10" customWidth="1" style="55" min="13058" max="13058"/>
    <col width="13" customWidth="1" style="55" min="13059" max="13059"/>
    <col width="11" customWidth="1" style="55" min="13060" max="13060"/>
    <col width="13.83203125" customWidth="1" style="55" min="13061" max="13061"/>
    <col width="11.33203125" customWidth="1" style="55" min="13062" max="13062"/>
    <col width="13" customWidth="1" style="55" min="13063" max="13063"/>
    <col width="9" customWidth="1" style="55" min="13064" max="13064"/>
    <col width="3.83203125" customWidth="1" style="55" min="13065" max="13065"/>
    <col width="18.5" customWidth="1" style="55" min="13066" max="13066"/>
    <col width="10" customWidth="1" style="55" min="13067" max="13067"/>
    <col width="9.1640625" customWidth="1" style="55" min="13068" max="13291"/>
    <col width="25.6640625" customWidth="1" style="55" min="13292" max="13292"/>
    <col width="9" customWidth="1" style="55" min="13293" max="13293"/>
    <col width="22" customWidth="1" style="55" min="13294" max="13294"/>
    <col width="4.5" customWidth="1" style="55" min="13295" max="13295"/>
    <col width="13.33203125" customWidth="1" style="55" min="13296" max="13296"/>
    <col width="14.1640625" customWidth="1" style="55" min="13297" max="13297"/>
    <col width="9.33203125" customWidth="1" style="55" min="13298" max="13298"/>
    <col width="11.1640625" customWidth="1" style="55" min="13299" max="13299"/>
    <col width="9.1640625" customWidth="1" style="55" min="13300" max="13300"/>
    <col width="10.33203125" customWidth="1" style="55" min="13301" max="13301"/>
    <col width="7.6640625" customWidth="1" style="55" min="13302" max="13302"/>
    <col width="12.6640625" customWidth="1" style="55" min="13303" max="13303"/>
    <col width="10.6640625" customWidth="1" style="55" min="13304" max="13304"/>
    <col width="12.83203125" customWidth="1" style="55" min="13305" max="13305"/>
    <col width="10.83203125" customWidth="1" style="55" min="13306" max="13306"/>
    <col width="12.5" customWidth="1" style="55" min="13307" max="13307"/>
    <col width="10.5" customWidth="1" style="55" min="13308" max="13308"/>
    <col width="13.1640625" customWidth="1" style="55" min="13309" max="13309"/>
    <col width="9.83203125" customWidth="1" style="55" min="13310" max="13310"/>
    <col width="13.6640625" customWidth="1" style="55" min="13311" max="13311"/>
    <col width="9.5" customWidth="1" style="55" min="13312" max="13312"/>
    <col width="12.5" customWidth="1" style="55" min="13313" max="13313"/>
    <col width="10" customWidth="1" style="55" min="13314" max="13314"/>
    <col width="13" customWidth="1" style="55" min="13315" max="13315"/>
    <col width="11" customWidth="1" style="55" min="13316" max="13316"/>
    <col width="13.83203125" customWidth="1" style="55" min="13317" max="13317"/>
    <col width="11.33203125" customWidth="1" style="55" min="13318" max="13318"/>
    <col width="13" customWidth="1" style="55" min="13319" max="13319"/>
    <col width="9" customWidth="1" style="55" min="13320" max="13320"/>
    <col width="3.83203125" customWidth="1" style="55" min="13321" max="13321"/>
    <col width="18.5" customWidth="1" style="55" min="13322" max="13322"/>
    <col width="10" customWidth="1" style="55" min="13323" max="13323"/>
    <col width="9.1640625" customWidth="1" style="55" min="13324" max="13547"/>
    <col width="25.6640625" customWidth="1" style="55" min="13548" max="13548"/>
    <col width="9" customWidth="1" style="55" min="13549" max="13549"/>
    <col width="22" customWidth="1" style="55" min="13550" max="13550"/>
    <col width="4.5" customWidth="1" style="55" min="13551" max="13551"/>
    <col width="13.33203125" customWidth="1" style="55" min="13552" max="13552"/>
    <col width="14.1640625" customWidth="1" style="55" min="13553" max="13553"/>
    <col width="9.33203125" customWidth="1" style="55" min="13554" max="13554"/>
    <col width="11.1640625" customWidth="1" style="55" min="13555" max="13555"/>
    <col width="9.1640625" customWidth="1" style="55" min="13556" max="13556"/>
    <col width="10.33203125" customWidth="1" style="55" min="13557" max="13557"/>
    <col width="7.6640625" customWidth="1" style="55" min="13558" max="13558"/>
    <col width="12.6640625" customWidth="1" style="55" min="13559" max="13559"/>
    <col width="10.6640625" customWidth="1" style="55" min="13560" max="13560"/>
    <col width="12.83203125" customWidth="1" style="55" min="13561" max="13561"/>
    <col width="10.83203125" customWidth="1" style="55" min="13562" max="13562"/>
    <col width="12.5" customWidth="1" style="55" min="13563" max="13563"/>
    <col width="10.5" customWidth="1" style="55" min="13564" max="13564"/>
    <col width="13.1640625" customWidth="1" style="55" min="13565" max="13565"/>
    <col width="9.83203125" customWidth="1" style="55" min="13566" max="13566"/>
    <col width="13.6640625" customWidth="1" style="55" min="13567" max="13567"/>
    <col width="9.5" customWidth="1" style="55" min="13568" max="13568"/>
    <col width="12.5" customWidth="1" style="55" min="13569" max="13569"/>
    <col width="10" customWidth="1" style="55" min="13570" max="13570"/>
    <col width="13" customWidth="1" style="55" min="13571" max="13571"/>
    <col width="11" customWidth="1" style="55" min="13572" max="13572"/>
    <col width="13.83203125" customWidth="1" style="55" min="13573" max="13573"/>
    <col width="11.33203125" customWidth="1" style="55" min="13574" max="13574"/>
    <col width="13" customWidth="1" style="55" min="13575" max="13575"/>
    <col width="9" customWidth="1" style="55" min="13576" max="13576"/>
    <col width="3.83203125" customWidth="1" style="55" min="13577" max="13577"/>
    <col width="18.5" customWidth="1" style="55" min="13578" max="13578"/>
    <col width="10" customWidth="1" style="55" min="13579" max="13579"/>
    <col width="9.1640625" customWidth="1" style="55" min="13580" max="13803"/>
    <col width="25.6640625" customWidth="1" style="55" min="13804" max="13804"/>
    <col width="9" customWidth="1" style="55" min="13805" max="13805"/>
    <col width="22" customWidth="1" style="55" min="13806" max="13806"/>
    <col width="4.5" customWidth="1" style="55" min="13807" max="13807"/>
    <col width="13.33203125" customWidth="1" style="55" min="13808" max="13808"/>
    <col width="14.1640625" customWidth="1" style="55" min="13809" max="13809"/>
    <col width="9.33203125" customWidth="1" style="55" min="13810" max="13810"/>
    <col width="11.1640625" customWidth="1" style="55" min="13811" max="13811"/>
    <col width="9.1640625" customWidth="1" style="55" min="13812" max="13812"/>
    <col width="10.33203125" customWidth="1" style="55" min="13813" max="13813"/>
    <col width="7.6640625" customWidth="1" style="55" min="13814" max="13814"/>
    <col width="12.6640625" customWidth="1" style="55" min="13815" max="13815"/>
    <col width="10.6640625" customWidth="1" style="55" min="13816" max="13816"/>
    <col width="12.83203125" customWidth="1" style="55" min="13817" max="13817"/>
    <col width="10.83203125" customWidth="1" style="55" min="13818" max="13818"/>
    <col width="12.5" customWidth="1" style="55" min="13819" max="13819"/>
    <col width="10.5" customWidth="1" style="55" min="13820" max="13820"/>
    <col width="13.1640625" customWidth="1" style="55" min="13821" max="13821"/>
    <col width="9.83203125" customWidth="1" style="55" min="13822" max="13822"/>
    <col width="13.6640625" customWidth="1" style="55" min="13823" max="13823"/>
    <col width="9.5" customWidth="1" style="55" min="13824" max="13824"/>
    <col width="12.5" customWidth="1" style="55" min="13825" max="13825"/>
    <col width="10" customWidth="1" style="55" min="13826" max="13826"/>
    <col width="13" customWidth="1" style="55" min="13827" max="13827"/>
    <col width="11" customWidth="1" style="55" min="13828" max="13828"/>
    <col width="13.83203125" customWidth="1" style="55" min="13829" max="13829"/>
    <col width="11.33203125" customWidth="1" style="55" min="13830" max="13830"/>
    <col width="13" customWidth="1" style="55" min="13831" max="13831"/>
    <col width="9" customWidth="1" style="55" min="13832" max="13832"/>
    <col width="3.83203125" customWidth="1" style="55" min="13833" max="13833"/>
    <col width="18.5" customWidth="1" style="55" min="13834" max="13834"/>
    <col width="10" customWidth="1" style="55" min="13835" max="13835"/>
    <col width="9.1640625" customWidth="1" style="55" min="13836" max="14059"/>
    <col width="25.6640625" customWidth="1" style="55" min="14060" max="14060"/>
    <col width="9" customWidth="1" style="55" min="14061" max="14061"/>
    <col width="22" customWidth="1" style="55" min="14062" max="14062"/>
    <col width="4.5" customWidth="1" style="55" min="14063" max="14063"/>
    <col width="13.33203125" customWidth="1" style="55" min="14064" max="14064"/>
    <col width="14.1640625" customWidth="1" style="55" min="14065" max="14065"/>
    <col width="9.33203125" customWidth="1" style="55" min="14066" max="14066"/>
    <col width="11.1640625" customWidth="1" style="55" min="14067" max="14067"/>
    <col width="9.1640625" customWidth="1" style="55" min="14068" max="14068"/>
    <col width="10.33203125" customWidth="1" style="55" min="14069" max="14069"/>
    <col width="7.6640625" customWidth="1" style="55" min="14070" max="14070"/>
    <col width="12.6640625" customWidth="1" style="55" min="14071" max="14071"/>
    <col width="10.6640625" customWidth="1" style="55" min="14072" max="14072"/>
    <col width="12.83203125" customWidth="1" style="55" min="14073" max="14073"/>
    <col width="10.83203125" customWidth="1" style="55" min="14074" max="14074"/>
    <col width="12.5" customWidth="1" style="55" min="14075" max="14075"/>
    <col width="10.5" customWidth="1" style="55" min="14076" max="14076"/>
    <col width="13.1640625" customWidth="1" style="55" min="14077" max="14077"/>
    <col width="9.83203125" customWidth="1" style="55" min="14078" max="14078"/>
    <col width="13.6640625" customWidth="1" style="55" min="14079" max="14079"/>
    <col width="9.5" customWidth="1" style="55" min="14080" max="14080"/>
    <col width="12.5" customWidth="1" style="55" min="14081" max="14081"/>
    <col width="10" customWidth="1" style="55" min="14082" max="14082"/>
    <col width="13" customWidth="1" style="55" min="14083" max="14083"/>
    <col width="11" customWidth="1" style="55" min="14084" max="14084"/>
    <col width="13.83203125" customWidth="1" style="55" min="14085" max="14085"/>
    <col width="11.33203125" customWidth="1" style="55" min="14086" max="14086"/>
    <col width="13" customWidth="1" style="55" min="14087" max="14087"/>
    <col width="9" customWidth="1" style="55" min="14088" max="14088"/>
    <col width="3.83203125" customWidth="1" style="55" min="14089" max="14089"/>
    <col width="18.5" customWidth="1" style="55" min="14090" max="14090"/>
    <col width="10" customWidth="1" style="55" min="14091" max="14091"/>
    <col width="9.1640625" customWidth="1" style="55" min="14092" max="14315"/>
    <col width="25.6640625" customWidth="1" style="55" min="14316" max="14316"/>
    <col width="9" customWidth="1" style="55" min="14317" max="14317"/>
    <col width="22" customWidth="1" style="55" min="14318" max="14318"/>
    <col width="4.5" customWidth="1" style="55" min="14319" max="14319"/>
    <col width="13.33203125" customWidth="1" style="55" min="14320" max="14320"/>
    <col width="14.1640625" customWidth="1" style="55" min="14321" max="14321"/>
    <col width="9.33203125" customWidth="1" style="55" min="14322" max="14322"/>
    <col width="11.1640625" customWidth="1" style="55" min="14323" max="14323"/>
    <col width="9.1640625" customWidth="1" style="55" min="14324" max="14324"/>
    <col width="10.33203125" customWidth="1" style="55" min="14325" max="14325"/>
    <col width="7.6640625" customWidth="1" style="55" min="14326" max="14326"/>
    <col width="12.6640625" customWidth="1" style="55" min="14327" max="14327"/>
    <col width="10.6640625" customWidth="1" style="55" min="14328" max="14328"/>
    <col width="12.83203125" customWidth="1" style="55" min="14329" max="14329"/>
    <col width="10.83203125" customWidth="1" style="55" min="14330" max="14330"/>
    <col width="12.5" customWidth="1" style="55" min="14331" max="14331"/>
    <col width="10.5" customWidth="1" style="55" min="14332" max="14332"/>
    <col width="13.1640625" customWidth="1" style="55" min="14333" max="14333"/>
    <col width="9.83203125" customWidth="1" style="55" min="14334" max="14334"/>
    <col width="13.6640625" customWidth="1" style="55" min="14335" max="14335"/>
    <col width="9.5" customWidth="1" style="55" min="14336" max="14336"/>
    <col width="12.5" customWidth="1" style="55" min="14337" max="14337"/>
    <col width="10" customWidth="1" style="55" min="14338" max="14338"/>
    <col width="13" customWidth="1" style="55" min="14339" max="14339"/>
    <col width="11" customWidth="1" style="55" min="14340" max="14340"/>
    <col width="13.83203125" customWidth="1" style="55" min="14341" max="14341"/>
    <col width="11.33203125" customWidth="1" style="55" min="14342" max="14342"/>
    <col width="13" customWidth="1" style="55" min="14343" max="14343"/>
    <col width="9" customWidth="1" style="55" min="14344" max="14344"/>
    <col width="3.83203125" customWidth="1" style="55" min="14345" max="14345"/>
    <col width="18.5" customWidth="1" style="55" min="14346" max="14346"/>
    <col width="10" customWidth="1" style="55" min="14347" max="14347"/>
    <col width="9.1640625" customWidth="1" style="55" min="14348" max="14571"/>
    <col width="25.6640625" customWidth="1" style="55" min="14572" max="14572"/>
    <col width="9" customWidth="1" style="55" min="14573" max="14573"/>
    <col width="22" customWidth="1" style="55" min="14574" max="14574"/>
    <col width="4.5" customWidth="1" style="55" min="14575" max="14575"/>
    <col width="13.33203125" customWidth="1" style="55" min="14576" max="14576"/>
    <col width="14.1640625" customWidth="1" style="55" min="14577" max="14577"/>
    <col width="9.33203125" customWidth="1" style="55" min="14578" max="14578"/>
    <col width="11.1640625" customWidth="1" style="55" min="14579" max="14579"/>
    <col width="9.1640625" customWidth="1" style="55" min="14580" max="14580"/>
    <col width="10.33203125" customWidth="1" style="55" min="14581" max="14581"/>
    <col width="7.6640625" customWidth="1" style="55" min="14582" max="14582"/>
    <col width="12.6640625" customWidth="1" style="55" min="14583" max="14583"/>
    <col width="10.6640625" customWidth="1" style="55" min="14584" max="14584"/>
    <col width="12.83203125" customWidth="1" style="55" min="14585" max="14585"/>
    <col width="10.83203125" customWidth="1" style="55" min="14586" max="14586"/>
    <col width="12.5" customWidth="1" style="55" min="14587" max="14587"/>
    <col width="10.5" customWidth="1" style="55" min="14588" max="14588"/>
    <col width="13.1640625" customWidth="1" style="55" min="14589" max="14589"/>
    <col width="9.83203125" customWidth="1" style="55" min="14590" max="14590"/>
    <col width="13.6640625" customWidth="1" style="55" min="14591" max="14591"/>
    <col width="9.5" customWidth="1" style="55" min="14592" max="14592"/>
    <col width="12.5" customWidth="1" style="55" min="14593" max="14593"/>
    <col width="10" customWidth="1" style="55" min="14594" max="14594"/>
    <col width="13" customWidth="1" style="55" min="14595" max="14595"/>
    <col width="11" customWidth="1" style="55" min="14596" max="14596"/>
    <col width="13.83203125" customWidth="1" style="55" min="14597" max="14597"/>
    <col width="11.33203125" customWidth="1" style="55" min="14598" max="14598"/>
    <col width="13" customWidth="1" style="55" min="14599" max="14599"/>
    <col width="9" customWidth="1" style="55" min="14600" max="14600"/>
    <col width="3.83203125" customWidth="1" style="55" min="14601" max="14601"/>
    <col width="18.5" customWidth="1" style="55" min="14602" max="14602"/>
    <col width="10" customWidth="1" style="55" min="14603" max="14603"/>
    <col width="9.1640625" customWidth="1" style="55" min="14604" max="14827"/>
    <col width="25.6640625" customWidth="1" style="55" min="14828" max="14828"/>
    <col width="9" customWidth="1" style="55" min="14829" max="14829"/>
    <col width="22" customWidth="1" style="55" min="14830" max="14830"/>
    <col width="4.5" customWidth="1" style="55" min="14831" max="14831"/>
    <col width="13.33203125" customWidth="1" style="55" min="14832" max="14832"/>
    <col width="14.1640625" customWidth="1" style="55" min="14833" max="14833"/>
    <col width="9.33203125" customWidth="1" style="55" min="14834" max="14834"/>
    <col width="11.1640625" customWidth="1" style="55" min="14835" max="14835"/>
    <col width="9.1640625" customWidth="1" style="55" min="14836" max="14836"/>
    <col width="10.33203125" customWidth="1" style="55" min="14837" max="14837"/>
    <col width="7.6640625" customWidth="1" style="55" min="14838" max="14838"/>
    <col width="12.6640625" customWidth="1" style="55" min="14839" max="14839"/>
    <col width="10.6640625" customWidth="1" style="55" min="14840" max="14840"/>
    <col width="12.83203125" customWidth="1" style="55" min="14841" max="14841"/>
    <col width="10.83203125" customWidth="1" style="55" min="14842" max="14842"/>
    <col width="12.5" customWidth="1" style="55" min="14843" max="14843"/>
    <col width="10.5" customWidth="1" style="55" min="14844" max="14844"/>
    <col width="13.1640625" customWidth="1" style="55" min="14845" max="14845"/>
    <col width="9.83203125" customWidth="1" style="55" min="14846" max="14846"/>
    <col width="13.6640625" customWidth="1" style="55" min="14847" max="14847"/>
    <col width="9.5" customWidth="1" style="55" min="14848" max="14848"/>
    <col width="12.5" customWidth="1" style="55" min="14849" max="14849"/>
    <col width="10" customWidth="1" style="55" min="14850" max="14850"/>
    <col width="13" customWidth="1" style="55" min="14851" max="14851"/>
    <col width="11" customWidth="1" style="55" min="14852" max="14852"/>
    <col width="13.83203125" customWidth="1" style="55" min="14853" max="14853"/>
    <col width="11.33203125" customWidth="1" style="55" min="14854" max="14854"/>
    <col width="13" customWidth="1" style="55" min="14855" max="14855"/>
    <col width="9" customWidth="1" style="55" min="14856" max="14856"/>
    <col width="3.83203125" customWidth="1" style="55" min="14857" max="14857"/>
    <col width="18.5" customWidth="1" style="55" min="14858" max="14858"/>
    <col width="10" customWidth="1" style="55" min="14859" max="14859"/>
    <col width="9.1640625" customWidth="1" style="55" min="14860" max="15083"/>
    <col width="25.6640625" customWidth="1" style="55" min="15084" max="15084"/>
    <col width="9" customWidth="1" style="55" min="15085" max="15085"/>
    <col width="22" customWidth="1" style="55" min="15086" max="15086"/>
    <col width="4.5" customWidth="1" style="55" min="15087" max="15087"/>
    <col width="13.33203125" customWidth="1" style="55" min="15088" max="15088"/>
    <col width="14.1640625" customWidth="1" style="55" min="15089" max="15089"/>
    <col width="9.33203125" customWidth="1" style="55" min="15090" max="15090"/>
    <col width="11.1640625" customWidth="1" style="55" min="15091" max="15091"/>
    <col width="9.1640625" customWidth="1" style="55" min="15092" max="15092"/>
    <col width="10.33203125" customWidth="1" style="55" min="15093" max="15093"/>
    <col width="7.6640625" customWidth="1" style="55" min="15094" max="15094"/>
    <col width="12.6640625" customWidth="1" style="55" min="15095" max="15095"/>
    <col width="10.6640625" customWidth="1" style="55" min="15096" max="15096"/>
    <col width="12.83203125" customWidth="1" style="55" min="15097" max="15097"/>
    <col width="10.83203125" customWidth="1" style="55" min="15098" max="15098"/>
    <col width="12.5" customWidth="1" style="55" min="15099" max="15099"/>
    <col width="10.5" customWidth="1" style="55" min="15100" max="15100"/>
    <col width="13.1640625" customWidth="1" style="55" min="15101" max="15101"/>
    <col width="9.83203125" customWidth="1" style="55" min="15102" max="15102"/>
    <col width="13.6640625" customWidth="1" style="55" min="15103" max="15103"/>
    <col width="9.5" customWidth="1" style="55" min="15104" max="15104"/>
    <col width="12.5" customWidth="1" style="55" min="15105" max="15105"/>
    <col width="10" customWidth="1" style="55" min="15106" max="15106"/>
    <col width="13" customWidth="1" style="55" min="15107" max="15107"/>
    <col width="11" customWidth="1" style="55" min="15108" max="15108"/>
    <col width="13.83203125" customWidth="1" style="55" min="15109" max="15109"/>
    <col width="11.33203125" customWidth="1" style="55" min="15110" max="15110"/>
    <col width="13" customWidth="1" style="55" min="15111" max="15111"/>
    <col width="9" customWidth="1" style="55" min="15112" max="15112"/>
    <col width="3.83203125" customWidth="1" style="55" min="15113" max="15113"/>
    <col width="18.5" customWidth="1" style="55" min="15114" max="15114"/>
    <col width="10" customWidth="1" style="55" min="15115" max="15115"/>
    <col width="9.1640625" customWidth="1" style="55" min="15116" max="15339"/>
    <col width="25.6640625" customWidth="1" style="55" min="15340" max="15340"/>
    <col width="9" customWidth="1" style="55" min="15341" max="15341"/>
    <col width="22" customWidth="1" style="55" min="15342" max="15342"/>
    <col width="4.5" customWidth="1" style="55" min="15343" max="15343"/>
    <col width="13.33203125" customWidth="1" style="55" min="15344" max="15344"/>
    <col width="14.1640625" customWidth="1" style="55" min="15345" max="15345"/>
    <col width="9.33203125" customWidth="1" style="55" min="15346" max="15346"/>
    <col width="11.1640625" customWidth="1" style="55" min="15347" max="15347"/>
    <col width="9.1640625" customWidth="1" style="55" min="15348" max="15348"/>
    <col width="10.33203125" customWidth="1" style="55" min="15349" max="15349"/>
    <col width="7.6640625" customWidth="1" style="55" min="15350" max="15350"/>
    <col width="12.6640625" customWidth="1" style="55" min="15351" max="15351"/>
    <col width="10.6640625" customWidth="1" style="55" min="15352" max="15352"/>
    <col width="12.83203125" customWidth="1" style="55" min="15353" max="15353"/>
    <col width="10.83203125" customWidth="1" style="55" min="15354" max="15354"/>
    <col width="12.5" customWidth="1" style="55" min="15355" max="15355"/>
    <col width="10.5" customWidth="1" style="55" min="15356" max="15356"/>
    <col width="13.1640625" customWidth="1" style="55" min="15357" max="15357"/>
    <col width="9.83203125" customWidth="1" style="55" min="15358" max="15358"/>
    <col width="13.6640625" customWidth="1" style="55" min="15359" max="15359"/>
    <col width="9.5" customWidth="1" style="55" min="15360" max="15360"/>
    <col width="12.5" customWidth="1" style="55" min="15361" max="15361"/>
    <col width="10" customWidth="1" style="55" min="15362" max="15362"/>
    <col width="13" customWidth="1" style="55" min="15363" max="15363"/>
    <col width="11" customWidth="1" style="55" min="15364" max="15364"/>
    <col width="13.83203125" customWidth="1" style="55" min="15365" max="15365"/>
    <col width="11.33203125" customWidth="1" style="55" min="15366" max="15366"/>
    <col width="13" customWidth="1" style="55" min="15367" max="15367"/>
    <col width="9" customWidth="1" style="55" min="15368" max="15368"/>
    <col width="3.83203125" customWidth="1" style="55" min="15369" max="15369"/>
    <col width="18.5" customWidth="1" style="55" min="15370" max="15370"/>
    <col width="10" customWidth="1" style="55" min="15371" max="15371"/>
    <col width="9.1640625" customWidth="1" style="55" min="15372" max="15595"/>
    <col width="25.6640625" customWidth="1" style="55" min="15596" max="15596"/>
    <col width="9" customWidth="1" style="55" min="15597" max="15597"/>
    <col width="22" customWidth="1" style="55" min="15598" max="15598"/>
    <col width="4.5" customWidth="1" style="55" min="15599" max="15599"/>
    <col width="13.33203125" customWidth="1" style="55" min="15600" max="15600"/>
    <col width="14.1640625" customWidth="1" style="55" min="15601" max="15601"/>
    <col width="9.33203125" customWidth="1" style="55" min="15602" max="15602"/>
    <col width="11.1640625" customWidth="1" style="55" min="15603" max="15603"/>
    <col width="9.1640625" customWidth="1" style="55" min="15604" max="15604"/>
    <col width="10.33203125" customWidth="1" style="55" min="15605" max="15605"/>
    <col width="7.6640625" customWidth="1" style="55" min="15606" max="15606"/>
    <col width="12.6640625" customWidth="1" style="55" min="15607" max="15607"/>
    <col width="10.6640625" customWidth="1" style="55" min="15608" max="15608"/>
    <col width="12.83203125" customWidth="1" style="55" min="15609" max="15609"/>
    <col width="10.83203125" customWidth="1" style="55" min="15610" max="15610"/>
    <col width="12.5" customWidth="1" style="55" min="15611" max="15611"/>
    <col width="10.5" customWidth="1" style="55" min="15612" max="15612"/>
    <col width="13.1640625" customWidth="1" style="55" min="15613" max="15613"/>
    <col width="9.83203125" customWidth="1" style="55" min="15614" max="15614"/>
    <col width="13.6640625" customWidth="1" style="55" min="15615" max="15615"/>
    <col width="9.5" customWidth="1" style="55" min="15616" max="15616"/>
    <col width="12.5" customWidth="1" style="55" min="15617" max="15617"/>
    <col width="10" customWidth="1" style="55" min="15618" max="15618"/>
    <col width="13" customWidth="1" style="55" min="15619" max="15619"/>
    <col width="11" customWidth="1" style="55" min="15620" max="15620"/>
    <col width="13.83203125" customWidth="1" style="55" min="15621" max="15621"/>
    <col width="11.33203125" customWidth="1" style="55" min="15622" max="15622"/>
    <col width="13" customWidth="1" style="55" min="15623" max="15623"/>
    <col width="9" customWidth="1" style="55" min="15624" max="15624"/>
    <col width="3.83203125" customWidth="1" style="55" min="15625" max="15625"/>
    <col width="18.5" customWidth="1" style="55" min="15626" max="15626"/>
    <col width="10" customWidth="1" style="55" min="15627" max="15627"/>
    <col width="9.1640625" customWidth="1" style="55" min="15628" max="15851"/>
    <col width="25.6640625" customWidth="1" style="55" min="15852" max="15852"/>
    <col width="9" customWidth="1" style="55" min="15853" max="15853"/>
    <col width="22" customWidth="1" style="55" min="15854" max="15854"/>
    <col width="4.5" customWidth="1" style="55" min="15855" max="15855"/>
    <col width="13.33203125" customWidth="1" style="55" min="15856" max="15856"/>
    <col width="14.1640625" customWidth="1" style="55" min="15857" max="15857"/>
    <col width="9.33203125" customWidth="1" style="55" min="15858" max="15858"/>
    <col width="11.1640625" customWidth="1" style="55" min="15859" max="15859"/>
    <col width="9.1640625" customWidth="1" style="55" min="15860" max="15860"/>
    <col width="10.33203125" customWidth="1" style="55" min="15861" max="15861"/>
    <col width="7.6640625" customWidth="1" style="55" min="15862" max="15862"/>
    <col width="12.6640625" customWidth="1" style="55" min="15863" max="15863"/>
    <col width="10.6640625" customWidth="1" style="55" min="15864" max="15864"/>
    <col width="12.83203125" customWidth="1" style="55" min="15865" max="15865"/>
    <col width="10.83203125" customWidth="1" style="55" min="15866" max="15866"/>
    <col width="12.5" customWidth="1" style="55" min="15867" max="15867"/>
    <col width="10.5" customWidth="1" style="55" min="15868" max="15868"/>
    <col width="13.1640625" customWidth="1" style="55" min="15869" max="15869"/>
    <col width="9.83203125" customWidth="1" style="55" min="15870" max="15870"/>
    <col width="13.6640625" customWidth="1" style="55" min="15871" max="15871"/>
    <col width="9.5" customWidth="1" style="55" min="15872" max="15872"/>
    <col width="12.5" customWidth="1" style="55" min="15873" max="15873"/>
    <col width="10" customWidth="1" style="55" min="15874" max="15874"/>
    <col width="13" customWidth="1" style="55" min="15875" max="15875"/>
    <col width="11" customWidth="1" style="55" min="15876" max="15876"/>
    <col width="13.83203125" customWidth="1" style="55" min="15877" max="15877"/>
    <col width="11.33203125" customWidth="1" style="55" min="15878" max="15878"/>
    <col width="13" customWidth="1" style="55" min="15879" max="15879"/>
    <col width="9" customWidth="1" style="55" min="15880" max="15880"/>
    <col width="3.83203125" customWidth="1" style="55" min="15881" max="15881"/>
    <col width="18.5" customWidth="1" style="55" min="15882" max="15882"/>
    <col width="10" customWidth="1" style="55" min="15883" max="15883"/>
    <col width="9.1640625" customWidth="1" style="55" min="15884" max="16107"/>
    <col width="25.6640625" customWidth="1" style="55" min="16108" max="16108"/>
    <col width="9" customWidth="1" style="55" min="16109" max="16109"/>
    <col width="22" customWidth="1" style="55" min="16110" max="16110"/>
    <col width="4.5" customWidth="1" style="55" min="16111" max="16111"/>
    <col width="13.33203125" customWidth="1" style="55" min="16112" max="16112"/>
    <col width="14.1640625" customWidth="1" style="55" min="16113" max="16113"/>
    <col width="9.33203125" customWidth="1" style="55" min="16114" max="16114"/>
    <col width="11.1640625" customWidth="1" style="55" min="16115" max="16115"/>
    <col width="9.1640625" customWidth="1" style="55" min="16116" max="16116"/>
    <col width="10.33203125" customWidth="1" style="55" min="16117" max="16117"/>
    <col width="7.6640625" customWidth="1" style="55" min="16118" max="16118"/>
    <col width="12.6640625" customWidth="1" style="55" min="16119" max="16119"/>
    <col width="10.6640625" customWidth="1" style="55" min="16120" max="16120"/>
    <col width="12.83203125" customWidth="1" style="55" min="16121" max="16121"/>
    <col width="10.83203125" customWidth="1" style="55" min="16122" max="16122"/>
    <col width="12.5" customWidth="1" style="55" min="16123" max="16123"/>
    <col width="10.5" customWidth="1" style="55" min="16124" max="16124"/>
    <col width="13.1640625" customWidth="1" style="55" min="16125" max="16125"/>
    <col width="9.83203125" customWidth="1" style="55" min="16126" max="16126"/>
    <col width="13.6640625" customWidth="1" style="55" min="16127" max="16127"/>
    <col width="9.5" customWidth="1" style="55" min="16128" max="16128"/>
    <col width="12.5" customWidth="1" style="55" min="16129" max="16129"/>
    <col width="10" customWidth="1" style="55" min="16130" max="16130"/>
    <col width="13" customWidth="1" style="55" min="16131" max="16131"/>
    <col width="11" customWidth="1" style="55" min="16132" max="16132"/>
    <col width="13.83203125" customWidth="1" style="55" min="16133" max="16133"/>
    <col width="11.33203125" customWidth="1" style="55" min="16134" max="16134"/>
    <col width="13" customWidth="1" style="55" min="16135" max="16135"/>
    <col width="9" customWidth="1" style="55" min="16136" max="16136"/>
    <col width="3.83203125" customWidth="1" style="55" min="16137" max="16137"/>
    <col width="18.5" customWidth="1" style="55" min="16138" max="16138"/>
    <col width="10" customWidth="1" style="55" min="16139" max="16139"/>
    <col width="9.1640625" customWidth="1" style="55" min="16140" max="16384"/>
  </cols>
  <sheetData>
    <row r="1" ht="15" customFormat="1" customHeight="1" s="1158">
      <c r="B1" s="1148" t="inlineStr">
        <is>
          <t>F24-19 POLLUSTOP COST SHEET</t>
        </is>
      </c>
      <c r="D1" s="156" t="n"/>
      <c r="E1" s="157" t="n"/>
      <c r="F1" s="158" t="n"/>
      <c r="G1" s="356" t="n"/>
      <c r="H1" s="356" t="n"/>
      <c r="I1" s="357" t="n"/>
      <c r="J1" s="356" t="n"/>
      <c r="K1" s="356" t="n"/>
      <c r="L1" s="975" t="inlineStr">
        <is>
          <t>JAN25-19</t>
        </is>
      </c>
      <c r="Q1" s="41" t="n"/>
      <c r="R1" s="42" t="n"/>
      <c r="Y1" s="43" t="n"/>
      <c r="AB1" s="44" t="n"/>
    </row>
    <row r="2" ht="15" customFormat="1" customHeight="1" s="1158">
      <c r="C2" s="301" t="n"/>
      <c r="D2" s="45" t="n"/>
      <c r="E2" s="46" t="n"/>
      <c r="F2" s="47" t="n"/>
      <c r="G2" s="358" t="n"/>
      <c r="H2" s="359" t="n"/>
      <c r="I2" s="51" t="n"/>
      <c r="J2" s="360" t="n"/>
      <c r="K2" s="360" t="n"/>
      <c r="L2" s="359" t="n"/>
      <c r="Q2" s="48" t="n"/>
      <c r="V2" s="49" t="n"/>
      <c r="X2" s="43" t="n"/>
      <c r="AA2" s="44" t="n"/>
    </row>
    <row r="3" ht="15" customFormat="1" customHeight="1" s="1158">
      <c r="B3" s="50" t="inlineStr">
        <is>
          <t>Job No.</t>
        </is>
      </c>
      <c r="C3" s="1074">
        <f>IF(CANOPY!C3="","",CANOPY!C3)</f>
        <v/>
      </c>
      <c r="E3" s="1129" t="n"/>
      <c r="F3" s="177" t="inlineStr">
        <is>
          <t>Project Name</t>
        </is>
      </c>
      <c r="G3" s="1074">
        <f>IF(CANOPY!G3="","",CANOPY!G3)</f>
        <v/>
      </c>
      <c r="I3" s="51" t="n"/>
      <c r="J3" s="360" t="n"/>
      <c r="K3" s="360" t="n"/>
      <c r="L3" s="359" t="n"/>
      <c r="Q3" s="48" t="n"/>
      <c r="X3" s="43" t="n"/>
      <c r="AA3" s="44" t="n"/>
    </row>
    <row r="4" ht="15" customFormat="1" customHeight="1" s="1158">
      <c r="C4" s="471" t="n"/>
      <c r="D4" s="472" t="n"/>
      <c r="E4" s="178" t="n"/>
      <c r="F4" s="179" t="n"/>
      <c r="G4" s="471" t="n"/>
      <c r="H4" s="471" t="n"/>
      <c r="I4" s="51" t="n"/>
      <c r="J4" s="360" t="n"/>
      <c r="K4" s="360" t="n"/>
      <c r="L4" s="359" t="n"/>
      <c r="Q4" s="48" t="n"/>
      <c r="X4" s="43" t="n"/>
      <c r="AA4" s="44" t="n"/>
    </row>
    <row r="5" ht="15" customFormat="1" customHeight="1" s="1158">
      <c r="B5" s="50" t="inlineStr">
        <is>
          <t>Customer</t>
        </is>
      </c>
      <c r="C5" s="1147">
        <f>IF(CANOPY!C5="","",CANOPY!C5)</f>
        <v/>
      </c>
      <c r="E5" s="173" t="n"/>
      <c r="F5" s="177" t="inlineStr">
        <is>
          <t>Location</t>
        </is>
      </c>
      <c r="G5" s="1074">
        <f>IF(CANOPY!G5="","",CANOPY!G5)</f>
        <v/>
      </c>
      <c r="I5" s="51" t="n"/>
      <c r="J5" s="360" t="n"/>
      <c r="K5" s="360" t="n"/>
      <c r="L5" s="359" t="n"/>
      <c r="N5" s="52" t="n"/>
      <c r="O5" s="52" t="n"/>
      <c r="Q5" s="48" t="n"/>
      <c r="R5" s="49" t="n"/>
      <c r="X5" s="43" t="n"/>
      <c r="AA5" s="44" t="n"/>
    </row>
    <row r="6" ht="15" customFormat="1" customHeight="1" s="1158">
      <c r="B6" s="50" t="n"/>
      <c r="C6" s="321" t="n"/>
      <c r="D6" s="471" t="n"/>
      <c r="E6" s="180" t="n"/>
      <c r="F6" s="179" t="n"/>
      <c r="G6" s="471" t="n"/>
      <c r="H6" s="471" t="n"/>
      <c r="I6" s="51" t="n"/>
      <c r="J6" s="360" t="n"/>
      <c r="K6" s="360" t="n"/>
      <c r="L6" s="359" t="n"/>
      <c r="N6" s="52" t="n"/>
      <c r="O6" s="52" t="n"/>
      <c r="Q6" s="48" t="n"/>
      <c r="R6" s="49" t="n"/>
      <c r="X6" s="53" t="n"/>
      <c r="AA6" s="44" t="n"/>
    </row>
    <row r="7" ht="15" customFormat="1" customHeight="1" s="1158">
      <c r="B7" s="80" t="inlineStr">
        <is>
          <t>Sales Manager / Estimator initials</t>
        </is>
      </c>
      <c r="C7" s="1147">
        <f>IF(CANOPY!C7="","",CANOPY!C7)</f>
        <v/>
      </c>
      <c r="E7" s="180" t="n"/>
      <c r="F7" s="181" t="inlineStr">
        <is>
          <t>Date</t>
        </is>
      </c>
      <c r="G7" s="1075">
        <f>IF(CANOPY!G7="","",CANOPY!G7)</f>
        <v/>
      </c>
      <c r="I7" s="51" t="n"/>
      <c r="J7" s="361" t="n"/>
      <c r="K7" s="361" t="inlineStr">
        <is>
          <t>Revision No</t>
        </is>
      </c>
      <c r="L7" s="576">
        <f>IF(CANOPY!O7="","",CANOPY!O7)</f>
        <v/>
      </c>
      <c r="M7" s="1091" t="inlineStr">
        <is>
          <t>GP SHOULD BE MINIMUM 44%</t>
        </is>
      </c>
      <c r="Q7" s="48" t="n"/>
      <c r="R7" s="49" t="n"/>
      <c r="X7" s="53" t="n"/>
      <c r="AA7" s="44" t="n"/>
    </row>
    <row r="8" ht="15" customFormat="1" customHeight="1" s="1158">
      <c r="C8" s="51" t="n"/>
      <c r="D8" s="51" t="n"/>
      <c r="E8" s="43" t="n"/>
      <c r="F8" s="47" t="n"/>
      <c r="G8" s="360" t="n"/>
      <c r="H8" s="359" t="n"/>
      <c r="I8" s="51" t="n"/>
      <c r="J8" s="360" t="n"/>
      <c r="K8" s="360" t="n"/>
      <c r="L8" s="359" t="n"/>
      <c r="Q8" s="48" t="n"/>
      <c r="X8" s="53" t="n"/>
      <c r="AA8" s="44" t="n"/>
    </row>
    <row r="9" ht="15" customFormat="1" customHeight="1" s="1158">
      <c r="B9" s="38" t="inlineStr">
        <is>
          <t>CURRENCY</t>
        </is>
      </c>
      <c r="C9" s="950" t="n">
        <v>0</v>
      </c>
      <c r="D9" s="377">
        <f>IF(C9=0,0,(SUBTOTAL(9,J15:J62)/(1-C9))-J9)</f>
        <v/>
      </c>
      <c r="E9" s="155" t="n"/>
      <c r="F9" s="155" t="n"/>
      <c r="H9" s="25">
        <f>SUBTOTAL(9,H11:H62)</f>
        <v/>
      </c>
      <c r="I9" s="967">
        <f>IF(L9=0,"-",L9/J9)</f>
        <v/>
      </c>
      <c r="J9" s="25">
        <f>SUBTOTAL(9,J11:J62)</f>
        <v/>
      </c>
      <c r="K9" s="464">
        <f>SUBTOTAL(9,K11:K62)</f>
        <v/>
      </c>
      <c r="L9" s="25">
        <f>SUBTOTAL(9,L11:L62)</f>
        <v/>
      </c>
      <c r="S9" s="48" t="n"/>
      <c r="V9" s="48" t="n"/>
      <c r="Y9" s="48" t="n"/>
      <c r="AH9" s="48" t="n"/>
    </row>
    <row r="10" ht="15" customFormat="1" customHeight="1" s="1158">
      <c r="B10" s="317" t="inlineStr">
        <is>
          <t>CURRENCY</t>
        </is>
      </c>
      <c r="C10" s="317" t="inlineStr">
        <is>
          <t>%</t>
        </is>
      </c>
      <c r="D10" s="317" t="inlineStr">
        <is>
          <t>COMMISSION</t>
        </is>
      </c>
      <c r="E10" s="2" t="n"/>
      <c r="F10" s="2" t="n"/>
      <c r="G10" s="1" t="inlineStr">
        <is>
          <t>COST</t>
        </is>
      </c>
      <c r="H10" s="2" t="inlineStr">
        <is>
          <t>TOTAL COST</t>
        </is>
      </c>
      <c r="I10" s="3" t="inlineStr">
        <is>
          <t>GP</t>
        </is>
      </c>
      <c r="J10" s="4" t="inlineStr">
        <is>
          <t>Sell</t>
        </is>
      </c>
      <c r="K10" s="4" t="inlineStr">
        <is>
          <t>SELL</t>
        </is>
      </c>
      <c r="L10" s="5" t="inlineStr">
        <is>
          <t>PROFIT</t>
        </is>
      </c>
      <c r="P10" s="587" t="n"/>
      <c r="S10" s="48" t="n"/>
      <c r="V10" s="48" t="n"/>
      <c r="Y10" s="48" t="n"/>
      <c r="AH10" s="48" t="n"/>
    </row>
    <row r="11" ht="15" customHeight="1" s="1085">
      <c r="D11" s="55" t="n"/>
    </row>
    <row r="12" ht="15" customHeight="1" s="1085">
      <c r="B12" s="56" t="inlineStr">
        <is>
          <t>m³/s</t>
        </is>
      </c>
      <c r="D12" s="55" t="n"/>
      <c r="E12" s="155" t="n"/>
      <c r="F12" s="155" t="n"/>
    </row>
    <row r="13" ht="15" customHeight="1" s="1085">
      <c r="B13" s="492" t="inlineStr">
        <is>
          <t>POLLUSTOP PEU-</t>
        </is>
      </c>
      <c r="C13" s="38" t="inlineStr">
        <is>
          <t>INTERNAL</t>
        </is>
      </c>
      <c r="D13" s="58" t="n"/>
      <c r="E13" s="390" t="inlineStr">
        <is>
          <t>GP</t>
        </is>
      </c>
      <c r="F13" s="391" t="n">
        <v>0.4</v>
      </c>
      <c r="G13" s="61" t="n"/>
      <c r="H13" s="61">
        <f>SUBTOTAL(9,H15:H50)</f>
        <v/>
      </c>
      <c r="I13" s="39">
        <f>IF(H13=0,"-",L13/J13)</f>
        <v/>
      </c>
      <c r="J13" s="61">
        <f>SUBTOTAL(9,J15:J50)</f>
        <v/>
      </c>
      <c r="K13" s="465">
        <f>SUBTOTAL(9,K15:K50)</f>
        <v/>
      </c>
      <c r="L13" s="61">
        <f>SUBTOTAL(9,L15:L50)</f>
        <v/>
      </c>
    </row>
    <row r="14" ht="15" customHeight="1" s="1085">
      <c r="B14" s="35" t="inlineStr">
        <is>
          <t>ITEM</t>
        </is>
      </c>
      <c r="C14" s="54" t="inlineStr">
        <is>
          <t>SIZE</t>
        </is>
      </c>
      <c r="D14" s="54" t="inlineStr">
        <is>
          <t>QTY</t>
        </is>
      </c>
      <c r="E14" s="246" t="n"/>
      <c r="F14" s="247" t="n"/>
      <c r="G14" s="248" t="n"/>
      <c r="H14" s="248" t="n"/>
      <c r="I14" s="249" t="n"/>
      <c r="J14" s="248" t="n"/>
      <c r="K14" s="248" t="n"/>
      <c r="L14" s="248" t="n"/>
    </row>
    <row r="15" ht="15" customHeight="1" s="1085">
      <c r="B15" s="269" t="inlineStr">
        <is>
          <t xml:space="preserve">PANEL / BAG FILTER </t>
        </is>
      </c>
      <c r="C15" s="84" t="inlineStr">
        <is>
          <t>Size</t>
        </is>
      </c>
      <c r="D15" s="87" t="n"/>
      <c r="E15" s="82" t="n"/>
      <c r="F15" s="82" t="n"/>
      <c r="G15" s="380">
        <f>IF(C13="external",VLOOKUP(C15,'Base Costs'!$AP$6:$AR$16,2,FALSE),VLOOKUP(C15,'Base Costs'!$AP$6:$AR$16,3,FALSE))</f>
        <v/>
      </c>
      <c r="H15" s="378">
        <f>D15*G15</f>
        <v/>
      </c>
      <c r="I15" s="463" t="n">
        <v>0.44</v>
      </c>
      <c r="J15" s="311">
        <f>H15/(1-I15)*(1+$C$9)</f>
        <v/>
      </c>
      <c r="K15" s="378">
        <f>J15*VLOOKUP($B$9,'Base Costs'!$A$32:$B$37,2,FALSE)</f>
        <v/>
      </c>
      <c r="L15" s="379">
        <f>K15-H15</f>
        <v/>
      </c>
    </row>
    <row r="16" ht="15" customHeight="1" s="1085">
      <c r="B16" s="269" t="inlineStr">
        <is>
          <t>PANEL / UV-C</t>
        </is>
      </c>
      <c r="C16" s="84" t="inlineStr">
        <is>
          <t>Size</t>
        </is>
      </c>
      <c r="D16" s="87" t="n"/>
      <c r="E16" s="82" t="n"/>
      <c r="F16" s="82" t="n"/>
      <c r="G16" s="380">
        <f>IF(C13="external",VLOOKUP(C16,'Base Costs'!$AP$20:$AR$30,2,FALSE),VLOOKUP(C16,'Base Costs'!$AP$20:$AR$30,3,FALSE))</f>
        <v/>
      </c>
      <c r="H16" s="378">
        <f>D16*G16</f>
        <v/>
      </c>
      <c r="I16" s="463" t="n">
        <v>0.44</v>
      </c>
      <c r="J16" s="311">
        <f>H16/(1-I16)*(1+$C$9)</f>
        <v/>
      </c>
      <c r="K16" s="378">
        <f>J16*VLOOKUP($B$9,'Base Costs'!$A$32:$B$37,2,FALSE)</f>
        <v/>
      </c>
      <c r="L16" s="379">
        <f>K16-H16</f>
        <v/>
      </c>
    </row>
    <row r="17" ht="15" customHeight="1" s="1085">
      <c r="B17" s="269" t="inlineStr">
        <is>
          <t>BAG FILTERS</t>
        </is>
      </c>
      <c r="C17" s="84" t="inlineStr">
        <is>
          <t>Size</t>
        </is>
      </c>
      <c r="D17" s="87" t="n"/>
      <c r="E17" s="82" t="n"/>
      <c r="F17" s="82" t="n"/>
      <c r="G17" s="380">
        <f>IF(C13="external",VLOOKUP(C17,'Base Costs'!$AP$33:$AR$43,2,FALSE),VLOOKUP(C17,'Base Costs'!$AP$33:$AR$43,3,FALSE))</f>
        <v/>
      </c>
      <c r="H17" s="378">
        <f>D17*G17</f>
        <v/>
      </c>
      <c r="I17" s="463" t="n">
        <v>0.44</v>
      </c>
      <c r="J17" s="311">
        <f>H17/(1-I17)*(1+$C$9)</f>
        <v/>
      </c>
      <c r="K17" s="378">
        <f>J17*VLOOKUP($B$9,'Base Costs'!$A$32:$B$37,2,FALSE)</f>
        <v/>
      </c>
      <c r="L17" s="379">
        <f>K17-H17</f>
        <v/>
      </c>
    </row>
    <row r="18" ht="15" customHeight="1" s="1085">
      <c r="B18" s="269" t="inlineStr">
        <is>
          <t>HEPA FILTERS</t>
        </is>
      </c>
      <c r="C18" s="84" t="inlineStr">
        <is>
          <t>Size</t>
        </is>
      </c>
      <c r="D18" s="87" t="n"/>
      <c r="E18" s="82" t="n"/>
      <c r="F18" s="82" t="n"/>
      <c r="G18" s="380">
        <f>IF(C13="external",VLOOKUP(C18,'Base Costs'!$AP$46:$AR$56,2,FALSE),VLOOKUP(C18,'Base Costs'!$AP$46:$AR$56,3,FALSE))</f>
        <v/>
      </c>
      <c r="H18" s="378">
        <f>D18*G18</f>
        <v/>
      </c>
      <c r="I18" s="463" t="n">
        <v>0.44</v>
      </c>
      <c r="J18" s="311">
        <f>H18/(1-I18)*(1+$C$9)</f>
        <v/>
      </c>
      <c r="K18" s="378">
        <f>J18*VLOOKUP($B$9,'Base Costs'!$A$32:$B$37,2,FALSE)</f>
        <v/>
      </c>
      <c r="L18" s="379">
        <f>K18-H18</f>
        <v/>
      </c>
    </row>
    <row r="19" ht="15" customFormat="1" customHeight="1" s="1159">
      <c r="B19" s="269" t="inlineStr">
        <is>
          <t>HEAT RECLAIM COIL</t>
        </is>
      </c>
      <c r="C19" s="84" t="inlineStr">
        <is>
          <t>Size</t>
        </is>
      </c>
      <c r="D19" s="87" t="n"/>
      <c r="E19" s="83" t="n"/>
      <c r="F19" s="83" t="n"/>
      <c r="G19" s="380">
        <f>IF(C14="external",VLOOKUP(C19,'Base Costs'!$AP$59:$AR$69,2,FALSE),VLOOKUP(C19,'Base Costs'!$AP$59:$AR$69,3,FALSE))</f>
        <v/>
      </c>
      <c r="H19" s="378">
        <f>D19*G19</f>
        <v/>
      </c>
      <c r="I19" s="463" t="n">
        <v>0.44</v>
      </c>
      <c r="J19" s="311">
        <f>H19/(1-I19)*(1+$C$9)</f>
        <v/>
      </c>
      <c r="K19" s="378">
        <f>J19*VLOOKUP($B$9,'Base Costs'!$A$32:$B$37,2,FALSE)</f>
        <v/>
      </c>
      <c r="L19" s="379">
        <f>K19-H19</f>
        <v/>
      </c>
    </row>
    <row r="20" ht="15" customFormat="1" customHeight="1" s="1159">
      <c r="B20" s="269" t="inlineStr">
        <is>
          <t>CARBON FILTERS</t>
        </is>
      </c>
      <c r="C20" s="84" t="inlineStr">
        <is>
          <t>Size</t>
        </is>
      </c>
      <c r="D20" s="87" t="n"/>
      <c r="E20" s="83" t="n"/>
      <c r="F20" s="83" t="n"/>
      <c r="G20" s="380">
        <f>IF(C13="external",VLOOKUP(C20,'Base Costs'!$AP$72:$AR$82,2,FALSE),VLOOKUP(C20,'Base Costs'!$AP$72:$AR$82,3,FALSE))</f>
        <v/>
      </c>
      <c r="H20" s="378">
        <f>D20*G20</f>
        <v/>
      </c>
      <c r="I20" s="463" t="n">
        <v>0.44</v>
      </c>
      <c r="J20" s="311">
        <f>H20/(1-I20)*(1+$C$9)</f>
        <v/>
      </c>
      <c r="K20" s="378">
        <f>J20*VLOOKUP($B$9,'Base Costs'!$A$32:$B$37,2,FALSE)</f>
        <v/>
      </c>
      <c r="L20" s="379">
        <f>K20-H20</f>
        <v/>
      </c>
    </row>
    <row r="21" ht="15" customFormat="1" customHeight="1" s="1159">
      <c r="B21" s="269" t="inlineStr">
        <is>
          <t>FAN SECTION &amp; VFD</t>
        </is>
      </c>
      <c r="C21" s="84" t="inlineStr">
        <is>
          <t>Size</t>
        </is>
      </c>
      <c r="D21" s="87" t="n"/>
      <c r="E21" s="83" t="n"/>
      <c r="F21" s="83" t="n"/>
      <c r="G21" s="380">
        <f>IF(C13="external",VLOOKUP(C21,'Base Costs'!$AP$85:$AR$95,2,FALSE),VLOOKUP(C21,'Base Costs'!$AP$85:$AR$95,3,FALSE))</f>
        <v/>
      </c>
      <c r="H21" s="378">
        <f>D21*G21</f>
        <v/>
      </c>
      <c r="I21" s="463" t="n">
        <v>0.44</v>
      </c>
      <c r="J21" s="311">
        <f>H21/(1-I21)*(1+$C$9)</f>
        <v/>
      </c>
      <c r="K21" s="378">
        <f>J21*VLOOKUP($B$9,'Base Costs'!$A$32:$B$37,2,FALSE)</f>
        <v/>
      </c>
      <c r="L21" s="379">
        <f>K21-H21</f>
        <v/>
      </c>
    </row>
    <row r="22" ht="15" customFormat="1" customHeight="1" s="1159">
      <c r="B22" s="269" t="inlineStr">
        <is>
          <t>ACCESS SECTION</t>
        </is>
      </c>
      <c r="C22" s="84" t="inlineStr">
        <is>
          <t>Size</t>
        </is>
      </c>
      <c r="D22" s="87" t="n"/>
      <c r="E22" s="83" t="n"/>
      <c r="F22" s="83" t="n"/>
      <c r="G22" s="380">
        <f>IF(C13="external",VLOOKUP(C22,'Base Costs'!$AP$98:$AR$108,2,FALSE),VLOOKUP(C22,'Base Costs'!$AP$98:$AR$108,3,FALSE))</f>
        <v/>
      </c>
      <c r="H22" s="378">
        <f>D22*G22</f>
        <v/>
      </c>
      <c r="I22" s="463" t="n">
        <v>0.44</v>
      </c>
      <c r="J22" s="311">
        <f>H22/(1-I22)*(1+$C$9)</f>
        <v/>
      </c>
      <c r="K22" s="378">
        <f>J22*VLOOKUP($B$9,'Base Costs'!$A$32:$B$37,2,FALSE)</f>
        <v/>
      </c>
      <c r="L22" s="379">
        <f>K22-H22</f>
        <v/>
      </c>
    </row>
    <row r="23" ht="15" customFormat="1" customHeight="1" s="1159">
      <c r="B23" s="269" t="inlineStr">
        <is>
          <t>ESP</t>
        </is>
      </c>
      <c r="C23" s="84" t="inlineStr">
        <is>
          <t>Size</t>
        </is>
      </c>
      <c r="D23" s="87" t="n"/>
      <c r="E23" s="83" t="n"/>
      <c r="F23" s="83" t="n"/>
      <c r="G23" s="380">
        <f>IF(C14="external",VLOOKUP(C23,'Base Costs'!$AP$111:$AR$121,2,FALSE),VLOOKUP(C23,'Base Costs'!$AP$111:$AR$121,3,FALSE))</f>
        <v/>
      </c>
      <c r="H23" s="378">
        <f>D23*G23</f>
        <v/>
      </c>
      <c r="I23" s="463" t="n">
        <v>0.44</v>
      </c>
      <c r="J23" s="311">
        <f>H23/(1-I23)*(1+$C$9)</f>
        <v/>
      </c>
      <c r="K23" s="378">
        <f>J23*VLOOKUP($B$9,'Base Costs'!$A$32:$B$37,2,FALSE)</f>
        <v/>
      </c>
      <c r="L23" s="379">
        <f>K23-H23</f>
        <v/>
      </c>
    </row>
    <row r="24" ht="15" customHeight="1" s="1085">
      <c r="B24" s="269" t="n"/>
      <c r="C24" s="88" t="n"/>
      <c r="D24" s="89" t="n"/>
      <c r="E24" s="88" t="n"/>
      <c r="F24" s="88" t="n"/>
      <c r="G24" s="363" t="n"/>
      <c r="H24" s="363" t="n"/>
      <c r="I24" s="463" t="n">
        <v>0.44</v>
      </c>
      <c r="J24" s="363" t="n"/>
      <c r="K24" s="378">
        <f>J24*VLOOKUP($B$9,'Base Costs'!$A$32:$B$37,2,FALSE)</f>
        <v/>
      </c>
      <c r="L24" s="379">
        <f>K24-H24</f>
        <v/>
      </c>
    </row>
    <row r="25" ht="15" customHeight="1" s="1085">
      <c r="B25" s="978" t="inlineStr">
        <is>
          <t>BIM/REVIT PER UNIT</t>
        </is>
      </c>
      <c r="C25" s="1018" t="n"/>
      <c r="D25" s="1019" t="n">
        <v>1</v>
      </c>
      <c r="E25" s="1020" t="n"/>
      <c r="F25" s="1020" t="n"/>
      <c r="G25" s="1022" t="n">
        <v>50</v>
      </c>
      <c r="H25" s="996">
        <f>D25*G25</f>
        <v/>
      </c>
      <c r="I25" s="1021" t="n">
        <v>0.44</v>
      </c>
      <c r="J25" s="998">
        <f>H25/(1-I25)*(1+$C$9)</f>
        <v/>
      </c>
      <c r="K25" s="996">
        <f>J25*VLOOKUP($B$9,'Base Costs'!$A$32:$B$37,2,FALSE)</f>
        <v/>
      </c>
      <c r="L25" s="999">
        <f>K25-H25</f>
        <v/>
      </c>
      <c r="M25" s="1023" t="inlineStr">
        <is>
          <t>ALWAYS INCLUDE</t>
        </is>
      </c>
    </row>
    <row r="26" ht="15" customFormat="1" customHeight="1" s="1159">
      <c r="B26" s="269" t="inlineStr">
        <is>
          <t>ATTENUATORS</t>
        </is>
      </c>
      <c r="C26" s="90" t="n"/>
      <c r="D26" s="87" t="n"/>
      <c r="E26" s="73" t="n"/>
      <c r="F26" s="73" t="n"/>
      <c r="G26" s="380" t="n"/>
      <c r="H26" s="378">
        <f>D26*G26</f>
        <v/>
      </c>
      <c r="I26" s="463" t="n">
        <v>0.44</v>
      </c>
      <c r="J26" s="311">
        <f>H26/(1-I26)*(1+$C$9)</f>
        <v/>
      </c>
      <c r="K26" s="378">
        <f>J26*VLOOKUP($B$9,'Base Costs'!$A$32:$B$37,2,FALSE)</f>
        <v/>
      </c>
      <c r="L26" s="379">
        <f>K26-H26</f>
        <v/>
      </c>
    </row>
    <row r="27" ht="15" customFormat="1" customHeight="1" s="1159">
      <c r="B27" s="269" t="n"/>
      <c r="C27" s="92" t="n"/>
      <c r="D27" s="93" t="n">
        <v>0</v>
      </c>
      <c r="E27" s="473" t="n"/>
      <c r="F27" s="73" t="n"/>
      <c r="G27" s="380" t="n"/>
      <c r="H27" s="378">
        <f>D27*G27</f>
        <v/>
      </c>
      <c r="I27" s="463" t="n">
        <v>0.44</v>
      </c>
      <c r="J27" s="311">
        <f>H27/(1-I27)*(1+$C$9)</f>
        <v/>
      </c>
      <c r="K27" s="378">
        <f>J27*VLOOKUP($B$9,'Base Costs'!$A$32:$B$37,2,FALSE)</f>
        <v/>
      </c>
      <c r="L27" s="379">
        <f>K27-H27</f>
        <v/>
      </c>
    </row>
    <row r="28" ht="15" customFormat="1" customHeight="1" s="1159">
      <c r="B28" s="269" t="inlineStr">
        <is>
          <t>W/PROOF SINGLE PITCH ROOF</t>
        </is>
      </c>
      <c r="C28" s="474" t="inlineStr">
        <is>
          <t>PEU01-06</t>
        </is>
      </c>
      <c r="D28" s="475" t="n"/>
      <c r="E28" s="83" t="inlineStr">
        <is>
          <t>Metre</t>
        </is>
      </c>
      <c r="F28" s="83" t="n"/>
      <c r="G28" s="380" t="n">
        <v>103</v>
      </c>
      <c r="H28" s="378">
        <f>D28*G28</f>
        <v/>
      </c>
      <c r="I28" s="463" t="n">
        <v>0.44</v>
      </c>
      <c r="J28" s="311">
        <f>H28/(1-I28)*(1+$C$9)</f>
        <v/>
      </c>
      <c r="K28" s="378">
        <f>J28*VLOOKUP($B$9,'Base Costs'!$A$32:$B$37,2,FALSE)</f>
        <v/>
      </c>
      <c r="L28" s="379">
        <f>K28-H28</f>
        <v/>
      </c>
    </row>
    <row r="29" ht="15" customFormat="1" customHeight="1" s="1159">
      <c r="B29" s="269" t="inlineStr">
        <is>
          <t>W/PROOF SINGLE PITCH ROOF</t>
        </is>
      </c>
      <c r="C29" s="476" t="inlineStr">
        <is>
          <t>PEU07-10</t>
        </is>
      </c>
      <c r="D29" s="475" t="n"/>
      <c r="E29" s="83" t="inlineStr">
        <is>
          <t>Metre</t>
        </is>
      </c>
      <c r="F29" s="83" t="n"/>
      <c r="G29" s="380" t="n">
        <v>135</v>
      </c>
      <c r="H29" s="378">
        <f>D29*G29</f>
        <v/>
      </c>
      <c r="I29" s="463" t="n">
        <v>0.44</v>
      </c>
      <c r="J29" s="311">
        <f>H29/(1-I29)*(1+$C$9)</f>
        <v/>
      </c>
      <c r="K29" s="378">
        <f>J29*VLOOKUP($B$9,'Base Costs'!$A$32:$B$37,2,FALSE)</f>
        <v/>
      </c>
      <c r="L29" s="379">
        <f>K29-H29</f>
        <v/>
      </c>
    </row>
    <row r="30" ht="15" customFormat="1" customHeight="1" s="1159">
      <c r="B30" s="269" t="n"/>
      <c r="C30" s="81" t="n"/>
      <c r="D30" s="91" t="n">
        <v>0</v>
      </c>
      <c r="E30" s="83" t="n"/>
      <c r="F30" s="83" t="n"/>
      <c r="G30" s="380" t="n"/>
      <c r="H30" s="378">
        <f>D30*G30</f>
        <v/>
      </c>
      <c r="I30" s="463" t="n">
        <v>0.44</v>
      </c>
      <c r="J30" s="311">
        <f>H30/(1-I30)*(1+$C$9)</f>
        <v/>
      </c>
      <c r="K30" s="378">
        <f>J30*VLOOKUP($B$9,'Base Costs'!$A$32:$B$37,2,FALSE)</f>
        <v/>
      </c>
      <c r="L30" s="379">
        <f>K30-H30</f>
        <v/>
      </c>
    </row>
    <row r="31" hidden="1" ht="15" customFormat="1" customHeight="1" s="1159">
      <c r="B31" s="308" t="n"/>
      <c r="C31" s="81" t="n"/>
      <c r="D31" s="91" t="n"/>
      <c r="E31" s="83" t="n"/>
      <c r="F31" s="83" t="n"/>
      <c r="G31" s="380" t="n"/>
      <c r="H31" s="378" t="n"/>
      <c r="I31" s="463" t="n">
        <v>0.44</v>
      </c>
      <c r="J31" s="311">
        <f>H31/(1-I31)*(1+$C$9)</f>
        <v/>
      </c>
      <c r="K31" s="378">
        <f>J31*VLOOKUP($B$9,'Base Costs'!$A$32:$B$37,2,FALSE)</f>
        <v/>
      </c>
      <c r="L31" s="379">
        <f>K31-H31</f>
        <v/>
      </c>
    </row>
    <row r="32" hidden="1" ht="15" customFormat="1" customHeight="1" s="1159">
      <c r="B32" s="308" t="inlineStr">
        <is>
          <t>MCD</t>
        </is>
      </c>
      <c r="C32" s="459" t="n"/>
      <c r="D32" s="87" t="n">
        <v>1</v>
      </c>
      <c r="E32" s="83" t="n"/>
      <c r="F32" s="83" t="n"/>
      <c r="G32" s="380">
        <f>C32</f>
        <v/>
      </c>
      <c r="H32" s="378">
        <f>D32*G32</f>
        <v/>
      </c>
      <c r="I32" s="463" t="n">
        <v>0.44</v>
      </c>
      <c r="J32" s="311">
        <f>H32/(1-I32)*(1+$C$9)</f>
        <v/>
      </c>
      <c r="K32" s="378">
        <f>J32*VLOOKUP($B$9,'Base Costs'!$A$32:$B$37,2,FALSE)</f>
        <v/>
      </c>
      <c r="L32" s="379">
        <f>K32-H32</f>
        <v/>
      </c>
    </row>
    <row r="33" hidden="1" ht="15" customFormat="1" customHeight="1" s="1159">
      <c r="B33" s="308" t="inlineStr">
        <is>
          <t>ACCOUSTIC LINED</t>
        </is>
      </c>
      <c r="C33" s="459" t="n"/>
      <c r="D33" s="477" t="n">
        <v>1</v>
      </c>
      <c r="E33" s="83" t="n"/>
      <c r="F33" s="83" t="n"/>
      <c r="G33" s="380">
        <f>C33</f>
        <v/>
      </c>
      <c r="H33" s="378">
        <f>D33*G33</f>
        <v/>
      </c>
      <c r="I33" s="463" t="n">
        <v>0.44</v>
      </c>
      <c r="J33" s="311">
        <f>H33/(1-I33)*(1+$C$9)</f>
        <v/>
      </c>
      <c r="K33" s="378">
        <f>J33*VLOOKUP($B$9,'Base Costs'!$A$32:$B$37,2,FALSE)</f>
        <v/>
      </c>
      <c r="L33" s="379">
        <f>K33-H33</f>
        <v/>
      </c>
    </row>
    <row r="34" ht="15" customFormat="1" customHeight="1" s="1159">
      <c r="B34" s="476" t="inlineStr">
        <is>
          <t>EXTRA OVER FOR VERTICAL</t>
        </is>
      </c>
      <c r="C34" s="478" t="inlineStr">
        <is>
          <t xml:space="preserve">25% OF TOTAL UNIT </t>
        </is>
      </c>
      <c r="D34" s="478" t="n"/>
      <c r="E34" s="476" t="n"/>
      <c r="F34" s="478" t="n"/>
      <c r="G34" s="380">
        <f>SUM(H15:H23)*0.25</f>
        <v/>
      </c>
      <c r="H34" s="378">
        <f>D34*G34</f>
        <v/>
      </c>
      <c r="I34" s="463" t="n">
        <v>0.44</v>
      </c>
      <c r="J34" s="311">
        <f>H34/(1-I34)*(1+$C$9)</f>
        <v/>
      </c>
      <c r="K34" s="378">
        <f>J34*VLOOKUP($B$9,'Base Costs'!$A$32:$B$37,2,FALSE)</f>
        <v/>
      </c>
      <c r="L34" s="379">
        <f>K34-H34</f>
        <v/>
      </c>
    </row>
    <row r="35" ht="15" customFormat="1" customHeight="1" s="1159">
      <c r="B35" s="476" t="inlineStr">
        <is>
          <t>BULKHEAD LIGHTING</t>
        </is>
      </c>
      <c r="C35" s="478" t="n"/>
      <c r="D35" s="478" t="n"/>
      <c r="E35" s="476" t="n"/>
      <c r="F35" s="478" t="n"/>
      <c r="G35" s="380" t="n">
        <v>107</v>
      </c>
      <c r="H35" s="378">
        <f>D35*G35</f>
        <v/>
      </c>
      <c r="I35" s="463" t="n">
        <v>0.44</v>
      </c>
      <c r="J35" s="311">
        <f>H35/(1-I35)*(1+$C$9)</f>
        <v/>
      </c>
      <c r="K35" s="378">
        <f>J35*VLOOKUP($B$9,'Base Costs'!$A$32:$B$37,2,FALSE)</f>
        <v/>
      </c>
      <c r="L35" s="379">
        <f>K35-H35</f>
        <v/>
      </c>
    </row>
    <row r="36" ht="15" customFormat="1" customHeight="1" s="1159">
      <c r="B36" s="476" t="inlineStr">
        <is>
          <t>VIEWING PANEL</t>
        </is>
      </c>
      <c r="C36" s="478" t="n"/>
      <c r="D36" s="478" t="n"/>
      <c r="E36" s="476" t="n"/>
      <c r="F36" s="478" t="n"/>
      <c r="G36" s="380" t="n">
        <v>30</v>
      </c>
      <c r="H36" s="378">
        <f>D36*G36</f>
        <v/>
      </c>
      <c r="I36" s="463" t="n">
        <v>0.44</v>
      </c>
      <c r="J36" s="311">
        <f>H36/(1-I36)*(1+$C$9)</f>
        <v/>
      </c>
      <c r="K36" s="378">
        <f>J36*VLOOKUP($B$9,'Base Costs'!$A$32:$B$37,2,FALSE)</f>
        <v/>
      </c>
      <c r="L36" s="379">
        <f>K36-H36</f>
        <v/>
      </c>
    </row>
    <row r="37" ht="15" customFormat="1" customHeight="1" s="1159">
      <c r="B37" s="476" t="inlineStr">
        <is>
          <t>DAMPERS</t>
        </is>
      </c>
      <c r="C37" s="476" t="n"/>
      <c r="D37" s="478" t="n"/>
      <c r="E37" s="476" t="n"/>
      <c r="F37" s="478" t="inlineStr">
        <is>
          <t>Each</t>
        </is>
      </c>
      <c r="G37" s="380" t="n">
        <v>0</v>
      </c>
      <c r="H37" s="378">
        <f>D37*G37</f>
        <v/>
      </c>
      <c r="I37" s="463" t="n">
        <v>0.44</v>
      </c>
      <c r="J37" s="311">
        <f>H37/(1-I37)*(1+$C$9)</f>
        <v/>
      </c>
      <c r="K37" s="378">
        <f>J37*VLOOKUP($B$9,'Base Costs'!$A$32:$B$37,2,FALSE)</f>
        <v/>
      </c>
      <c r="L37" s="379">
        <f>K37-H37</f>
        <v/>
      </c>
    </row>
    <row r="38" ht="15" customFormat="1" customHeight="1" s="1159">
      <c r="B38" s="67" t="n"/>
      <c r="D38" s="64" t="n"/>
      <c r="E38" s="62" t="n"/>
      <c r="F38" s="479" t="n"/>
      <c r="G38" s="364" t="n"/>
      <c r="H38" s="365" t="n"/>
      <c r="I38" s="96" t="n"/>
      <c r="J38" s="365" t="n"/>
      <c r="K38" s="366" t="n"/>
      <c r="L38" s="366" t="n"/>
    </row>
    <row r="39" ht="15" customFormat="1" customHeight="1" s="1159">
      <c r="B39" s="476" t="inlineStr">
        <is>
          <t>1.5Kw to 37.0Kw Fan control</t>
        </is>
      </c>
      <c r="C39" s="476" t="inlineStr">
        <is>
          <t>Includes EMI filter</t>
        </is>
      </c>
      <c r="D39" s="480" t="n"/>
      <c r="E39" s="481" t="n"/>
      <c r="F39" s="802" t="inlineStr">
        <is>
          <t>Unit Mounted</t>
        </is>
      </c>
      <c r="G39" s="804" t="n">
        <v>1551</v>
      </c>
      <c r="H39" s="378">
        <f>D39*G39</f>
        <v/>
      </c>
      <c r="I39" s="463" t="n">
        <v>0.35</v>
      </c>
      <c r="J39" s="311">
        <f>H39/(1-I39)*(1+$C$9)</f>
        <v/>
      </c>
      <c r="K39" s="378">
        <f>J39*VLOOKUP($B$9,'Base Costs'!$A$32:$B$37,2,FALSE)</f>
        <v/>
      </c>
      <c r="L39" s="379">
        <f>K39-H39</f>
        <v/>
      </c>
    </row>
    <row r="40" ht="15" customFormat="1" customHeight="1" s="1159">
      <c r="B40" s="476" t="inlineStr">
        <is>
          <t>Filter Monitoring</t>
        </is>
      </c>
      <c r="C40" s="476" t="n"/>
      <c r="D40" s="482" t="n"/>
      <c r="E40" s="483" t="n"/>
      <c r="F40" s="802" t="inlineStr">
        <is>
          <t>Unit Mounted</t>
        </is>
      </c>
      <c r="G40" s="804" t="n">
        <v>582</v>
      </c>
      <c r="H40" s="378">
        <f>D40*G40</f>
        <v/>
      </c>
      <c r="I40" s="463" t="n">
        <v>0.35</v>
      </c>
      <c r="J40" s="311">
        <f>H40/(1-I40)*(1+$C$9)</f>
        <v/>
      </c>
      <c r="K40" s="378">
        <f>J40*VLOOKUP($B$9,'Base Costs'!$A$32:$B$37,2,FALSE)</f>
        <v/>
      </c>
      <c r="L40" s="379">
        <f>K40-H40</f>
        <v/>
      </c>
    </row>
    <row r="41" ht="15" customFormat="1" customHeight="1" s="1159">
      <c r="B41" s="476" t="n"/>
      <c r="C41" s="476" t="n"/>
      <c r="D41" s="484" t="n"/>
      <c r="E41" s="483" t="n"/>
      <c r="F41" s="925" t="n"/>
      <c r="G41" s="805" t="n"/>
      <c r="H41" s="378">
        <f>D41*G41</f>
        <v/>
      </c>
      <c r="I41" s="463" t="n">
        <v>0</v>
      </c>
      <c r="J41" s="311">
        <f>H41/(1-I41)*(1+$C$9)</f>
        <v/>
      </c>
      <c r="K41" s="378">
        <f>J41*VLOOKUP($B$9,'Base Costs'!$A$32:$B$37,2,FALSE)</f>
        <v/>
      </c>
      <c r="L41" s="379">
        <f>K41-H41</f>
        <v/>
      </c>
      <c r="O41" s="865" t="n"/>
      <c r="T41" s="485" t="n"/>
    </row>
    <row r="42" ht="15" customFormat="1" customHeight="1" s="1159">
      <c r="B42" s="476" t="n"/>
      <c r="C42" s="476" t="n"/>
      <c r="D42" s="484" t="n"/>
      <c r="E42" s="483" t="n"/>
      <c r="F42" s="925" t="n"/>
      <c r="G42" s="805" t="n"/>
      <c r="H42" s="378">
        <f>D42*G42</f>
        <v/>
      </c>
      <c r="I42" s="463" t="n">
        <v>0</v>
      </c>
      <c r="J42" s="311">
        <f>H42/(1-I42)*(1+$C$9)</f>
        <v/>
      </c>
      <c r="K42" s="378">
        <f>J42*VLOOKUP($B$9,'Base Costs'!$A$32:$B$37,2,FALSE)</f>
        <v/>
      </c>
      <c r="L42" s="379">
        <f>K42-H42</f>
        <v/>
      </c>
    </row>
    <row r="43" ht="15" customFormat="1" customHeight="1" s="1159">
      <c r="B43" s="476" t="n"/>
      <c r="C43" s="476" t="n"/>
      <c r="D43" s="484" t="n"/>
      <c r="E43" s="483" t="n"/>
      <c r="F43" s="925" t="inlineStr">
        <is>
          <t>Not req'd if in Aerolys</t>
        </is>
      </c>
      <c r="G43" s="488" t="n">
        <v>300</v>
      </c>
      <c r="H43" s="378">
        <f>D43*G43</f>
        <v/>
      </c>
      <c r="I43" s="463" t="n">
        <v>0</v>
      </c>
      <c r="J43" s="311">
        <f>H43/(1-I43)*(1+$C$9)</f>
        <v/>
      </c>
      <c r="K43" s="378">
        <f>J43*VLOOKUP($B$9,'Base Costs'!$A$32:$B$37,2,FALSE)</f>
        <v/>
      </c>
      <c r="L43" s="379">
        <f>K43-H43</f>
        <v/>
      </c>
    </row>
    <row r="44" ht="15" customFormat="1" customHeight="1" s="1159">
      <c r="B44" s="476" t="inlineStr">
        <is>
          <t>W/Shop commissioning 1</t>
        </is>
      </c>
      <c r="C44" s="476" t="inlineStr">
        <is>
          <t>Standard cost</t>
        </is>
      </c>
      <c r="D44" s="486" t="n"/>
      <c r="E44" s="487" t="n"/>
      <c r="F44" s="802" t="n"/>
      <c r="G44" s="800" t="n">
        <v>100</v>
      </c>
      <c r="H44" s="378">
        <f>D44*G44</f>
        <v/>
      </c>
      <c r="I44" s="463" t="n">
        <v>0.35</v>
      </c>
      <c r="J44" s="311">
        <f>H44/(1-I44)*(1+$C$9)</f>
        <v/>
      </c>
      <c r="K44" s="378">
        <f>J44*VLOOKUP($B$9,'Base Costs'!$A$32:$B$37,2,FALSE)</f>
        <v/>
      </c>
      <c r="L44" s="379">
        <f>K44-H44</f>
        <v/>
      </c>
    </row>
    <row r="45" ht="15" customFormat="1" customHeight="1" s="1159">
      <c r="B45" s="476" t="inlineStr">
        <is>
          <t>W/Shop commissioning 2</t>
        </is>
      </c>
      <c r="C45" s="919" t="inlineStr">
        <is>
          <t>Extra over for Extenso unit</t>
        </is>
      </c>
      <c r="D45" s="482" t="n"/>
      <c r="E45" s="483" t="n"/>
      <c r="F45" s="925" t="inlineStr">
        <is>
          <t>Not req'd if in Aerolys</t>
        </is>
      </c>
      <c r="G45" s="488" t="n">
        <v>100</v>
      </c>
      <c r="H45" s="489">
        <f>D45*G45</f>
        <v/>
      </c>
      <c r="I45" s="463" t="n">
        <v>0.35</v>
      </c>
      <c r="J45" s="311">
        <f>H45/(1-I45)*(1+$C$9)</f>
        <v/>
      </c>
      <c r="K45" s="378">
        <f>J45*VLOOKUP($B$9,'Base Costs'!$A$32:$B$37,2,FALSE)</f>
        <v/>
      </c>
      <c r="L45" s="379">
        <f>K45-H45</f>
        <v/>
      </c>
    </row>
    <row r="46" ht="15" customFormat="1" customHeight="1" s="1159">
      <c r="B46" s="801" t="n"/>
      <c r="C46" s="476" t="n"/>
      <c r="D46" s="482" t="n"/>
      <c r="E46" s="483" t="n"/>
      <c r="F46" s="802" t="n"/>
      <c r="G46" s="488" t="n"/>
      <c r="H46" s="489">
        <f>D46*G46</f>
        <v/>
      </c>
      <c r="I46" s="463" t="n">
        <v>0.35</v>
      </c>
      <c r="J46" s="311">
        <f>H46/(1-I46)*(1+$C$9)</f>
        <v/>
      </c>
      <c r="K46" s="378">
        <f>J46*VLOOKUP($B$9,'Base Costs'!$A$32:$B$37,2,FALSE)</f>
        <v/>
      </c>
      <c r="L46" s="379">
        <f>K46-H46</f>
        <v/>
      </c>
    </row>
    <row r="47" ht="15" customFormat="1" customHeight="1" s="1159">
      <c r="B47" s="801" t="inlineStr">
        <is>
          <t>Damper control</t>
        </is>
      </c>
      <c r="C47" s="476" t="n"/>
      <c r="D47" s="482" t="n"/>
      <c r="E47" s="483" t="n"/>
      <c r="F47" s="802" t="n"/>
      <c r="G47" s="488" t="n">
        <v>110</v>
      </c>
      <c r="H47" s="489">
        <f>D47*G47</f>
        <v/>
      </c>
      <c r="I47" s="463" t="n">
        <v>0.35</v>
      </c>
      <c r="J47" s="311">
        <f>H47/(1-I47)*(1+$C$9)</f>
        <v/>
      </c>
      <c r="K47" s="378">
        <f>J47*VLOOKUP($B$9,'Base Costs'!$A$32:$B$37,2,FALSE)</f>
        <v/>
      </c>
      <c r="L47" s="379">
        <f>K47-H47</f>
        <v/>
      </c>
    </row>
    <row r="48" ht="15" customFormat="1" customHeight="1" s="1159">
      <c r="B48" s="476" t="n"/>
      <c r="C48" s="476" t="n"/>
      <c r="D48" s="482" t="n"/>
      <c r="E48" s="483" t="n"/>
      <c r="F48" s="802" t="n"/>
      <c r="G48" s="488" t="n"/>
      <c r="H48" s="489">
        <f>D48*G48</f>
        <v/>
      </c>
      <c r="I48" s="463" t="n">
        <v>0.35</v>
      </c>
      <c r="J48" s="311">
        <f>H48/(1-I48)*(1+$C$9)</f>
        <v/>
      </c>
      <c r="K48" s="378">
        <f>J48*VLOOKUP($B$9,'Base Costs'!$A$32:$B$37,2,FALSE)</f>
        <v/>
      </c>
      <c r="L48" s="379">
        <f>K48-H48</f>
        <v/>
      </c>
    </row>
    <row r="49" ht="15" customFormat="1" customHeight="1" s="1159">
      <c r="B49" s="799" t="n"/>
      <c r="C49" s="476" t="n"/>
      <c r="D49" s="482" t="n"/>
      <c r="E49" s="483" t="n"/>
      <c r="F49" s="483" t="n"/>
      <c r="G49" s="488" t="n"/>
      <c r="H49" s="489">
        <f>D49*G49</f>
        <v/>
      </c>
      <c r="I49" s="463" t="n">
        <v>0.35</v>
      </c>
      <c r="J49" s="311">
        <f>H49/(1-I49)*(1+$C$9)</f>
        <v/>
      </c>
      <c r="K49" s="378">
        <f>J49*VLOOKUP($B$9,'Base Costs'!$A$32:$B$37,2,FALSE)</f>
        <v/>
      </c>
      <c r="L49" s="379">
        <f>K49-H49</f>
        <v/>
      </c>
    </row>
    <row r="50" ht="15" customFormat="1" customHeight="1" s="1159">
      <c r="B50" s="799" t="n"/>
      <c r="C50" s="476" t="n"/>
      <c r="D50" s="482" t="n"/>
      <c r="E50" s="483" t="n"/>
      <c r="F50" s="483" t="n"/>
      <c r="G50" s="488" t="n"/>
      <c r="H50" s="489">
        <f>D50*G50</f>
        <v/>
      </c>
      <c r="I50" s="463" t="n">
        <v>0.35</v>
      </c>
      <c r="J50" s="311">
        <f>H50/(1-I50)*(1+$C$9)</f>
        <v/>
      </c>
      <c r="K50" s="378">
        <f>J50*VLOOKUP($B$9,'Base Costs'!$A$32:$B$37,2,FALSE)</f>
        <v/>
      </c>
      <c r="L50" s="379">
        <f>K50-H50</f>
        <v/>
      </c>
    </row>
    <row r="51" ht="15" customFormat="1" customHeight="1" s="1159">
      <c r="B51" s="68" t="n"/>
      <c r="C51" s="68" t="n"/>
      <c r="D51" s="69" t="n"/>
      <c r="E51" s="70" t="n"/>
      <c r="F51" s="71" t="n"/>
      <c r="G51" s="367" t="n"/>
      <c r="H51" s="490" t="n"/>
      <c r="I51" s="56" t="n"/>
      <c r="J51" s="362" t="n"/>
      <c r="K51" s="490" t="n"/>
      <c r="L51" s="362" t="n"/>
    </row>
    <row r="52" ht="15" customFormat="1" customHeight="1" s="1159">
      <c r="B52" s="85" t="inlineStr">
        <is>
          <t>DELIVERY &amp; INSTALLATION</t>
        </is>
      </c>
      <c r="C52" s="85" t="n"/>
      <c r="D52" s="86" t="n"/>
      <c r="E52" s="85" t="n"/>
      <c r="F52" s="85" t="n"/>
      <c r="G52" s="61" t="n"/>
      <c r="H52" s="154">
        <f>SUBTOTAL(9,H53:H62)</f>
        <v/>
      </c>
      <c r="I52" s="15">
        <f>IF(H53=0,"-",L52/J52)</f>
        <v/>
      </c>
      <c r="J52" s="154">
        <f>SUBTOTAL(9,J53:J63)</f>
        <v/>
      </c>
      <c r="K52" s="466">
        <f>SUBTOTAL(9,K53:K62)</f>
        <v/>
      </c>
      <c r="L52" s="154">
        <f>SUBTOTAL(9,L53:L62)</f>
        <v/>
      </c>
    </row>
    <row r="53" ht="15" customFormat="1" customHeight="1" s="1159">
      <c r="B53" s="308" t="inlineStr">
        <is>
          <t xml:space="preserve">DELIVERIES </t>
        </is>
      </c>
      <c r="C53" s="95" t="n"/>
      <c r="D53" s="289" t="inlineStr">
        <is>
          <t>SELECT LOCATION…</t>
        </is>
      </c>
      <c r="E53" s="1161" t="inlineStr">
        <is>
          <t>Hiab for PST04 and above (£650.00 London)</t>
        </is>
      </c>
      <c r="G53" s="380" t="n">
        <v>750</v>
      </c>
      <c r="H53" s="378">
        <f>C53*G53</f>
        <v/>
      </c>
      <c r="I53" s="491" t="n">
        <v>0.33</v>
      </c>
      <c r="J53" s="311">
        <f>H53/(1-I53)*(1+$C$9)</f>
        <v/>
      </c>
      <c r="K53" s="378">
        <f>J53*VLOOKUP($B$9,'Base Costs'!$A$32:$B$37,2,FALSE)</f>
        <v/>
      </c>
      <c r="L53" s="379">
        <f>J53-H53</f>
        <v/>
      </c>
    </row>
    <row r="54" ht="15" customFormat="1" customHeight="1" s="1159">
      <c r="B54" s="308" t="inlineStr">
        <is>
          <t>PLANT HIRE</t>
        </is>
      </c>
      <c r="C54" s="95" t="n"/>
      <c r="D54" s="289" t="inlineStr">
        <is>
          <t>PLANT SELECTION (weekly)</t>
        </is>
      </c>
      <c r="E54" s="73" t="n"/>
      <c r="F54" s="73" t="n"/>
      <c r="G54" s="380" t="n">
        <v>250</v>
      </c>
      <c r="H54" s="378">
        <f>C54*G54</f>
        <v/>
      </c>
      <c r="I54" s="491" t="n">
        <v>0.33</v>
      </c>
      <c r="J54" s="311">
        <f>H54/(1-I54)*(1+$C$9)</f>
        <v/>
      </c>
      <c r="K54" s="378">
        <f>J54*VLOOKUP($B$9,'Base Costs'!$A$32:$B$37,2,FALSE)</f>
        <v/>
      </c>
      <c r="L54" s="379">
        <f>J54-H54</f>
        <v/>
      </c>
    </row>
    <row r="55" ht="15" customFormat="1" customHeight="1" s="1159">
      <c r="B55" s="1013" t="inlineStr">
        <is>
          <t>WHEELS</t>
        </is>
      </c>
      <c r="C55" s="1014" t="n">
        <v>1</v>
      </c>
      <c r="D55" s="1015" t="inlineStr">
        <is>
          <t>PER UNIT</t>
        </is>
      </c>
      <c r="E55" s="1016" t="n"/>
      <c r="F55" s="1016" t="n"/>
      <c r="G55" s="995" t="n">
        <v>160</v>
      </c>
      <c r="H55" s="996">
        <f>C55*G55</f>
        <v/>
      </c>
      <c r="I55" s="1017" t="n">
        <v>0.33</v>
      </c>
      <c r="J55" s="998">
        <f>H55/(1-I55)*(1+$C$9)</f>
        <v/>
      </c>
      <c r="K55" s="996">
        <f>J55*VLOOKUP($B$9,'Base Costs'!$A$32:$B$37,2,FALSE)</f>
        <v/>
      </c>
      <c r="L55" s="999">
        <f>J55-H55</f>
        <v/>
      </c>
      <c r="M55" s="1024" t="inlineStr">
        <is>
          <t>ALWAYS INCLUDE</t>
        </is>
      </c>
    </row>
    <row r="56" ht="15" customFormat="1" customHeight="1" s="1159">
      <c r="B56" s="28" t="inlineStr">
        <is>
          <t>INSTALLATION NORMAL HOURS</t>
        </is>
      </c>
      <c r="C56" s="95" t="n"/>
      <c r="D56" s="28" t="inlineStr">
        <is>
          <t>PER TEAM PER DAY</t>
        </is>
      </c>
      <c r="E56" s="73" t="n"/>
      <c r="F56" s="73" t="n"/>
      <c r="G56" s="380" t="n">
        <v>610</v>
      </c>
      <c r="H56" s="378">
        <f>C56*G56</f>
        <v/>
      </c>
      <c r="I56" s="491" t="n">
        <v>0.4</v>
      </c>
      <c r="J56" s="311">
        <f>H56/(1-I56)*(1+$C$9)</f>
        <v/>
      </c>
      <c r="K56" s="378">
        <f>J56*VLOOKUP($B$9,'Base Costs'!$A$32:$B$37,2,FALSE)</f>
        <v/>
      </c>
      <c r="L56" s="379">
        <f>J56-H56</f>
        <v/>
      </c>
    </row>
    <row r="57" ht="15" customFormat="1" customHeight="1" s="1159">
      <c r="B57" s="28" t="inlineStr">
        <is>
          <t>INSTALLATION AFTER HOURS</t>
        </is>
      </c>
      <c r="C57" s="95" t="n"/>
      <c r="D57" s="28" t="inlineStr">
        <is>
          <t>PER TEAM PER DAY</t>
        </is>
      </c>
      <c r="E57" s="73" t="n"/>
      <c r="F57" s="73" t="n"/>
      <c r="G57" s="380" t="n">
        <v>1220</v>
      </c>
      <c r="H57" s="378">
        <f>C57*G57</f>
        <v/>
      </c>
      <c r="I57" s="491" t="n">
        <v>0.4</v>
      </c>
      <c r="J57" s="311">
        <f>H57/(1-I57)*(1+$C$9)</f>
        <v/>
      </c>
      <c r="K57" s="378">
        <f>J57*VLOOKUP($B$9,'Base Costs'!$A$32:$B$37,2,FALSE)</f>
        <v/>
      </c>
      <c r="L57" s="379">
        <f>J57-H57</f>
        <v/>
      </c>
    </row>
    <row r="58" ht="15" customFormat="1" customHeight="1" s="1159">
      <c r="B58" s="28" t="inlineStr">
        <is>
          <t>ACCOMODATION</t>
        </is>
      </c>
      <c r="C58" s="95" t="n"/>
      <c r="D58" s="28" t="inlineStr">
        <is>
          <t>PER NIGHT PER TEAM</t>
        </is>
      </c>
      <c r="E58" s="73" t="n"/>
      <c r="F58" s="73" t="n"/>
      <c r="G58" s="380" t="n">
        <v>220</v>
      </c>
      <c r="H58" s="378">
        <f>C58*G58</f>
        <v/>
      </c>
      <c r="I58" s="491" t="n">
        <v>0.33</v>
      </c>
      <c r="J58" s="311">
        <f>H58/(1-I58)*(1+$C$9)</f>
        <v/>
      </c>
      <c r="K58" s="378">
        <f>J58*VLOOKUP($B$9,'Base Costs'!$A$32:$B$37,2,FALSE)</f>
        <v/>
      </c>
      <c r="L58" s="379">
        <f>J58-H58</f>
        <v/>
      </c>
    </row>
    <row r="59" ht="15" customFormat="1" customHeight="1" s="1159">
      <c r="B59" s="308" t="inlineStr">
        <is>
          <t>TRAVEL EXPENSES</t>
        </is>
      </c>
      <c r="C59" s="95" t="n"/>
      <c r="D59" s="28" t="inlineStr">
        <is>
          <t>PER NIGHT PER TEAM</t>
        </is>
      </c>
      <c r="E59" s="73" t="n"/>
      <c r="F59" s="73" t="n"/>
      <c r="G59" s="380" t="n">
        <v>150</v>
      </c>
      <c r="H59" s="378">
        <f>C59*G59</f>
        <v/>
      </c>
      <c r="I59" s="491" t="n">
        <v>0.33</v>
      </c>
      <c r="J59" s="311">
        <f>H59/(1-I59)*(1+$C$9)</f>
        <v/>
      </c>
      <c r="K59" s="378">
        <f>J59*VLOOKUP($B$9,'Base Costs'!$A$32:$B$37,2,FALSE)</f>
        <v/>
      </c>
      <c r="L59" s="379">
        <f>J59-H59</f>
        <v/>
      </c>
    </row>
    <row r="60" ht="15" customFormat="1" customHeight="1" s="1159">
      <c r="B60" s="308" t="inlineStr">
        <is>
          <t xml:space="preserve">CONSUMABLES </t>
        </is>
      </c>
      <c r="C60" s="95" t="n"/>
      <c r="D60" s="28" t="inlineStr">
        <is>
          <t>SITE SPECIFIC</t>
        </is>
      </c>
      <c r="E60" s="73" t="n"/>
      <c r="F60" s="73" t="n"/>
      <c r="G60" s="380" t="n">
        <v>80</v>
      </c>
      <c r="H60" s="378">
        <f>C60*G60</f>
        <v/>
      </c>
      <c r="I60" s="491" t="n">
        <v>0.33</v>
      </c>
      <c r="J60" s="311">
        <f>H60/(1-I60)*(1+$C$9)</f>
        <v/>
      </c>
      <c r="K60" s="378">
        <f>J60*VLOOKUP($B$9,'Base Costs'!$A$32:$B$37,2,FALSE)</f>
        <v/>
      </c>
      <c r="L60" s="379">
        <f>J60-H60</f>
        <v/>
      </c>
    </row>
    <row r="61" ht="15" customFormat="1" customHeight="1" s="1159">
      <c r="B61" s="308" t="inlineStr">
        <is>
          <t>TEST &amp; COMMISSION SITE</t>
        </is>
      </c>
      <c r="C61" s="95" t="n">
        <v>2</v>
      </c>
      <c r="D61" s="1115" t="inlineStr">
        <is>
          <t>ONE Engineer, 2 days per Pollustop</t>
        </is>
      </c>
      <c r="G61" s="380" t="n">
        <v>604</v>
      </c>
      <c r="H61" s="378">
        <f>C61*G61</f>
        <v/>
      </c>
      <c r="I61" s="491" t="n">
        <v>0.33</v>
      </c>
      <c r="J61" s="311">
        <f>H61/(1-I61)*(1+$C$9)</f>
        <v/>
      </c>
      <c r="K61" s="378">
        <f>J61*VLOOKUP($B$9,'Base Costs'!$A$32:$B$37,2,FALSE)</f>
        <v/>
      </c>
      <c r="L61" s="379">
        <f>J61-H61</f>
        <v/>
      </c>
      <c r="M61" s="1024" t="inlineStr">
        <is>
          <t>ALWAYS INCLUDE</t>
        </is>
      </c>
    </row>
    <row r="62" ht="15" customFormat="1" customHeight="1" s="1159">
      <c r="B62" s="28" t="inlineStr">
        <is>
          <t>SITE INSTALLATION CHECK</t>
        </is>
      </c>
      <c r="C62" s="250" t="n"/>
      <c r="D62" s="1103" t="inlineStr">
        <is>
          <t>IF BEING INSTALLED BY A 3RD PARTY</t>
        </is>
      </c>
      <c r="G62" s="380" t="n">
        <v>603</v>
      </c>
      <c r="H62" s="378">
        <f>C62*G62</f>
        <v/>
      </c>
      <c r="I62" s="491" t="n">
        <v>0.33</v>
      </c>
      <c r="J62" s="311">
        <f>H62/(1-I62)*(1+$C$9)</f>
        <v/>
      </c>
      <c r="K62" s="378">
        <f>J62*VLOOKUP($B$9,'Base Costs'!$A$32:$B$37,2,FALSE)</f>
        <v/>
      </c>
      <c r="L62" s="379">
        <f>J62-H62</f>
        <v/>
      </c>
    </row>
    <row r="63" ht="15" customFormat="1" customHeight="1" s="1159">
      <c r="B63" s="55" t="n"/>
      <c r="C63" s="74" t="n"/>
      <c r="D63" s="56" t="n"/>
      <c r="E63" s="55" t="n"/>
      <c r="F63" s="55" t="n"/>
      <c r="G63" s="362" t="n"/>
      <c r="H63" s="362" t="n"/>
      <c r="I63" s="56" t="n"/>
      <c r="J63" s="362" t="n"/>
      <c r="K63" s="362" t="n"/>
      <c r="L63" s="362" t="n"/>
    </row>
    <row r="64" ht="15" customFormat="1" customHeight="1" s="1159">
      <c r="B64" s="197" t="inlineStr">
        <is>
          <t>Office Use Only</t>
        </is>
      </c>
      <c r="C64" s="198" t="n"/>
      <c r="D64" s="199" t="n"/>
      <c r="E64" s="199" t="n"/>
      <c r="F64" s="198" t="n"/>
      <c r="G64" s="200" t="n"/>
      <c r="H64" s="198" t="n"/>
      <c r="I64" s="198" t="n"/>
      <c r="J64" s="198" t="n"/>
      <c r="K64" s="198" t="n"/>
      <c r="L64" s="198" t="n"/>
    </row>
    <row r="65" ht="15" customFormat="1" customHeight="1" s="1159">
      <c r="B65" s="202" t="n"/>
      <c r="C65" s="203" t="n"/>
      <c r="D65" s="202" t="n"/>
      <c r="E65" s="204" t="n"/>
      <c r="F65" s="202" t="n"/>
      <c r="G65" s="209" t="n"/>
      <c r="H65" s="203" t="n"/>
      <c r="I65" s="203" t="n"/>
      <c r="J65" s="203" t="n"/>
      <c r="K65" s="205" t="n"/>
      <c r="L65" s="205" t="n"/>
    </row>
    <row r="66" ht="15" customFormat="1" customHeight="1" s="1159">
      <c r="B66" s="202" t="n"/>
      <c r="C66" s="203" t="n"/>
      <c r="D66" s="202" t="n"/>
      <c r="E66" s="204" t="n"/>
      <c r="F66" s="202" t="n"/>
      <c r="G66" s="209" t="n"/>
      <c r="H66" s="203" t="n"/>
      <c r="I66" s="203" t="n"/>
      <c r="J66" s="203" t="n"/>
      <c r="K66" s="205" t="n"/>
      <c r="L66" s="205" t="n"/>
    </row>
    <row r="67" ht="15" customFormat="1" customHeight="1" s="1159">
      <c r="B67" s="202" t="n"/>
      <c r="C67" s="203" t="n"/>
      <c r="D67" s="202" t="n"/>
      <c r="E67" s="204" t="n"/>
      <c r="F67" s="202" t="n"/>
      <c r="G67" s="209" t="n"/>
      <c r="H67" s="203" t="n"/>
      <c r="I67" s="203" t="n"/>
      <c r="J67" s="203" t="n"/>
      <c r="K67" s="209" t="n"/>
      <c r="L67" s="209" t="n"/>
    </row>
    <row r="68" ht="15" customFormat="1" customHeight="1" s="1159">
      <c r="B68" s="202" t="n"/>
      <c r="C68" s="203" t="n"/>
      <c r="D68" s="202" t="n"/>
      <c r="E68" s="204" t="n"/>
      <c r="F68" s="202" t="n"/>
      <c r="G68" s="209" t="n"/>
      <c r="H68" s="206" t="n"/>
      <c r="I68" s="203" t="n"/>
      <c r="J68" s="203" t="n"/>
      <c r="K68" s="209" t="n"/>
      <c r="L68" s="209" t="n"/>
    </row>
    <row r="69" ht="15" customFormat="1" customHeight="1" s="1159">
      <c r="B69" s="202" t="n"/>
      <c r="C69" s="203" t="n"/>
      <c r="D69" s="202" t="n"/>
      <c r="E69" s="202" t="n"/>
      <c r="F69" s="202" t="n"/>
      <c r="G69" s="207" t="n"/>
      <c r="H69" s="209" t="n"/>
      <c r="I69" s="203" t="n"/>
      <c r="J69" s="203" t="n"/>
      <c r="K69" s="205" t="n"/>
      <c r="L69" s="205" t="n"/>
    </row>
    <row r="70" ht="15" customFormat="1" customHeight="1" s="1159">
      <c r="B70" s="202" t="n"/>
      <c r="C70" s="202" t="n"/>
      <c r="D70" s="202" t="n"/>
      <c r="E70" s="202" t="n"/>
      <c r="F70" s="202" t="n"/>
      <c r="G70" s="207" t="n"/>
      <c r="H70" s="209" t="n"/>
      <c r="I70" s="203" t="n"/>
      <c r="J70" s="203" t="n"/>
      <c r="K70" s="205" t="n"/>
      <c r="L70" s="205" t="n"/>
    </row>
    <row r="71" ht="15" customFormat="1" customHeight="1" s="1159">
      <c r="B71" s="55" t="n"/>
      <c r="C71" s="74" t="n"/>
      <c r="D71" s="56" t="n"/>
      <c r="E71" s="55" t="n"/>
      <c r="F71" s="55" t="n"/>
      <c r="G71" s="362" t="n"/>
      <c r="H71" s="362" t="n"/>
      <c r="I71" s="56" t="n"/>
      <c r="J71" s="362" t="n"/>
      <c r="K71" s="362" t="n"/>
      <c r="L71" s="362" t="n"/>
    </row>
    <row r="72" ht="15" customFormat="1" customHeight="1" s="1159">
      <c r="B72" s="75" t="n"/>
      <c r="C72" s="75" t="n"/>
      <c r="D72" s="56" t="n"/>
      <c r="E72" s="55" t="n"/>
      <c r="F72" s="55" t="n"/>
      <c r="G72" s="362" t="n"/>
      <c r="H72" s="362" t="n"/>
      <c r="I72" s="56" t="n"/>
      <c r="J72" s="362" t="n"/>
      <c r="K72" s="362" t="n"/>
      <c r="L72" s="362" t="n"/>
    </row>
    <row r="73" ht="15" customFormat="1" customHeight="1" s="1159">
      <c r="B73" s="55" t="n"/>
      <c r="C73" s="55" t="n"/>
      <c r="D73" s="56" t="n"/>
      <c r="E73" s="55" t="n"/>
      <c r="F73" s="55" t="n"/>
      <c r="G73" s="362" t="n"/>
      <c r="H73" s="362" t="n"/>
      <c r="I73" s="56" t="n"/>
      <c r="J73" s="362" t="n"/>
      <c r="K73" s="362" t="n"/>
      <c r="L73" s="362" t="n"/>
    </row>
    <row r="74" ht="15" customFormat="1" customHeight="1" s="1159">
      <c r="B74" s="55" t="n"/>
      <c r="C74" s="55" t="n"/>
      <c r="D74" s="56" t="n"/>
      <c r="E74" s="55" t="n"/>
      <c r="F74" s="55" t="n"/>
      <c r="G74" s="362" t="n"/>
      <c r="H74" s="362" t="n"/>
      <c r="I74" s="56" t="n"/>
      <c r="J74" s="362" t="n"/>
      <c r="K74" s="362" t="n"/>
      <c r="L74" s="362" t="n"/>
    </row>
    <row r="75" ht="15" customFormat="1" customHeight="1" s="1159">
      <c r="B75" s="55" t="n"/>
      <c r="C75" s="55" t="n"/>
      <c r="D75" s="56" t="n"/>
      <c r="E75" s="55" t="n"/>
      <c r="F75" s="55" t="n"/>
      <c r="G75" s="362" t="n"/>
      <c r="H75" s="362" t="n"/>
      <c r="I75" s="56" t="n"/>
      <c r="J75" s="362" t="n"/>
      <c r="K75" s="362" t="n"/>
      <c r="L75" s="362" t="n"/>
    </row>
    <row r="76" ht="15" customFormat="1" customHeight="1" s="1159">
      <c r="B76" s="55" t="n"/>
      <c r="C76" s="55" t="n"/>
      <c r="D76" s="56" t="n"/>
      <c r="E76" s="55" t="n"/>
      <c r="F76" s="55" t="n"/>
      <c r="G76" s="362" t="n"/>
      <c r="H76" s="362" t="n"/>
      <c r="I76" s="56" t="n"/>
      <c r="J76" s="362" t="n"/>
      <c r="K76" s="362" t="n"/>
      <c r="L76" s="362" t="n"/>
    </row>
    <row r="77" ht="15" customFormat="1" customHeight="1" s="1159">
      <c r="B77" s="55" t="n"/>
      <c r="C77" s="55" t="n"/>
      <c r="D77" s="56" t="n"/>
      <c r="E77" s="55" t="n"/>
      <c r="F77" s="55" t="n"/>
      <c r="G77" s="362" t="n"/>
      <c r="H77" s="362" t="n"/>
      <c r="I77" s="56" t="n"/>
      <c r="J77" s="362" t="n"/>
      <c r="K77" s="362" t="n"/>
      <c r="L77" s="362" t="n"/>
    </row>
    <row r="78" ht="15" customFormat="1" customHeight="1" s="1159">
      <c r="B78" s="55" t="n"/>
      <c r="C78" s="55" t="n"/>
      <c r="D78" s="56" t="n"/>
      <c r="E78" s="55" t="n"/>
      <c r="F78" s="55" t="n"/>
      <c r="G78" s="362" t="n"/>
      <c r="H78" s="362" t="n"/>
      <c r="I78" s="56" t="n"/>
      <c r="J78" s="362" t="n"/>
      <c r="K78" s="362" t="n"/>
      <c r="L78" s="362" t="n"/>
    </row>
    <row r="79" ht="15" customFormat="1" customHeight="1" s="1159">
      <c r="B79" s="55" t="n"/>
      <c r="C79" s="55" t="n"/>
      <c r="D79" s="56" t="n"/>
      <c r="E79" s="55" t="n"/>
      <c r="F79" s="55" t="n"/>
      <c r="G79" s="362" t="n"/>
      <c r="H79" s="362" t="n"/>
      <c r="I79" s="56" t="n"/>
      <c r="J79" s="362" t="n"/>
      <c r="K79" s="362" t="n"/>
      <c r="L79" s="362" t="n"/>
    </row>
    <row r="80" ht="15" customFormat="1" customHeight="1" s="1159">
      <c r="B80" s="55" t="n"/>
      <c r="C80" s="55" t="n"/>
      <c r="D80" s="56" t="n"/>
      <c r="E80" s="55" t="n"/>
      <c r="F80" s="55" t="n"/>
      <c r="G80" s="362" t="n"/>
      <c r="H80" s="362" t="n"/>
      <c r="I80" s="56" t="n"/>
      <c r="J80" s="362" t="n"/>
      <c r="K80" s="362" t="n"/>
      <c r="L80" s="362" t="n"/>
    </row>
    <row r="81" ht="15" customFormat="1" customHeight="1" s="1159">
      <c r="B81" s="55" t="n"/>
      <c r="C81" s="55" t="n"/>
      <c r="D81" s="56" t="n"/>
      <c r="E81" s="55" t="n"/>
      <c r="F81" s="55" t="n"/>
      <c r="G81" s="362" t="n"/>
      <c r="H81" s="362" t="n"/>
      <c r="I81" s="56" t="n"/>
      <c r="J81" s="362" t="n"/>
      <c r="K81" s="362" t="n"/>
      <c r="L81" s="362" t="n"/>
    </row>
    <row r="82" ht="15" customFormat="1" customHeight="1" s="1159">
      <c r="B82" s="55" t="n"/>
      <c r="C82" s="55" t="n"/>
      <c r="D82" s="56" t="n"/>
      <c r="E82" s="55" t="n"/>
      <c r="F82" s="55" t="n"/>
      <c r="G82" s="362" t="n"/>
      <c r="H82" s="362" t="n"/>
      <c r="I82" s="56" t="n"/>
      <c r="J82" s="362" t="n"/>
      <c r="K82" s="362" t="n"/>
      <c r="L82" s="362" t="n"/>
    </row>
    <row r="83" ht="15" customFormat="1" customHeight="1" s="1159">
      <c r="B83" s="55" t="n"/>
      <c r="C83" s="55" t="n"/>
      <c r="D83" s="56" t="n"/>
      <c r="E83" s="55" t="n"/>
      <c r="F83" s="55" t="n"/>
      <c r="G83" s="362" t="n"/>
      <c r="H83" s="362" t="n"/>
      <c r="I83" s="56" t="n"/>
      <c r="J83" s="362" t="n"/>
      <c r="K83" s="362" t="n"/>
      <c r="L83" s="362" t="n"/>
    </row>
    <row r="84" ht="15" customFormat="1" customHeight="1" s="1159">
      <c r="B84" s="55" t="n"/>
      <c r="C84" s="55" t="n"/>
      <c r="D84" s="56" t="n"/>
      <c r="E84" s="55" t="n"/>
      <c r="F84" s="55" t="n"/>
      <c r="G84" s="362" t="n"/>
      <c r="H84" s="362" t="n"/>
      <c r="I84" s="56" t="n"/>
      <c r="J84" s="362" t="n"/>
      <c r="K84" s="362" t="n"/>
      <c r="L84" s="362" t="n"/>
    </row>
    <row r="85" ht="15" customFormat="1" customHeight="1" s="1159">
      <c r="B85" s="55" t="n"/>
      <c r="C85" s="55" t="n"/>
      <c r="D85" s="56" t="n"/>
      <c r="E85" s="55" t="n"/>
      <c r="F85" s="55" t="n"/>
      <c r="G85" s="362" t="n"/>
      <c r="H85" s="362" t="n"/>
      <c r="I85" s="56" t="n"/>
      <c r="J85" s="362" t="n"/>
      <c r="K85" s="362" t="n"/>
      <c r="L85" s="362" t="n"/>
    </row>
    <row r="86" ht="15" customFormat="1" customHeight="1" s="1159">
      <c r="B86" s="55" t="n"/>
      <c r="C86" s="55" t="n"/>
      <c r="D86" s="56" t="n"/>
      <c r="E86" s="55" t="n"/>
      <c r="F86" s="55" t="n"/>
      <c r="G86" s="362" t="n"/>
      <c r="H86" s="362" t="n"/>
      <c r="I86" s="56" t="n"/>
      <c r="J86" s="362" t="n"/>
      <c r="K86" s="362" t="n"/>
      <c r="L86" s="362" t="n"/>
    </row>
    <row r="87" ht="15" customFormat="1" customHeight="1" s="1159">
      <c r="B87" s="55" t="n"/>
      <c r="C87" s="55" t="n"/>
      <c r="D87" s="56" t="n"/>
      <c r="E87" s="55" t="n"/>
      <c r="F87" s="55" t="n"/>
      <c r="G87" s="362" t="n"/>
      <c r="H87" s="362" t="n"/>
      <c r="I87" s="56" t="n"/>
      <c r="J87" s="362" t="n"/>
      <c r="K87" s="362" t="n"/>
      <c r="L87" s="362" t="n"/>
    </row>
    <row r="88" ht="15" customFormat="1" customHeight="1" s="1159">
      <c r="B88" s="55" t="n"/>
      <c r="C88" s="55" t="n"/>
      <c r="D88" s="56" t="n"/>
      <c r="E88" s="55" t="n"/>
      <c r="F88" s="55" t="n"/>
      <c r="G88" s="362" t="n"/>
      <c r="H88" s="362" t="n"/>
      <c r="I88" s="56" t="n"/>
      <c r="J88" s="362" t="n"/>
      <c r="K88" s="362" t="n"/>
      <c r="L88" s="362" t="n"/>
    </row>
    <row r="89" ht="15" customFormat="1" customHeight="1" s="1159">
      <c r="B89" s="55" t="n"/>
      <c r="C89" s="55" t="n"/>
      <c r="D89" s="56" t="n"/>
      <c r="E89" s="55" t="n"/>
      <c r="F89" s="55" t="n"/>
      <c r="G89" s="362" t="n"/>
      <c r="H89" s="362" t="n"/>
      <c r="I89" s="56" t="n"/>
      <c r="J89" s="362" t="n"/>
      <c r="K89" s="362" t="n"/>
      <c r="L89" s="362" t="n"/>
    </row>
    <row r="90" ht="15" customFormat="1" customHeight="1" s="1159">
      <c r="B90" s="55" t="n"/>
      <c r="C90" s="55" t="n"/>
      <c r="D90" s="56" t="n"/>
      <c r="E90" s="55" t="n"/>
      <c r="F90" s="55" t="n"/>
      <c r="G90" s="362" t="n"/>
      <c r="H90" s="362" t="n"/>
      <c r="I90" s="56" t="n"/>
      <c r="J90" s="362" t="n"/>
      <c r="K90" s="362" t="n"/>
      <c r="L90" s="362" t="n"/>
    </row>
    <row r="91" ht="15" customFormat="1" customHeight="1" s="1159">
      <c r="B91" s="55" t="n"/>
      <c r="C91" s="55" t="n"/>
      <c r="D91" s="56" t="n"/>
      <c r="E91" s="55" t="n"/>
      <c r="F91" s="55" t="n"/>
      <c r="G91" s="362" t="n"/>
      <c r="H91" s="362" t="n"/>
      <c r="I91" s="56" t="n"/>
      <c r="J91" s="362" t="n"/>
      <c r="K91" s="362" t="n"/>
      <c r="L91" s="362" t="n"/>
    </row>
    <row r="92" ht="15" customFormat="1" customHeight="1" s="1159">
      <c r="B92" s="55" t="n"/>
      <c r="C92" s="55" t="n"/>
      <c r="D92" s="56" t="n"/>
      <c r="E92" s="55" t="n"/>
      <c r="F92" s="55" t="n"/>
      <c r="G92" s="362" t="n"/>
      <c r="H92" s="362" t="n"/>
      <c r="I92" s="56" t="n"/>
      <c r="J92" s="362" t="n"/>
      <c r="K92" s="362" t="n"/>
      <c r="L92" s="362" t="n"/>
    </row>
    <row r="93" ht="15" customFormat="1" customHeight="1" s="1159">
      <c r="B93" s="55" t="n"/>
      <c r="C93" s="55" t="n"/>
      <c r="D93" s="56" t="n"/>
      <c r="E93" s="55" t="n"/>
      <c r="F93" s="55" t="n"/>
      <c r="G93" s="362" t="n"/>
      <c r="H93" s="362" t="n"/>
      <c r="I93" s="56" t="n"/>
      <c r="J93" s="362" t="n"/>
      <c r="K93" s="362" t="n"/>
      <c r="L93" s="362" t="n"/>
    </row>
    <row r="94" ht="15" customFormat="1" customHeight="1" s="1159">
      <c r="B94" s="55" t="n"/>
      <c r="C94" s="55" t="n"/>
      <c r="D94" s="56" t="n"/>
      <c r="E94" s="55" t="n"/>
      <c r="F94" s="55" t="n"/>
      <c r="G94" s="362" t="n"/>
      <c r="H94" s="362" t="n"/>
      <c r="I94" s="56" t="n"/>
      <c r="J94" s="362" t="n"/>
      <c r="K94" s="362" t="n"/>
      <c r="L94" s="362" t="n"/>
    </row>
    <row r="95" ht="15" customFormat="1" customHeight="1" s="1159">
      <c r="B95" s="55" t="n"/>
      <c r="C95" s="55" t="n"/>
      <c r="D95" s="56" t="n"/>
      <c r="E95" s="55" t="n"/>
      <c r="F95" s="55" t="n"/>
      <c r="G95" s="362" t="n"/>
      <c r="H95" s="362" t="n"/>
      <c r="I95" s="56" t="n"/>
      <c r="J95" s="362" t="n"/>
      <c r="K95" s="362" t="n"/>
      <c r="L95" s="362" t="n"/>
    </row>
    <row r="96" ht="15" customFormat="1" customHeight="1" s="1159">
      <c r="B96" s="55" t="n"/>
      <c r="C96" s="55" t="n"/>
      <c r="D96" s="56" t="n"/>
      <c r="E96" s="55" t="n"/>
      <c r="F96" s="55" t="n"/>
      <c r="G96" s="362" t="n"/>
      <c r="H96" s="362" t="n"/>
      <c r="I96" s="56" t="n"/>
      <c r="J96" s="362" t="n"/>
      <c r="K96" s="362" t="n"/>
      <c r="L96" s="362" t="n"/>
    </row>
    <row r="97" ht="15" customFormat="1" customHeight="1" s="1159">
      <c r="B97" s="55" t="n"/>
      <c r="C97" s="55" t="n"/>
      <c r="D97" s="56" t="n"/>
      <c r="E97" s="55" t="n"/>
      <c r="F97" s="55" t="n"/>
      <c r="G97" s="362" t="n"/>
      <c r="H97" s="362" t="n"/>
      <c r="I97" s="56" t="n"/>
      <c r="J97" s="362" t="n"/>
      <c r="K97" s="362" t="n"/>
      <c r="L97" s="362" t="n"/>
    </row>
    <row r="98" ht="15" customFormat="1" customHeight="1" s="1159">
      <c r="B98" s="55" t="n"/>
      <c r="C98" s="55" t="n"/>
      <c r="D98" s="56" t="n"/>
      <c r="E98" s="55" t="n"/>
      <c r="F98" s="55" t="n"/>
      <c r="G98" s="362" t="n"/>
      <c r="H98" s="362" t="n"/>
      <c r="I98" s="56" t="n"/>
      <c r="J98" s="362" t="n"/>
      <c r="K98" s="362" t="n"/>
      <c r="L98" s="362" t="n"/>
    </row>
    <row r="99" ht="15" customFormat="1" customHeight="1" s="1159">
      <c r="B99" s="55" t="n"/>
      <c r="C99" s="55" t="n"/>
      <c r="D99" s="56" t="n"/>
      <c r="E99" s="55" t="n"/>
      <c r="F99" s="55" t="n"/>
      <c r="G99" s="362" t="n"/>
      <c r="H99" s="362" t="n"/>
      <c r="I99" s="56" t="n"/>
      <c r="J99" s="362" t="n"/>
      <c r="K99" s="362" t="n"/>
      <c r="L99" s="362" t="n"/>
    </row>
    <row r="100" ht="15" customFormat="1" customHeight="1" s="1159">
      <c r="B100" s="55" t="n"/>
      <c r="C100" s="55" t="n"/>
      <c r="D100" s="56" t="n"/>
      <c r="E100" s="55" t="n"/>
      <c r="F100" s="55" t="n"/>
      <c r="G100" s="362" t="n"/>
      <c r="H100" s="362" t="n"/>
      <c r="I100" s="56" t="n"/>
      <c r="J100" s="362" t="n"/>
      <c r="K100" s="362" t="n"/>
      <c r="L100" s="362" t="n"/>
    </row>
    <row r="101" ht="15" customFormat="1" customHeight="1" s="1159">
      <c r="B101" s="55" t="n"/>
      <c r="C101" s="55" t="n"/>
      <c r="D101" s="56" t="n"/>
      <c r="E101" s="55" t="n"/>
      <c r="F101" s="55" t="n"/>
      <c r="G101" s="362" t="n"/>
      <c r="H101" s="362" t="n"/>
      <c r="I101" s="56" t="n"/>
      <c r="J101" s="362" t="n"/>
      <c r="K101" s="362" t="n"/>
      <c r="L101" s="362" t="n"/>
    </row>
    <row r="102" ht="15" customFormat="1" customHeight="1" s="1159">
      <c r="B102" s="55" t="n"/>
      <c r="C102" s="55" t="n"/>
      <c r="D102" s="56" t="n"/>
      <c r="E102" s="55" t="n"/>
      <c r="F102" s="55" t="n"/>
      <c r="G102" s="362" t="n"/>
      <c r="H102" s="362" t="n"/>
      <c r="I102" s="56" t="n"/>
      <c r="J102" s="362" t="n"/>
      <c r="K102" s="362" t="n"/>
      <c r="L102" s="362" t="n"/>
    </row>
    <row r="103" ht="15" customFormat="1" customHeight="1" s="1159">
      <c r="B103" s="55" t="n"/>
      <c r="C103" s="55" t="n"/>
      <c r="D103" s="56" t="n"/>
      <c r="E103" s="55" t="n"/>
      <c r="F103" s="55" t="n"/>
      <c r="G103" s="362" t="n"/>
      <c r="H103" s="362" t="n"/>
      <c r="I103" s="56" t="n"/>
      <c r="J103" s="362" t="n"/>
      <c r="K103" s="362" t="n"/>
      <c r="L103" s="362" t="n"/>
    </row>
    <row r="104" ht="15" customFormat="1" customHeight="1" s="1159">
      <c r="B104" s="55" t="n"/>
      <c r="C104" s="55" t="n"/>
      <c r="D104" s="56" t="n"/>
      <c r="E104" s="55" t="n"/>
      <c r="F104" s="55" t="n"/>
      <c r="G104" s="362" t="n"/>
      <c r="H104" s="362" t="n"/>
      <c r="I104" s="56" t="n"/>
      <c r="J104" s="362" t="n"/>
      <c r="K104" s="362" t="n"/>
      <c r="L104" s="362" t="n"/>
    </row>
    <row r="105" ht="15" customFormat="1" customHeight="1" s="1159">
      <c r="B105" s="55" t="n"/>
      <c r="C105" s="55" t="n"/>
      <c r="D105" s="56" t="n"/>
      <c r="E105" s="55" t="n"/>
      <c r="F105" s="55" t="n"/>
      <c r="G105" s="362" t="n"/>
      <c r="H105" s="362" t="n"/>
      <c r="I105" s="56" t="n"/>
      <c r="J105" s="362" t="n"/>
      <c r="K105" s="362" t="n"/>
      <c r="L105" s="362" t="n"/>
    </row>
    <row r="106" ht="15" customFormat="1" customHeight="1" s="1159">
      <c r="B106" s="55" t="n"/>
      <c r="C106" s="55" t="n"/>
      <c r="D106" s="56" t="n"/>
      <c r="E106" s="55" t="n"/>
      <c r="F106" s="55" t="n"/>
      <c r="G106" s="362" t="n"/>
      <c r="H106" s="362" t="n"/>
      <c r="I106" s="56" t="n"/>
      <c r="J106" s="362" t="n"/>
      <c r="K106" s="362" t="n"/>
      <c r="L106" s="362" t="n"/>
    </row>
    <row r="107" ht="15" customFormat="1" customHeight="1" s="1159">
      <c r="B107" s="55" t="n"/>
      <c r="C107" s="55" t="n"/>
      <c r="D107" s="56" t="n"/>
      <c r="E107" s="55" t="n"/>
      <c r="F107" s="55" t="n"/>
      <c r="G107" s="362" t="n"/>
      <c r="H107" s="362" t="n"/>
      <c r="I107" s="56" t="n"/>
      <c r="J107" s="362" t="n"/>
      <c r="K107" s="362" t="n"/>
      <c r="L107" s="362" t="n"/>
    </row>
    <row r="108" ht="15" customFormat="1" customHeight="1" s="1159">
      <c r="B108" s="55" t="n"/>
      <c r="C108" s="55" t="n"/>
      <c r="D108" s="56" t="n"/>
      <c r="E108" s="55" t="n"/>
      <c r="F108" s="55" t="n"/>
      <c r="G108" s="362" t="n"/>
      <c r="H108" s="362" t="n"/>
      <c r="I108" s="56" t="n"/>
      <c r="J108" s="362" t="n"/>
      <c r="K108" s="362" t="n"/>
      <c r="L108" s="362" t="n"/>
    </row>
    <row r="109" ht="15" customFormat="1" customHeight="1" s="1159">
      <c r="B109" s="55" t="n"/>
      <c r="C109" s="55" t="n"/>
      <c r="D109" s="56" t="n"/>
      <c r="E109" s="55" t="n"/>
      <c r="F109" s="55" t="n"/>
      <c r="G109" s="362" t="n"/>
      <c r="H109" s="362" t="n"/>
      <c r="I109" s="56" t="n"/>
      <c r="J109" s="362" t="n"/>
      <c r="K109" s="362" t="n"/>
      <c r="L109" s="362" t="n"/>
    </row>
    <row r="110" ht="15" customFormat="1" customHeight="1" s="1159">
      <c r="B110" s="55" t="n"/>
      <c r="C110" s="55" t="n"/>
      <c r="D110" s="56" t="n"/>
      <c r="E110" s="55" t="n"/>
      <c r="F110" s="55" t="n"/>
      <c r="G110" s="362" t="n"/>
      <c r="H110" s="362" t="n"/>
      <c r="I110" s="56" t="n"/>
      <c r="J110" s="362" t="n"/>
      <c r="K110" s="362" t="n"/>
      <c r="L110" s="362" t="n"/>
    </row>
    <row r="111" ht="15" customFormat="1" customHeight="1" s="1159">
      <c r="B111" s="55" t="n"/>
      <c r="C111" s="55" t="n"/>
      <c r="D111" s="56" t="n"/>
      <c r="E111" s="55" t="n"/>
      <c r="F111" s="55" t="n"/>
      <c r="G111" s="362" t="n"/>
      <c r="H111" s="362" t="n"/>
      <c r="I111" s="56" t="n"/>
      <c r="J111" s="362" t="n"/>
      <c r="K111" s="362" t="n"/>
      <c r="L111" s="362" t="n"/>
    </row>
    <row r="112" ht="15" customFormat="1" customHeight="1" s="1159">
      <c r="B112" s="55" t="n"/>
      <c r="C112" s="55" t="n"/>
      <c r="D112" s="56" t="n"/>
      <c r="E112" s="55" t="n"/>
      <c r="F112" s="55" t="n"/>
      <c r="G112" s="362" t="n"/>
      <c r="H112" s="362" t="n"/>
      <c r="I112" s="56" t="n"/>
      <c r="J112" s="362" t="n"/>
      <c r="K112" s="362" t="n"/>
      <c r="L112" s="362" t="n"/>
    </row>
    <row r="113" ht="15" customFormat="1" customHeight="1" s="1159">
      <c r="B113" s="55" t="n"/>
      <c r="C113" s="55" t="n"/>
      <c r="D113" s="56" t="n"/>
      <c r="E113" s="55" t="n"/>
      <c r="F113" s="55" t="n"/>
      <c r="G113" s="362" t="n"/>
      <c r="H113" s="362" t="n"/>
      <c r="I113" s="56" t="n"/>
      <c r="J113" s="362" t="n"/>
      <c r="K113" s="362" t="n"/>
      <c r="L113" s="362" t="n"/>
    </row>
    <row r="114" ht="15" customFormat="1" customHeight="1" s="1159">
      <c r="B114" s="55" t="n"/>
      <c r="C114" s="55" t="n"/>
      <c r="D114" s="56" t="n"/>
      <c r="E114" s="55" t="n"/>
      <c r="F114" s="55" t="n"/>
      <c r="G114" s="362" t="n"/>
      <c r="H114" s="362" t="n"/>
      <c r="I114" s="56" t="n"/>
      <c r="J114" s="362" t="n"/>
      <c r="K114" s="362" t="n"/>
      <c r="L114" s="362" t="n"/>
    </row>
    <row r="115" ht="15" customFormat="1" customHeight="1" s="1159">
      <c r="B115" s="55" t="n"/>
      <c r="C115" s="55" t="n"/>
      <c r="D115" s="56" t="n"/>
      <c r="E115" s="55" t="n"/>
      <c r="F115" s="55" t="n"/>
      <c r="G115" s="362" t="n"/>
      <c r="H115" s="362" t="n"/>
      <c r="I115" s="56" t="n"/>
      <c r="J115" s="362" t="n"/>
      <c r="K115" s="362" t="n"/>
      <c r="L115" s="362" t="n"/>
    </row>
    <row r="116" ht="15" customFormat="1" customHeight="1" s="1159">
      <c r="B116" s="55" t="n"/>
      <c r="C116" s="55" t="n"/>
      <c r="D116" s="56" t="n"/>
      <c r="E116" s="55" t="n"/>
      <c r="F116" s="55" t="n"/>
      <c r="G116" s="362" t="n"/>
      <c r="H116" s="362" t="n"/>
      <c r="I116" s="56" t="n"/>
      <c r="J116" s="362" t="n"/>
      <c r="K116" s="362" t="n"/>
      <c r="L116" s="362" t="n"/>
    </row>
    <row r="117" ht="15" customFormat="1" customHeight="1" s="1159">
      <c r="B117" s="55" t="n"/>
      <c r="C117" s="55" t="n"/>
      <c r="D117" s="56" t="n"/>
      <c r="E117" s="55" t="n"/>
      <c r="F117" s="55" t="n"/>
      <c r="G117" s="362" t="n"/>
      <c r="H117" s="362" t="n"/>
      <c r="I117" s="56" t="n"/>
      <c r="J117" s="362" t="n"/>
      <c r="K117" s="362" t="n"/>
      <c r="L117" s="362" t="n"/>
    </row>
    <row r="118" ht="15" customFormat="1" customHeight="1" s="1159">
      <c r="B118" s="55" t="n"/>
      <c r="C118" s="55" t="n"/>
      <c r="D118" s="56" t="n"/>
      <c r="E118" s="55" t="n"/>
      <c r="F118" s="55" t="n"/>
      <c r="G118" s="362" t="n"/>
      <c r="H118" s="362" t="n"/>
      <c r="I118" s="56" t="n"/>
      <c r="J118" s="362" t="n"/>
      <c r="K118" s="362" t="n"/>
      <c r="L118" s="362" t="n"/>
    </row>
    <row r="119" ht="15" customFormat="1" customHeight="1" s="1159">
      <c r="B119" s="55" t="n"/>
      <c r="C119" s="55" t="n"/>
      <c r="D119" s="56" t="n"/>
      <c r="E119" s="55" t="n"/>
      <c r="F119" s="55" t="n"/>
      <c r="G119" s="362" t="n"/>
      <c r="H119" s="362" t="n"/>
      <c r="I119" s="56" t="n"/>
      <c r="J119" s="362" t="n"/>
      <c r="K119" s="362" t="n"/>
      <c r="L119" s="362" t="n"/>
    </row>
    <row r="120" ht="15" customFormat="1" customHeight="1" s="1159">
      <c r="B120" s="55" t="n"/>
      <c r="C120" s="55" t="n"/>
      <c r="D120" s="56" t="n"/>
      <c r="E120" s="55" t="n"/>
      <c r="F120" s="55" t="n"/>
      <c r="G120" s="362" t="n"/>
      <c r="H120" s="362" t="n"/>
      <c r="I120" s="56" t="n"/>
      <c r="J120" s="362" t="n"/>
      <c r="K120" s="362" t="n"/>
      <c r="L120" s="362" t="n"/>
    </row>
    <row r="121" ht="15" customFormat="1" customHeight="1" s="1159">
      <c r="B121" s="55" t="n"/>
      <c r="C121" s="55" t="n"/>
      <c r="D121" s="56" t="n"/>
      <c r="E121" s="55" t="n"/>
      <c r="F121" s="55" t="n"/>
      <c r="G121" s="362" t="n"/>
      <c r="H121" s="362" t="n"/>
      <c r="I121" s="56" t="n"/>
      <c r="J121" s="362" t="n"/>
      <c r="K121" s="362" t="n"/>
      <c r="L121" s="362" t="n"/>
    </row>
    <row r="122" ht="15" customFormat="1" customHeight="1" s="1159">
      <c r="B122" s="55" t="n"/>
      <c r="C122" s="55" t="n"/>
      <c r="D122" s="56" t="n"/>
      <c r="E122" s="55" t="n"/>
      <c r="F122" s="55" t="n"/>
      <c r="G122" s="362" t="n"/>
      <c r="H122" s="362" t="n"/>
      <c r="I122" s="56" t="n"/>
      <c r="J122" s="362" t="n"/>
      <c r="K122" s="362" t="n"/>
      <c r="L122" s="362" t="n"/>
    </row>
    <row r="123" ht="15" customFormat="1" customHeight="1" s="1159">
      <c r="B123" s="55" t="n"/>
      <c r="C123" s="55" t="n"/>
      <c r="D123" s="56" t="n"/>
      <c r="E123" s="55" t="n"/>
      <c r="F123" s="55" t="n"/>
      <c r="G123" s="362" t="n"/>
      <c r="H123" s="362" t="n"/>
      <c r="I123" s="56" t="n"/>
      <c r="J123" s="362" t="n"/>
      <c r="K123" s="362" t="n"/>
      <c r="L123" s="362" t="n"/>
    </row>
    <row r="124" ht="15" customFormat="1" customHeight="1" s="1159">
      <c r="B124" s="55" t="n"/>
      <c r="C124" s="55" t="n"/>
      <c r="D124" s="56" t="n"/>
      <c r="E124" s="55" t="n"/>
      <c r="F124" s="55" t="n"/>
      <c r="G124" s="362" t="n"/>
      <c r="H124" s="362" t="n"/>
      <c r="I124" s="56" t="n"/>
      <c r="J124" s="362" t="n"/>
      <c r="K124" s="362" t="n"/>
      <c r="L124" s="362" t="n"/>
    </row>
    <row r="125" ht="15" customFormat="1" customHeight="1" s="1159">
      <c r="B125" s="55" t="n"/>
      <c r="C125" s="55" t="n"/>
      <c r="D125" s="56" t="n"/>
      <c r="E125" s="55" t="n"/>
      <c r="F125" s="55" t="n"/>
      <c r="G125" s="362" t="n"/>
      <c r="H125" s="362" t="n"/>
      <c r="I125" s="56" t="n"/>
      <c r="J125" s="362" t="n"/>
      <c r="K125" s="362" t="n"/>
      <c r="L125" s="362" t="n"/>
    </row>
    <row r="126" ht="15" customFormat="1" customHeight="1" s="1159">
      <c r="B126" s="55" t="n"/>
      <c r="C126" s="55" t="n"/>
      <c r="D126" s="56" t="n"/>
      <c r="E126" s="55" t="n"/>
      <c r="F126" s="55" t="n"/>
      <c r="G126" s="362" t="n"/>
      <c r="H126" s="362" t="n"/>
      <c r="I126" s="56" t="n"/>
      <c r="J126" s="362" t="n"/>
      <c r="K126" s="362" t="n"/>
      <c r="L126" s="362" t="n"/>
    </row>
    <row r="127" ht="15" customFormat="1" customHeight="1" s="1159">
      <c r="B127" s="55" t="n"/>
      <c r="C127" s="55" t="n"/>
      <c r="D127" s="56" t="n"/>
      <c r="E127" s="55" t="n"/>
      <c r="F127" s="55" t="n"/>
      <c r="G127" s="362" t="n"/>
      <c r="H127" s="362" t="n"/>
      <c r="I127" s="56" t="n"/>
      <c r="J127" s="362" t="n"/>
      <c r="K127" s="362" t="n"/>
      <c r="L127" s="362" t="n"/>
    </row>
    <row r="128" ht="15" customFormat="1" customHeight="1" s="1159">
      <c r="B128" s="55" t="n"/>
      <c r="C128" s="55" t="n"/>
      <c r="D128" s="56" t="n"/>
      <c r="E128" s="55" t="n"/>
      <c r="F128" s="55" t="n"/>
      <c r="G128" s="362" t="n"/>
      <c r="H128" s="362" t="n"/>
      <c r="I128" s="56" t="n"/>
      <c r="J128" s="362" t="n"/>
      <c r="K128" s="362" t="n"/>
      <c r="L128" s="362" t="n"/>
    </row>
    <row r="129" ht="15" customFormat="1" customHeight="1" s="1159">
      <c r="B129" s="55" t="n"/>
      <c r="C129" s="55" t="n"/>
      <c r="D129" s="56" t="n"/>
      <c r="E129" s="55" t="n"/>
      <c r="F129" s="55" t="n"/>
      <c r="G129" s="362" t="n"/>
      <c r="H129" s="362" t="n"/>
      <c r="I129" s="56" t="n"/>
      <c r="J129" s="362" t="n"/>
      <c r="K129" s="362" t="n"/>
      <c r="L129" s="362" t="n"/>
    </row>
    <row r="130" ht="15" customFormat="1" customHeight="1" s="1159">
      <c r="B130" s="55" t="n"/>
      <c r="C130" s="55" t="n"/>
      <c r="D130" s="56" t="n"/>
      <c r="E130" s="55" t="n"/>
      <c r="F130" s="55" t="n"/>
      <c r="G130" s="362" t="n"/>
      <c r="H130" s="362" t="n"/>
      <c r="I130" s="56" t="n"/>
      <c r="J130" s="362" t="n"/>
      <c r="K130" s="362" t="n"/>
      <c r="L130" s="362" t="n"/>
    </row>
    <row r="131" ht="15" customFormat="1" customHeight="1" s="1159">
      <c r="B131" s="55" t="n"/>
      <c r="C131" s="55" t="n"/>
      <c r="D131" s="56" t="n"/>
      <c r="E131" s="55" t="n"/>
      <c r="F131" s="55" t="n"/>
      <c r="G131" s="362" t="n"/>
      <c r="H131" s="362" t="n"/>
      <c r="I131" s="56" t="n"/>
      <c r="J131" s="362" t="n"/>
      <c r="K131" s="362" t="n"/>
      <c r="L131" s="362" t="n"/>
    </row>
    <row r="132" ht="15" customFormat="1" customHeight="1" s="1159">
      <c r="B132" s="55" t="n"/>
      <c r="C132" s="55" t="n"/>
      <c r="D132" s="56" t="n"/>
      <c r="E132" s="55" t="n"/>
      <c r="F132" s="55" t="n"/>
      <c r="G132" s="362" t="n"/>
      <c r="H132" s="362" t="n"/>
      <c r="I132" s="56" t="n"/>
      <c r="J132" s="362" t="n"/>
      <c r="K132" s="362" t="n"/>
      <c r="L132" s="362" t="n"/>
    </row>
    <row r="133" ht="15" customFormat="1" customHeight="1" s="1159">
      <c r="B133" s="55" t="n"/>
      <c r="C133" s="55" t="n"/>
      <c r="D133" s="56" t="n"/>
      <c r="E133" s="55" t="n"/>
      <c r="F133" s="55" t="n"/>
      <c r="G133" s="362" t="n"/>
      <c r="H133" s="362" t="n"/>
      <c r="I133" s="56" t="n"/>
      <c r="J133" s="362" t="n"/>
      <c r="K133" s="362" t="n"/>
      <c r="L133" s="362" t="n"/>
    </row>
    <row r="134" ht="15" customFormat="1" customHeight="1" s="1159">
      <c r="B134" s="55" t="n"/>
      <c r="C134" s="55" t="n"/>
      <c r="D134" s="56" t="n"/>
      <c r="E134" s="55" t="n"/>
      <c r="F134" s="55" t="n"/>
      <c r="G134" s="362" t="n"/>
      <c r="H134" s="362" t="n"/>
      <c r="I134" s="56" t="n"/>
      <c r="J134" s="362" t="n"/>
      <c r="K134" s="362" t="n"/>
      <c r="L134" s="362" t="n"/>
    </row>
    <row r="135" ht="15" customFormat="1" customHeight="1" s="1159">
      <c r="B135" s="55" t="n"/>
      <c r="C135" s="55" t="n"/>
      <c r="D135" s="56" t="n"/>
      <c r="E135" s="55" t="n"/>
      <c r="F135" s="55" t="n"/>
      <c r="G135" s="362" t="n"/>
      <c r="H135" s="362" t="n"/>
      <c r="I135" s="56" t="n"/>
      <c r="J135" s="362" t="n"/>
      <c r="K135" s="362" t="n"/>
      <c r="L135" s="362" t="n"/>
    </row>
    <row r="136" ht="15" customFormat="1" customHeight="1" s="1159">
      <c r="B136" s="55" t="n"/>
      <c r="C136" s="55" t="n"/>
      <c r="D136" s="56" t="n"/>
      <c r="E136" s="55" t="n"/>
      <c r="F136" s="55" t="n"/>
      <c r="G136" s="362" t="n"/>
      <c r="H136" s="362" t="n"/>
      <c r="I136" s="56" t="n"/>
      <c r="J136" s="362" t="n"/>
      <c r="K136" s="362" t="n"/>
      <c r="L136" s="362" t="n"/>
    </row>
    <row r="137" ht="15" customFormat="1" customHeight="1" s="1159">
      <c r="B137" s="55" t="n"/>
      <c r="C137" s="55" t="n"/>
      <c r="D137" s="56" t="n"/>
      <c r="E137" s="55" t="n"/>
      <c r="F137" s="55" t="n"/>
      <c r="G137" s="362" t="n"/>
      <c r="H137" s="362" t="n"/>
      <c r="I137" s="56" t="n"/>
      <c r="J137" s="362" t="n"/>
      <c r="K137" s="362" t="n"/>
      <c r="L137" s="362" t="n"/>
    </row>
    <row r="138" ht="15" customFormat="1" customHeight="1" s="1159">
      <c r="B138" s="55" t="n"/>
      <c r="C138" s="55" t="n"/>
      <c r="D138" s="56" t="n"/>
      <c r="E138" s="55" t="n"/>
      <c r="F138" s="55" t="n"/>
      <c r="G138" s="362" t="n"/>
      <c r="H138" s="362" t="n"/>
      <c r="I138" s="56" t="n"/>
      <c r="J138" s="362" t="n"/>
      <c r="K138" s="362" t="n"/>
      <c r="L138" s="362" t="n"/>
    </row>
    <row r="139" ht="15" customFormat="1" customHeight="1" s="1159">
      <c r="B139" s="55" t="n"/>
      <c r="C139" s="55" t="n"/>
      <c r="D139" s="56" t="n"/>
      <c r="E139" s="55" t="n"/>
      <c r="F139" s="55" t="n"/>
      <c r="G139" s="362" t="n"/>
      <c r="H139" s="362" t="n"/>
      <c r="I139" s="56" t="n"/>
      <c r="J139" s="362" t="n"/>
      <c r="K139" s="362" t="n"/>
      <c r="L139" s="362" t="n"/>
    </row>
    <row r="140" ht="15" customFormat="1" customHeight="1" s="1159">
      <c r="B140" s="55" t="n"/>
      <c r="C140" s="55" t="n"/>
      <c r="D140" s="56" t="n"/>
      <c r="E140" s="55" t="n"/>
      <c r="F140" s="55" t="n"/>
      <c r="G140" s="362" t="n"/>
      <c r="H140" s="362" t="n"/>
      <c r="I140" s="56" t="n"/>
      <c r="J140" s="362" t="n"/>
      <c r="K140" s="362" t="n"/>
      <c r="L140" s="362" t="n"/>
    </row>
    <row r="141" ht="15" customFormat="1" customHeight="1" s="1159">
      <c r="B141" s="55" t="n"/>
      <c r="C141" s="55" t="n"/>
      <c r="D141" s="56" t="n"/>
      <c r="E141" s="55" t="n"/>
      <c r="F141" s="55" t="n"/>
      <c r="G141" s="362" t="n"/>
      <c r="H141" s="362" t="n"/>
      <c r="I141" s="56" t="n"/>
      <c r="J141" s="362" t="n"/>
      <c r="K141" s="362" t="n"/>
      <c r="L141" s="362" t="n"/>
    </row>
    <row r="142" ht="15" customFormat="1" customHeight="1" s="1159">
      <c r="B142" s="55" t="n"/>
      <c r="C142" s="55" t="n"/>
      <c r="D142" s="56" t="n"/>
      <c r="E142" s="55" t="n"/>
      <c r="F142" s="55" t="n"/>
      <c r="G142" s="362" t="n"/>
      <c r="H142" s="362" t="n"/>
      <c r="I142" s="56" t="n"/>
      <c r="J142" s="362" t="n"/>
      <c r="K142" s="362" t="n"/>
      <c r="L142" s="362" t="n"/>
    </row>
    <row r="143" ht="15" customFormat="1" customHeight="1" s="1159">
      <c r="B143" s="55" t="n"/>
      <c r="C143" s="55" t="n"/>
      <c r="D143" s="56" t="n"/>
      <c r="E143" s="55" t="n"/>
      <c r="F143" s="55" t="n"/>
      <c r="G143" s="362" t="n"/>
      <c r="H143" s="362" t="n"/>
      <c r="I143" s="56" t="n"/>
      <c r="J143" s="362" t="n"/>
      <c r="K143" s="362" t="n"/>
      <c r="L143" s="362" t="n"/>
    </row>
    <row r="144" ht="15" customFormat="1" customHeight="1" s="1159">
      <c r="B144" s="55" t="n"/>
      <c r="C144" s="55" t="n"/>
      <c r="D144" s="56" t="n"/>
      <c r="E144" s="55" t="n"/>
      <c r="F144" s="55" t="n"/>
      <c r="G144" s="362" t="n"/>
      <c r="H144" s="362" t="n"/>
      <c r="I144" s="56" t="n"/>
      <c r="J144" s="362" t="n"/>
      <c r="K144" s="362" t="n"/>
      <c r="L144" s="362" t="n"/>
    </row>
    <row r="145" ht="15" customFormat="1" customHeight="1" s="1159">
      <c r="B145" s="55" t="n"/>
      <c r="C145" s="55" t="n"/>
      <c r="D145" s="56" t="n"/>
      <c r="E145" s="55" t="n"/>
      <c r="F145" s="55" t="n"/>
      <c r="G145" s="362" t="n"/>
      <c r="H145" s="362" t="n"/>
      <c r="I145" s="56" t="n"/>
      <c r="J145" s="362" t="n"/>
      <c r="K145" s="362" t="n"/>
      <c r="L145" s="362" t="n"/>
    </row>
    <row r="146" ht="15" customFormat="1" customHeight="1" s="1159">
      <c r="B146" s="55" t="n"/>
      <c r="C146" s="55" t="n"/>
      <c r="D146" s="56" t="n"/>
      <c r="E146" s="55" t="n"/>
      <c r="F146" s="55" t="n"/>
      <c r="G146" s="362" t="n"/>
      <c r="H146" s="362" t="n"/>
      <c r="I146" s="56" t="n"/>
      <c r="J146" s="362" t="n"/>
      <c r="K146" s="362" t="n"/>
      <c r="L146" s="362" t="n"/>
    </row>
    <row r="147" ht="15" customFormat="1" customHeight="1" s="1159">
      <c r="B147" s="55" t="n"/>
      <c r="C147" s="55" t="n"/>
      <c r="D147" s="56" t="n"/>
      <c r="E147" s="55" t="n"/>
      <c r="F147" s="55" t="n"/>
      <c r="G147" s="362" t="n"/>
      <c r="H147" s="362" t="n"/>
      <c r="I147" s="56" t="n"/>
      <c r="J147" s="362" t="n"/>
      <c r="K147" s="362" t="n"/>
      <c r="L147" s="362" t="n"/>
    </row>
    <row r="148" ht="15" customFormat="1" customHeight="1" s="1159">
      <c r="B148" s="55" t="n"/>
      <c r="C148" s="55" t="n"/>
      <c r="D148" s="56" t="n"/>
      <c r="E148" s="55" t="n"/>
      <c r="F148" s="55" t="n"/>
      <c r="G148" s="362" t="n"/>
      <c r="H148" s="362" t="n"/>
      <c r="I148" s="56" t="n"/>
      <c r="J148" s="362" t="n"/>
      <c r="K148" s="362" t="n"/>
      <c r="L148" s="362" t="n"/>
    </row>
    <row r="149" ht="15" customFormat="1" customHeight="1" s="1159">
      <c r="B149" s="55" t="n"/>
      <c r="C149" s="55" t="n"/>
      <c r="D149" s="56" t="n"/>
      <c r="E149" s="55" t="n"/>
      <c r="F149" s="55" t="n"/>
      <c r="G149" s="362" t="n"/>
      <c r="H149" s="362" t="n"/>
      <c r="I149" s="56" t="n"/>
      <c r="J149" s="362" t="n"/>
      <c r="K149" s="362" t="n"/>
      <c r="L149" s="362" t="n"/>
    </row>
    <row r="150" ht="15" customFormat="1" customHeight="1" s="1159">
      <c r="B150" s="55" t="n"/>
      <c r="C150" s="55" t="n"/>
      <c r="D150" s="56" t="n"/>
      <c r="E150" s="55" t="n"/>
      <c r="F150" s="55" t="n"/>
      <c r="G150" s="362" t="n"/>
      <c r="H150" s="362" t="n"/>
      <c r="I150" s="56" t="n"/>
      <c r="J150" s="362" t="n"/>
      <c r="K150" s="362" t="n"/>
      <c r="L150" s="362" t="n"/>
    </row>
    <row r="151" ht="15" customFormat="1" customHeight="1" s="1159">
      <c r="B151" s="55" t="n"/>
      <c r="C151" s="55" t="n"/>
      <c r="D151" s="56" t="n"/>
      <c r="E151" s="55" t="n"/>
      <c r="F151" s="55" t="n"/>
      <c r="G151" s="362" t="n"/>
      <c r="H151" s="362" t="n"/>
      <c r="I151" s="56" t="n"/>
      <c r="J151" s="362" t="n"/>
      <c r="K151" s="362" t="n"/>
      <c r="L151" s="362" t="n"/>
    </row>
    <row r="152" ht="15" customFormat="1" customHeight="1" s="1159">
      <c r="B152" s="55" t="n"/>
      <c r="C152" s="55" t="n"/>
      <c r="D152" s="56" t="n"/>
      <c r="E152" s="55" t="n"/>
      <c r="F152" s="55" t="n"/>
      <c r="G152" s="362" t="n"/>
      <c r="H152" s="362" t="n"/>
      <c r="I152" s="56" t="n"/>
      <c r="J152" s="362" t="n"/>
      <c r="K152" s="362" t="n"/>
      <c r="L152" s="362" t="n"/>
    </row>
    <row r="153" ht="15" customFormat="1" customHeight="1" s="1159">
      <c r="B153" s="55" t="n"/>
      <c r="C153" s="55" t="n"/>
      <c r="D153" s="56" t="n"/>
      <c r="E153" s="55" t="n"/>
      <c r="F153" s="55" t="n"/>
      <c r="G153" s="362" t="n"/>
      <c r="H153" s="362" t="n"/>
      <c r="I153" s="56" t="n"/>
      <c r="J153" s="362" t="n"/>
      <c r="K153" s="362" t="n"/>
      <c r="L153" s="362" t="n"/>
    </row>
    <row r="154" ht="15" customFormat="1" customHeight="1" s="1159">
      <c r="B154" s="55" t="n"/>
      <c r="C154" s="55" t="n"/>
      <c r="D154" s="56" t="n"/>
      <c r="E154" s="55" t="n"/>
      <c r="F154" s="55" t="n"/>
      <c r="G154" s="362" t="n"/>
      <c r="H154" s="362" t="n"/>
      <c r="I154" s="56" t="n"/>
      <c r="J154" s="362" t="n"/>
      <c r="K154" s="362" t="n"/>
      <c r="L154" s="362" t="n"/>
    </row>
    <row r="155" ht="15" customFormat="1" customHeight="1" s="1159">
      <c r="B155" s="55" t="n"/>
      <c r="C155" s="55" t="n"/>
      <c r="D155" s="56" t="n"/>
      <c r="E155" s="55" t="n"/>
      <c r="F155" s="55" t="n"/>
      <c r="G155" s="362" t="n"/>
      <c r="H155" s="362" t="n"/>
      <c r="I155" s="56" t="n"/>
      <c r="J155" s="362" t="n"/>
      <c r="K155" s="362" t="n"/>
      <c r="L155" s="362" t="n"/>
    </row>
    <row r="156" ht="15" customFormat="1" customHeight="1" s="1159">
      <c r="B156" s="55" t="n"/>
      <c r="C156" s="55" t="n"/>
      <c r="D156" s="56" t="n"/>
      <c r="E156" s="55" t="n"/>
      <c r="F156" s="55" t="n"/>
      <c r="G156" s="362" t="n"/>
      <c r="H156" s="362" t="n"/>
      <c r="I156" s="56" t="n"/>
      <c r="J156" s="362" t="n"/>
      <c r="K156" s="362" t="n"/>
      <c r="L156" s="362" t="n"/>
    </row>
    <row r="157" ht="15" customFormat="1" customHeight="1" s="1159">
      <c r="B157" s="55" t="n"/>
      <c r="C157" s="55" t="n"/>
      <c r="D157" s="56" t="n"/>
      <c r="E157" s="55" t="n"/>
      <c r="F157" s="55" t="n"/>
      <c r="G157" s="362" t="n"/>
      <c r="H157" s="362" t="n"/>
      <c r="I157" s="56" t="n"/>
      <c r="J157" s="362" t="n"/>
      <c r="K157" s="362" t="n"/>
      <c r="L157" s="362" t="n"/>
    </row>
    <row r="158" ht="15" customFormat="1" customHeight="1" s="1159">
      <c r="B158" s="55" t="n"/>
      <c r="C158" s="55" t="n"/>
      <c r="D158" s="56" t="n"/>
      <c r="E158" s="55" t="n"/>
      <c r="F158" s="55" t="n"/>
      <c r="G158" s="362" t="n"/>
      <c r="H158" s="362" t="n"/>
      <c r="I158" s="56" t="n"/>
      <c r="J158" s="362" t="n"/>
      <c r="K158" s="362" t="n"/>
      <c r="L158" s="362" t="n"/>
    </row>
    <row r="159" ht="15" customFormat="1" customHeight="1" s="1159">
      <c r="B159" s="55" t="n"/>
      <c r="C159" s="55" t="n"/>
      <c r="D159" s="56" t="n"/>
      <c r="E159" s="55" t="n"/>
      <c r="F159" s="55" t="n"/>
      <c r="G159" s="362" t="n"/>
      <c r="H159" s="362" t="n"/>
      <c r="I159" s="56" t="n"/>
      <c r="J159" s="362" t="n"/>
      <c r="K159" s="362" t="n"/>
      <c r="L159" s="362" t="n"/>
    </row>
    <row r="160" ht="15" customFormat="1" customHeight="1" s="1159">
      <c r="B160" s="55" t="n"/>
      <c r="C160" s="55" t="n"/>
      <c r="D160" s="56" t="n"/>
      <c r="E160" s="55" t="n"/>
      <c r="F160" s="55" t="n"/>
      <c r="G160" s="362" t="n"/>
      <c r="H160" s="362" t="n"/>
      <c r="I160" s="56" t="n"/>
      <c r="J160" s="362" t="n"/>
      <c r="K160" s="362" t="n"/>
      <c r="L160" s="362" t="n"/>
    </row>
    <row r="161" ht="15" customFormat="1" customHeight="1" s="1159">
      <c r="B161" s="55" t="n"/>
      <c r="C161" s="55" t="n"/>
      <c r="D161" s="56" t="n"/>
      <c r="E161" s="55" t="n"/>
      <c r="F161" s="55" t="n"/>
      <c r="G161" s="362" t="n"/>
      <c r="H161" s="362" t="n"/>
      <c r="I161" s="56" t="n"/>
      <c r="J161" s="362" t="n"/>
      <c r="K161" s="362" t="n"/>
      <c r="L161" s="362" t="n"/>
    </row>
    <row r="162" ht="15" customFormat="1" customHeight="1" s="1159">
      <c r="B162" s="55" t="n"/>
      <c r="C162" s="55" t="n"/>
      <c r="D162" s="56" t="n"/>
      <c r="E162" s="55" t="n"/>
      <c r="F162" s="55" t="n"/>
      <c r="G162" s="362" t="n"/>
      <c r="H162" s="362" t="n"/>
      <c r="I162" s="56" t="n"/>
      <c r="J162" s="362" t="n"/>
      <c r="K162" s="362" t="n"/>
      <c r="L162" s="362" t="n"/>
    </row>
    <row r="163" ht="15" customFormat="1" customHeight="1" s="1159">
      <c r="B163" s="55" t="n"/>
      <c r="C163" s="55" t="n"/>
      <c r="D163" s="56" t="n"/>
      <c r="E163" s="55" t="n"/>
      <c r="F163" s="55" t="n"/>
      <c r="G163" s="362" t="n"/>
      <c r="H163" s="362" t="n"/>
      <c r="I163" s="56" t="n"/>
      <c r="J163" s="362" t="n"/>
      <c r="K163" s="362" t="n"/>
      <c r="L163" s="362" t="n"/>
    </row>
    <row r="164" ht="15" customFormat="1" customHeight="1" s="1159">
      <c r="B164" s="55" t="n"/>
      <c r="C164" s="55" t="n"/>
      <c r="D164" s="56" t="n"/>
      <c r="E164" s="55" t="n"/>
      <c r="F164" s="55" t="n"/>
      <c r="G164" s="362" t="n"/>
      <c r="H164" s="362" t="n"/>
      <c r="I164" s="56" t="n"/>
      <c r="J164" s="362" t="n"/>
      <c r="K164" s="362" t="n"/>
      <c r="L164" s="362" t="n"/>
    </row>
    <row r="165" ht="15" customFormat="1" customHeight="1" s="1159">
      <c r="B165" s="55" t="n"/>
      <c r="C165" s="55" t="n"/>
      <c r="D165" s="56" t="n"/>
      <c r="E165" s="55" t="n"/>
      <c r="F165" s="55" t="n"/>
      <c r="G165" s="362" t="n"/>
      <c r="H165" s="362" t="n"/>
      <c r="I165" s="56" t="n"/>
      <c r="J165" s="362" t="n"/>
      <c r="K165" s="362" t="n"/>
      <c r="L165" s="362" t="n"/>
    </row>
    <row r="166" ht="15" customFormat="1" customHeight="1" s="1159">
      <c r="B166" s="55" t="n"/>
      <c r="C166" s="55" t="n"/>
      <c r="D166" s="56" t="n"/>
      <c r="E166" s="55" t="n"/>
      <c r="F166" s="55" t="n"/>
      <c r="G166" s="362" t="n"/>
      <c r="H166" s="362" t="n"/>
      <c r="I166" s="56" t="n"/>
      <c r="J166" s="362" t="n"/>
      <c r="K166" s="362" t="n"/>
      <c r="L166" s="362" t="n"/>
    </row>
    <row r="167" ht="15" customFormat="1" customHeight="1" s="1159">
      <c r="B167" s="55" t="n"/>
      <c r="C167" s="55" t="n"/>
      <c r="D167" s="56" t="n"/>
      <c r="E167" s="55" t="n"/>
      <c r="F167" s="55" t="n"/>
      <c r="G167" s="362" t="n"/>
      <c r="H167" s="362" t="n"/>
      <c r="I167" s="56" t="n"/>
      <c r="J167" s="362" t="n"/>
      <c r="K167" s="362" t="n"/>
      <c r="L167" s="362" t="n"/>
    </row>
    <row r="168" ht="15" customFormat="1" customHeight="1" s="1159">
      <c r="B168" s="55" t="n"/>
      <c r="C168" s="55" t="n"/>
      <c r="D168" s="56" t="n"/>
      <c r="E168" s="55" t="n"/>
      <c r="F168" s="55" t="n"/>
      <c r="G168" s="362" t="n"/>
      <c r="H168" s="362" t="n"/>
      <c r="I168" s="56" t="n"/>
      <c r="J168" s="362" t="n"/>
      <c r="K168" s="362" t="n"/>
      <c r="L168" s="362" t="n"/>
    </row>
    <row r="169" ht="15" customFormat="1" customHeight="1" s="1159">
      <c r="B169" s="55" t="n"/>
      <c r="C169" s="55" t="n"/>
      <c r="D169" s="56" t="n"/>
      <c r="E169" s="55" t="n"/>
      <c r="F169" s="55" t="n"/>
      <c r="G169" s="362" t="n"/>
      <c r="H169" s="362" t="n"/>
      <c r="I169" s="56" t="n"/>
      <c r="J169" s="362" t="n"/>
      <c r="K169" s="362" t="n"/>
      <c r="L169" s="362" t="n"/>
    </row>
    <row r="170" ht="15" customFormat="1" customHeight="1" s="1159">
      <c r="B170" s="55" t="n"/>
      <c r="C170" s="55" t="n"/>
      <c r="D170" s="56" t="n"/>
      <c r="E170" s="55" t="n"/>
      <c r="F170" s="55" t="n"/>
      <c r="G170" s="362" t="n"/>
      <c r="H170" s="362" t="n"/>
      <c r="I170" s="56" t="n"/>
      <c r="J170" s="362" t="n"/>
      <c r="K170" s="362" t="n"/>
      <c r="L170" s="362" t="n"/>
    </row>
    <row r="171" ht="15" customFormat="1" customHeight="1" s="1159">
      <c r="B171" s="55" t="n"/>
      <c r="C171" s="55" t="n"/>
      <c r="D171" s="56" t="n"/>
      <c r="E171" s="55" t="n"/>
      <c r="F171" s="55" t="n"/>
      <c r="G171" s="362" t="n"/>
      <c r="H171" s="362" t="n"/>
      <c r="I171" s="56" t="n"/>
      <c r="J171" s="362" t="n"/>
      <c r="K171" s="362" t="n"/>
      <c r="L171" s="362" t="n"/>
    </row>
    <row r="172" ht="15" customFormat="1" customHeight="1" s="1159">
      <c r="B172" s="55" t="n"/>
      <c r="C172" s="55" t="n"/>
      <c r="D172" s="56" t="n"/>
      <c r="E172" s="55" t="n"/>
      <c r="F172" s="55" t="n"/>
      <c r="G172" s="362" t="n"/>
      <c r="H172" s="362" t="n"/>
      <c r="I172" s="56" t="n"/>
      <c r="J172" s="362" t="n"/>
      <c r="K172" s="362" t="n"/>
      <c r="L172" s="362" t="n"/>
    </row>
    <row r="173" ht="15" customFormat="1" customHeight="1" s="1159">
      <c r="B173" s="55" t="n"/>
      <c r="C173" s="55" t="n"/>
      <c r="D173" s="56" t="n"/>
      <c r="E173" s="55" t="n"/>
      <c r="F173" s="55" t="n"/>
      <c r="G173" s="362" t="n"/>
      <c r="H173" s="362" t="n"/>
      <c r="I173" s="56" t="n"/>
      <c r="J173" s="362" t="n"/>
      <c r="K173" s="362" t="n"/>
      <c r="L173" s="362" t="n"/>
    </row>
    <row r="174" ht="15" customFormat="1" customHeight="1" s="1159">
      <c r="B174" s="55" t="n"/>
      <c r="C174" s="55" t="n"/>
      <c r="D174" s="56" t="n"/>
      <c r="E174" s="55" t="n"/>
      <c r="F174" s="55" t="n"/>
      <c r="G174" s="362" t="n"/>
      <c r="H174" s="362" t="n"/>
      <c r="I174" s="56" t="n"/>
      <c r="J174" s="362" t="n"/>
      <c r="K174" s="362" t="n"/>
      <c r="L174" s="362" t="n"/>
    </row>
    <row r="175" ht="15" customFormat="1" customHeight="1" s="1159">
      <c r="B175" s="55" t="n"/>
      <c r="C175" s="55" t="n"/>
      <c r="D175" s="56" t="n"/>
      <c r="E175" s="55" t="n"/>
      <c r="F175" s="55" t="n"/>
      <c r="G175" s="362" t="n"/>
      <c r="H175" s="362" t="n"/>
      <c r="I175" s="56" t="n"/>
      <c r="J175" s="362" t="n"/>
      <c r="K175" s="362" t="n"/>
      <c r="L175" s="362" t="n"/>
    </row>
    <row r="176" ht="15" customFormat="1" customHeight="1" s="1159">
      <c r="B176" s="55" t="n"/>
      <c r="C176" s="55" t="n"/>
      <c r="D176" s="56" t="n"/>
      <c r="E176" s="55" t="n"/>
      <c r="F176" s="55" t="n"/>
      <c r="G176" s="362" t="n"/>
      <c r="H176" s="362" t="n"/>
      <c r="I176" s="56" t="n"/>
      <c r="J176" s="362" t="n"/>
      <c r="K176" s="362" t="n"/>
      <c r="L176" s="362" t="n"/>
    </row>
    <row r="177" ht="15" customFormat="1" customHeight="1" s="1159">
      <c r="B177" s="55" t="n"/>
      <c r="C177" s="55" t="n"/>
      <c r="D177" s="56" t="n"/>
      <c r="E177" s="55" t="n"/>
      <c r="F177" s="55" t="n"/>
      <c r="G177" s="362" t="n"/>
      <c r="H177" s="362" t="n"/>
      <c r="I177" s="56" t="n"/>
      <c r="J177" s="362" t="n"/>
      <c r="K177" s="362" t="n"/>
      <c r="L177" s="362" t="n"/>
    </row>
    <row r="178" ht="15" customFormat="1" customHeight="1" s="1159">
      <c r="B178" s="55" t="n"/>
      <c r="C178" s="55" t="n"/>
      <c r="D178" s="56" t="n"/>
      <c r="E178" s="55" t="n"/>
      <c r="F178" s="55" t="n"/>
      <c r="G178" s="362" t="n"/>
      <c r="H178" s="362" t="n"/>
      <c r="I178" s="56" t="n"/>
      <c r="J178" s="362" t="n"/>
      <c r="K178" s="362" t="n"/>
      <c r="L178" s="362" t="n"/>
    </row>
    <row r="179" ht="15" customFormat="1" customHeight="1" s="1159">
      <c r="B179" s="55" t="n"/>
      <c r="C179" s="55" t="n"/>
      <c r="D179" s="56" t="n"/>
      <c r="E179" s="55" t="n"/>
      <c r="F179" s="55" t="n"/>
      <c r="G179" s="362" t="n"/>
      <c r="H179" s="362" t="n"/>
      <c r="I179" s="56" t="n"/>
      <c r="J179" s="362" t="n"/>
      <c r="K179" s="362" t="n"/>
      <c r="L179" s="362" t="n"/>
    </row>
    <row r="180" ht="15" customFormat="1" customHeight="1" s="1159">
      <c r="B180" s="55" t="n"/>
      <c r="C180" s="55" t="n"/>
      <c r="D180" s="56" t="n"/>
      <c r="E180" s="55" t="n"/>
      <c r="F180" s="55" t="n"/>
      <c r="G180" s="362" t="n"/>
      <c r="H180" s="362" t="n"/>
      <c r="I180" s="56" t="n"/>
      <c r="J180" s="362" t="n"/>
      <c r="K180" s="362" t="n"/>
      <c r="L180" s="362" t="n"/>
    </row>
    <row r="181" ht="15" customFormat="1" customHeight="1" s="1159">
      <c r="B181" s="55" t="n"/>
      <c r="C181" s="55" t="n"/>
      <c r="D181" s="56" t="n"/>
      <c r="E181" s="55" t="n"/>
      <c r="F181" s="55" t="n"/>
      <c r="G181" s="362" t="n"/>
      <c r="H181" s="362" t="n"/>
      <c r="I181" s="56" t="n"/>
      <c r="J181" s="362" t="n"/>
      <c r="K181" s="362" t="n"/>
      <c r="L181" s="362" t="n"/>
    </row>
    <row r="182" ht="15" customFormat="1" customHeight="1" s="1159">
      <c r="B182" s="55" t="n"/>
      <c r="C182" s="55" t="n"/>
      <c r="D182" s="56" t="n"/>
      <c r="E182" s="55" t="n"/>
      <c r="F182" s="55" t="n"/>
      <c r="G182" s="362" t="n"/>
      <c r="H182" s="362" t="n"/>
      <c r="I182" s="56" t="n"/>
      <c r="J182" s="362" t="n"/>
      <c r="K182" s="362" t="n"/>
      <c r="L182" s="362" t="n"/>
    </row>
    <row r="183" ht="15" customFormat="1" customHeight="1" s="1159">
      <c r="B183" s="55" t="n"/>
      <c r="C183" s="55" t="n"/>
      <c r="D183" s="56" t="n"/>
      <c r="E183" s="55" t="n"/>
      <c r="F183" s="55" t="n"/>
      <c r="G183" s="362" t="n"/>
      <c r="H183" s="362" t="n"/>
      <c r="I183" s="56" t="n"/>
      <c r="J183" s="362" t="n"/>
      <c r="K183" s="362" t="n"/>
      <c r="L183" s="362" t="n"/>
    </row>
    <row r="184" ht="15" customFormat="1" customHeight="1" s="1159">
      <c r="B184" s="55" t="n"/>
      <c r="C184" s="55" t="n"/>
      <c r="D184" s="56" t="n"/>
      <c r="E184" s="55" t="n"/>
      <c r="F184" s="55" t="n"/>
      <c r="G184" s="362" t="n"/>
      <c r="H184" s="362" t="n"/>
      <c r="I184" s="56" t="n"/>
      <c r="J184" s="362" t="n"/>
      <c r="K184" s="362" t="n"/>
      <c r="L184" s="362" t="n"/>
    </row>
    <row r="185" ht="15" customFormat="1" customHeight="1" s="1159">
      <c r="B185" s="55" t="n"/>
      <c r="C185" s="55" t="n"/>
      <c r="D185" s="56" t="n"/>
      <c r="E185" s="55" t="n"/>
      <c r="F185" s="55" t="n"/>
      <c r="G185" s="362" t="n"/>
      <c r="H185" s="362" t="n"/>
      <c r="I185" s="56" t="n"/>
      <c r="J185" s="362" t="n"/>
      <c r="K185" s="362" t="n"/>
      <c r="L185" s="362" t="n"/>
    </row>
    <row r="186" ht="15" customFormat="1" customHeight="1" s="1159">
      <c r="B186" s="55" t="n"/>
      <c r="C186" s="55" t="n"/>
      <c r="D186" s="56" t="n"/>
      <c r="E186" s="55" t="n"/>
      <c r="F186" s="55" t="n"/>
      <c r="G186" s="362" t="n"/>
      <c r="H186" s="362" t="n"/>
      <c r="I186" s="56" t="n"/>
      <c r="J186" s="362" t="n"/>
      <c r="K186" s="362" t="n"/>
      <c r="L186" s="362" t="n"/>
    </row>
    <row r="187" ht="15" customFormat="1" customHeight="1" s="1159">
      <c r="B187" s="55" t="n"/>
      <c r="C187" s="55" t="n"/>
      <c r="D187" s="56" t="n"/>
      <c r="E187" s="55" t="n"/>
      <c r="F187" s="55" t="n"/>
      <c r="G187" s="362" t="n"/>
      <c r="H187" s="362" t="n"/>
      <c r="I187" s="56" t="n"/>
      <c r="J187" s="362" t="n"/>
      <c r="K187" s="362" t="n"/>
      <c r="L187" s="362" t="n"/>
    </row>
    <row r="188" ht="15" customFormat="1" customHeight="1" s="1159">
      <c r="B188" s="55" t="n"/>
      <c r="C188" s="55" t="n"/>
      <c r="D188" s="56" t="n"/>
      <c r="E188" s="55" t="n"/>
      <c r="F188" s="55" t="n"/>
      <c r="G188" s="362" t="n"/>
      <c r="H188" s="362" t="n"/>
      <c r="I188" s="56" t="n"/>
      <c r="J188" s="362" t="n"/>
      <c r="K188" s="362" t="n"/>
      <c r="L188" s="362" t="n"/>
    </row>
    <row r="189" ht="15" customFormat="1" customHeight="1" s="1159">
      <c r="B189" s="55" t="n"/>
      <c r="C189" s="55" t="n"/>
      <c r="D189" s="56" t="n"/>
      <c r="E189" s="55" t="n"/>
      <c r="F189" s="55" t="n"/>
      <c r="G189" s="362" t="n"/>
      <c r="H189" s="362" t="n"/>
      <c r="I189" s="56" t="n"/>
      <c r="J189" s="362" t="n"/>
      <c r="K189" s="362" t="n"/>
      <c r="L189" s="362" t="n"/>
    </row>
    <row r="190" ht="15" customFormat="1" customHeight="1" s="1159">
      <c r="B190" s="55" t="n"/>
      <c r="C190" s="55" t="n"/>
      <c r="D190" s="56" t="n"/>
      <c r="E190" s="55" t="n"/>
      <c r="F190" s="55" t="n"/>
      <c r="G190" s="362" t="n"/>
      <c r="H190" s="362" t="n"/>
      <c r="I190" s="56" t="n"/>
      <c r="J190" s="362" t="n"/>
      <c r="K190" s="362" t="n"/>
      <c r="L190" s="362" t="n"/>
    </row>
    <row r="191" ht="15" customFormat="1" customHeight="1" s="1159">
      <c r="B191" s="55" t="n"/>
      <c r="C191" s="55" t="n"/>
      <c r="D191" s="56" t="n"/>
      <c r="E191" s="55" t="n"/>
      <c r="F191" s="55" t="n"/>
      <c r="G191" s="362" t="n"/>
      <c r="H191" s="362" t="n"/>
      <c r="I191" s="56" t="n"/>
      <c r="J191" s="362" t="n"/>
      <c r="K191" s="362" t="n"/>
      <c r="L191" s="362" t="n"/>
    </row>
    <row r="192" ht="15" customFormat="1" customHeight="1" s="1159">
      <c r="B192" s="55" t="n"/>
      <c r="C192" s="55" t="n"/>
      <c r="D192" s="56" t="n"/>
      <c r="E192" s="55" t="n"/>
      <c r="F192" s="55" t="n"/>
      <c r="G192" s="362" t="n"/>
      <c r="H192" s="362" t="n"/>
      <c r="I192" s="56" t="n"/>
      <c r="J192" s="362" t="n"/>
      <c r="K192" s="362" t="n"/>
      <c r="L192" s="362" t="n"/>
    </row>
    <row r="193" ht="15" customFormat="1" customHeight="1" s="1159">
      <c r="B193" s="55" t="n"/>
      <c r="C193" s="55" t="n"/>
      <c r="D193" s="56" t="n"/>
      <c r="E193" s="55" t="n"/>
      <c r="F193" s="55" t="n"/>
      <c r="G193" s="362" t="n"/>
      <c r="H193" s="362" t="n"/>
      <c r="I193" s="56" t="n"/>
      <c r="J193" s="362" t="n"/>
      <c r="K193" s="362" t="n"/>
      <c r="L193" s="362" t="n"/>
    </row>
    <row r="194" ht="15" customFormat="1" customHeight="1" s="1159">
      <c r="B194" s="55" t="n"/>
      <c r="C194" s="55" t="n"/>
      <c r="D194" s="56" t="n"/>
      <c r="E194" s="55" t="n"/>
      <c r="F194" s="55" t="n"/>
      <c r="G194" s="362" t="n"/>
      <c r="H194" s="362" t="n"/>
      <c r="I194" s="56" t="n"/>
      <c r="J194" s="362" t="n"/>
      <c r="K194" s="362" t="n"/>
      <c r="L194" s="362" t="n"/>
    </row>
    <row r="195" ht="15" customFormat="1" customHeight="1" s="1159">
      <c r="B195" s="55" t="n"/>
      <c r="C195" s="55" t="n"/>
      <c r="D195" s="56" t="n"/>
      <c r="E195" s="55" t="n"/>
      <c r="F195" s="55" t="n"/>
      <c r="G195" s="362" t="n"/>
      <c r="H195" s="362" t="n"/>
      <c r="I195" s="56" t="n"/>
      <c r="J195" s="362" t="n"/>
      <c r="K195" s="362" t="n"/>
      <c r="L195" s="362" t="n"/>
    </row>
    <row r="196" ht="15" customFormat="1" customHeight="1" s="1159">
      <c r="B196" s="55" t="n"/>
      <c r="C196" s="55" t="n"/>
      <c r="D196" s="56" t="n"/>
      <c r="E196" s="55" t="n"/>
      <c r="F196" s="55" t="n"/>
      <c r="G196" s="362" t="n"/>
      <c r="H196" s="362" t="n"/>
      <c r="I196" s="56" t="n"/>
      <c r="J196" s="362" t="n"/>
      <c r="K196" s="362" t="n"/>
      <c r="L196" s="362" t="n"/>
    </row>
    <row r="197" ht="15" customFormat="1" customHeight="1" s="1159">
      <c r="B197" s="55" t="n"/>
      <c r="C197" s="55" t="n"/>
      <c r="D197" s="56" t="n"/>
      <c r="E197" s="55" t="n"/>
      <c r="F197" s="55" t="n"/>
      <c r="G197" s="362" t="n"/>
      <c r="H197" s="362" t="n"/>
      <c r="I197" s="56" t="n"/>
      <c r="J197" s="362" t="n"/>
      <c r="K197" s="362" t="n"/>
      <c r="L197" s="362" t="n"/>
    </row>
    <row r="198" ht="15" customFormat="1" customHeight="1" s="1159">
      <c r="B198" s="55" t="n"/>
      <c r="C198" s="55" t="n"/>
      <c r="D198" s="56" t="n"/>
      <c r="E198" s="55" t="n"/>
      <c r="F198" s="55" t="n"/>
      <c r="G198" s="362" t="n"/>
      <c r="H198" s="362" t="n"/>
      <c r="I198" s="56" t="n"/>
      <c r="J198" s="362" t="n"/>
      <c r="K198" s="362" t="n"/>
      <c r="L198" s="362" t="n"/>
    </row>
    <row r="199" ht="15" customFormat="1" customHeight="1" s="1159">
      <c r="B199" s="55" t="n"/>
      <c r="C199" s="55" t="n"/>
      <c r="D199" s="56" t="n"/>
      <c r="E199" s="55" t="n"/>
      <c r="F199" s="55" t="n"/>
      <c r="G199" s="362" t="n"/>
      <c r="H199" s="362" t="n"/>
      <c r="I199" s="56" t="n"/>
      <c r="J199" s="362" t="n"/>
      <c r="K199" s="362" t="n"/>
      <c r="L199" s="362" t="n"/>
    </row>
    <row r="200" ht="15" customFormat="1" customHeight="1" s="1159">
      <c r="B200" s="55" t="n"/>
      <c r="C200" s="55" t="n"/>
      <c r="D200" s="56" t="n"/>
      <c r="E200" s="55" t="n"/>
      <c r="F200" s="55" t="n"/>
      <c r="G200" s="362" t="n"/>
      <c r="H200" s="362" t="n"/>
      <c r="I200" s="56" t="n"/>
      <c r="J200" s="362" t="n"/>
      <c r="K200" s="362" t="n"/>
      <c r="L200" s="362" t="n"/>
    </row>
    <row r="201" ht="15" customFormat="1" customHeight="1" s="1159">
      <c r="B201" s="55" t="n"/>
      <c r="C201" s="55" t="n"/>
      <c r="D201" s="56" t="n"/>
      <c r="E201" s="55" t="n"/>
      <c r="F201" s="55" t="n"/>
      <c r="G201" s="362" t="n"/>
      <c r="H201" s="362" t="n"/>
      <c r="I201" s="56" t="n"/>
      <c r="J201" s="362" t="n"/>
      <c r="K201" s="362" t="n"/>
      <c r="L201" s="362" t="n"/>
    </row>
    <row r="202" ht="15" customFormat="1" customHeight="1" s="1159">
      <c r="B202" s="55" t="n"/>
      <c r="C202" s="55" t="n"/>
      <c r="D202" s="56" t="n"/>
      <c r="E202" s="55" t="n"/>
      <c r="F202" s="55" t="n"/>
      <c r="G202" s="362" t="n"/>
      <c r="H202" s="362" t="n"/>
      <c r="I202" s="56" t="n"/>
      <c r="J202" s="362" t="n"/>
      <c r="K202" s="362" t="n"/>
      <c r="L202" s="362" t="n"/>
    </row>
    <row r="203" ht="15" customFormat="1" customHeight="1" s="1159">
      <c r="B203" s="55" t="n"/>
      <c r="C203" s="55" t="n"/>
      <c r="D203" s="56" t="n"/>
      <c r="E203" s="55" t="n"/>
      <c r="F203" s="55" t="n"/>
      <c r="G203" s="362" t="n"/>
      <c r="H203" s="362" t="n"/>
      <c r="I203" s="56" t="n"/>
      <c r="J203" s="362" t="n"/>
      <c r="K203" s="362" t="n"/>
      <c r="L203" s="362" t="n"/>
    </row>
    <row r="204" ht="15" customFormat="1" customHeight="1" s="1159">
      <c r="B204" s="55" t="n"/>
      <c r="C204" s="55" t="n"/>
      <c r="D204" s="56" t="n"/>
      <c r="E204" s="55" t="n"/>
      <c r="F204" s="55" t="n"/>
      <c r="G204" s="362" t="n"/>
      <c r="H204" s="362" t="n"/>
      <c r="I204" s="56" t="n"/>
      <c r="J204" s="362" t="n"/>
      <c r="K204" s="362" t="n"/>
      <c r="L204" s="362" t="n"/>
    </row>
  </sheetData>
  <mergeCells count="11">
    <mergeCell ref="C7:D7"/>
    <mergeCell ref="G7:H7"/>
    <mergeCell ref="D61:F61"/>
    <mergeCell ref="D62:F62"/>
    <mergeCell ref="C5:D5"/>
    <mergeCell ref="G5:H5"/>
    <mergeCell ref="E53:F53"/>
    <mergeCell ref="M7:O7"/>
    <mergeCell ref="B1:C1"/>
    <mergeCell ref="C3:D3"/>
    <mergeCell ref="G3:H3"/>
  </mergeCells>
  <conditionalFormatting sqref="B9">
    <cfRule type="expression" priority="189" dxfId="680">
      <formula>B9="CURRENCY"</formula>
    </cfRule>
    <cfRule type="containsText" priority="188" operator="containsText" dxfId="680" text="SELECT">
      <formula>NOT(ISERROR(SEARCH("SELECT",B9)))</formula>
    </cfRule>
  </conditionalFormatting>
  <conditionalFormatting sqref="B15:B30">
    <cfRule type="expression" priority="3" dxfId="633">
      <formula>$D15&gt;0</formula>
    </cfRule>
  </conditionalFormatting>
  <conditionalFormatting sqref="B50 E50:F50">
    <cfRule type="expression" priority="5094" dxfId="383">
      <formula>C41="select controls"</formula>
    </cfRule>
  </conditionalFormatting>
  <conditionalFormatting sqref="C13">
    <cfRule type="containsText" priority="194" operator="containsText" dxfId="680" text="SELECT">
      <formula>NOT(ISERROR(SEARCH("SELECT",C13)))</formula>
    </cfRule>
  </conditionalFormatting>
  <conditionalFormatting sqref="C15:C23">
    <cfRule type="containsText" priority="9" operator="containsText" dxfId="561" text="SIZE">
      <formula>NOT(ISERROR(SEARCH("SIZE",C15)))</formula>
    </cfRule>
  </conditionalFormatting>
  <conditionalFormatting sqref="C26">
    <cfRule type="containsText" priority="202" operator="containsText" dxfId="561" text="SELECT CONTROLS">
      <formula>NOT(ISERROR(SEARCH("SELECT CONTROLS",C26)))</formula>
    </cfRule>
  </conditionalFormatting>
  <conditionalFormatting sqref="C27">
    <cfRule type="expression" priority="197" dxfId="10555">
      <formula>$C$26="SMARTEC"</formula>
    </cfRule>
    <cfRule type="containsText" priority="196" operator="containsText" dxfId="10554" text="st/st">
      <formula>NOT(ISERROR(SEARCH("st/st",C27)))</formula>
    </cfRule>
  </conditionalFormatting>
  <conditionalFormatting sqref="C32:C33">
    <cfRule type="cellIs" priority="175" operator="greaterThan" dxfId="10553">
      <formula>0</formula>
    </cfRule>
  </conditionalFormatting>
  <conditionalFormatting sqref="C53:C62">
    <cfRule type="cellIs" priority="192" operator="lessThan" dxfId="164">
      <formula>1</formula>
    </cfRule>
  </conditionalFormatting>
  <conditionalFormatting sqref="C9:D9">
    <cfRule type="cellIs" priority="184" operator="lessThan" dxfId="207">
      <formula>0</formula>
    </cfRule>
    <cfRule type="cellIs" priority="185" operator="greaterThan" dxfId="552">
      <formula>0</formula>
    </cfRule>
  </conditionalFormatting>
  <conditionalFormatting sqref="C30:D30">
    <cfRule type="expression" priority="201" dxfId="206">
      <formula>$C$26="REMOTE TOUCH SCREEN"</formula>
    </cfRule>
    <cfRule type="expression" priority="200" dxfId="10548">
      <formula>$C$26="SMARTEC"</formula>
    </cfRule>
  </conditionalFormatting>
  <conditionalFormatting sqref="D27">
    <cfRule type="expression" priority="198" dxfId="10544">
      <formula>C26="SMARTEC"</formula>
    </cfRule>
    <cfRule type="expression" priority="195" dxfId="680">
      <formula>C27="st/st enclosure"</formula>
    </cfRule>
  </conditionalFormatting>
  <conditionalFormatting sqref="D30">
    <cfRule type="expression" priority="199" dxfId="10545">
      <formula>$C$26="SMARTEC"</formula>
    </cfRule>
  </conditionalFormatting>
  <conditionalFormatting sqref="D39">
    <cfRule type="expression" priority="214" dxfId="10544">
      <formula>#REF!="SMARTEC"</formula>
    </cfRule>
    <cfRule type="expression" priority="213" dxfId="680">
      <formula>C39="st/st enclosure"</formula>
    </cfRule>
  </conditionalFormatting>
  <conditionalFormatting sqref="E40:E44">
    <cfRule type="expression" priority="212" dxfId="383">
      <formula>#REF!="select controls"</formula>
    </cfRule>
  </conditionalFormatting>
  <conditionalFormatting sqref="B46:B47 B49 E45 E46:F46 E47:E48 E49:F49">
    <cfRule type="expression" priority="190" dxfId="383">
      <formula>C39="select controls"</formula>
    </cfRule>
  </conditionalFormatting>
  <conditionalFormatting sqref="F41:F45">
    <cfRule type="expression" priority="1" dxfId="383">
      <formula>G35="select controls"</formula>
    </cfRule>
  </conditionalFormatting>
  <conditionalFormatting sqref="G15:G37">
    <cfRule type="cellIs" priority="10" operator="greaterThan" dxfId="153">
      <formula>0</formula>
    </cfRule>
  </conditionalFormatting>
  <conditionalFormatting sqref="G39:G50">
    <cfRule type="cellIs" priority="23" operator="greaterThan" dxfId="153">
      <formula>0</formula>
    </cfRule>
  </conditionalFormatting>
  <conditionalFormatting sqref="G53:G62">
    <cfRule type="expression" priority="147" dxfId="10537">
      <formula>C53&gt;0</formula>
    </cfRule>
  </conditionalFormatting>
  <conditionalFormatting sqref="H13 J13 L13">
    <cfRule type="expression" priority="204" dxfId="2">
      <formula>$B$9="EURO"</formula>
    </cfRule>
  </conditionalFormatting>
  <conditionalFormatting sqref="H23">
    <cfRule type="cellIs" priority="12" operator="greaterThan" dxfId="141">
      <formula>0</formula>
    </cfRule>
  </conditionalFormatting>
  <conditionalFormatting sqref="H25:H62">
    <cfRule type="cellIs" priority="170" operator="greaterThan" dxfId="141">
      <formula>0</formula>
    </cfRule>
  </conditionalFormatting>
  <conditionalFormatting sqref="H15:L22 L53:L62">
    <cfRule type="cellIs" priority="180" operator="greaterThan" dxfId="141">
      <formula>0</formula>
    </cfRule>
  </conditionalFormatting>
  <conditionalFormatting sqref="I15:I37">
    <cfRule type="expression" priority="13" dxfId="552">
      <formula>$C$9&gt;0</formula>
    </cfRule>
  </conditionalFormatting>
  <conditionalFormatting sqref="I23:I37">
    <cfRule type="expression" priority="14" dxfId="175">
      <formula>$C$9&lt;0</formula>
    </cfRule>
  </conditionalFormatting>
  <conditionalFormatting sqref="I15:I22 I39:I50 I53:I62">
    <cfRule type="expression" priority="210" dxfId="175">
      <formula>$C$9&lt;0</formula>
    </cfRule>
  </conditionalFormatting>
  <conditionalFormatting sqref="I39:I50 I53:I62">
    <cfRule type="expression" priority="209" dxfId="552">
      <formula>$C$9&gt;0</formula>
    </cfRule>
  </conditionalFormatting>
  <conditionalFormatting sqref="J38">
    <cfRule type="expression" priority="205" dxfId="4">
      <formula>$B$9="PLN"</formula>
    </cfRule>
    <cfRule type="expression" priority="206" dxfId="0">
      <formula>$B$9="CZK"</formula>
    </cfRule>
    <cfRule type="expression" priority="207" dxfId="3">
      <formula>$B$9="USD"</formula>
    </cfRule>
    <cfRule type="expression" priority="208" dxfId="2">
      <formula>$B$9="EURO"</formula>
    </cfRule>
  </conditionalFormatting>
  <conditionalFormatting sqref="J64:J70">
    <cfRule type="expression" priority="211" dxfId="2">
      <formula>#REF!="EURO"</formula>
    </cfRule>
  </conditionalFormatting>
  <conditionalFormatting sqref="K1:K37">
    <cfRule type="expression" priority="6" dxfId="3">
      <formula>$B$9="USD"</formula>
    </cfRule>
    <cfRule type="expression" priority="5" dxfId="2">
      <formula>$B$9="EURO"</formula>
    </cfRule>
    <cfRule type="expression" priority="7" dxfId="4">
      <formula>$B$9="PLN"</formula>
    </cfRule>
  </conditionalFormatting>
  <conditionalFormatting sqref="K1:K1048576">
    <cfRule type="expression" priority="8" dxfId="0">
      <formula>$B$9="CZK"</formula>
    </cfRule>
  </conditionalFormatting>
  <conditionalFormatting sqref="K15:K37">
    <cfRule type="cellIs" priority="4" operator="greaterThan" dxfId="1">
      <formula>0</formula>
    </cfRule>
  </conditionalFormatting>
  <conditionalFormatting sqref="K39:K50">
    <cfRule type="cellIs" priority="154" operator="greaterThan" dxfId="1">
      <formula>0</formula>
    </cfRule>
  </conditionalFormatting>
  <conditionalFormatting sqref="K39:K1048576">
    <cfRule type="expression" priority="152" dxfId="4">
      <formula>$B$9="PLN"</formula>
    </cfRule>
    <cfRule type="expression" priority="151" dxfId="3">
      <formula>$B$9="USD"</formula>
    </cfRule>
    <cfRule type="expression" priority="150" dxfId="2">
      <formula>$B$9="EURO"</formula>
    </cfRule>
  </conditionalFormatting>
  <conditionalFormatting sqref="K51">
    <cfRule type="cellIs" priority="183" operator="greaterThan" dxfId="141">
      <formula>0</formula>
    </cfRule>
  </conditionalFormatting>
  <conditionalFormatting sqref="K53:K62">
    <cfRule type="cellIs" priority="149" operator="greaterThan" dxfId="1">
      <formula>0</formula>
    </cfRule>
  </conditionalFormatting>
  <conditionalFormatting sqref="L23:L37">
    <cfRule type="cellIs" priority="11" operator="greaterThan" dxfId="141">
      <formula>0</formula>
    </cfRule>
  </conditionalFormatting>
  <conditionalFormatting sqref="L39:L50">
    <cfRule type="cellIs" priority="161" operator="greaterThan" dxfId="141">
      <formula>0</formula>
    </cfRule>
  </conditionalFormatting>
  <conditionalFormatting sqref="T41">
    <cfRule type="cellIs" priority="160" operator="greaterThan" dxfId="141">
      <formula>0</formula>
    </cfRule>
  </conditionalFormatting>
  <dataValidations count="3">
    <dataValidation sqref="C26" showDropDown="0" showInputMessage="1" showErrorMessage="1" allowBlank="1" type="list">
      <formula1>"SELECT CONTROLS,SMARTEC, REMOTE TOUCH SCREEN"</formula1>
    </dataValidation>
    <dataValidation sqref="C13" showDropDown="0" showInputMessage="1" showErrorMessage="1" allowBlank="1" type="list">
      <formula1>"SELECT MODEL,INTERNAL,EXTERNAL"</formula1>
    </dataValidation>
    <dataValidation sqref="C65534:C65542 C65560:C65561 C65580 C65585 C131070:C131078 C131096:C131097 C131116 C131121 C196606:C196614 C196632:C196633 C196652 C196657 C262142:C262150 C262168:C262169 C262188 C262193 C327678:C327686 C327704:C327705 C327724 C327729 C393214:C393222 C393240:C393241 C393260 C393265 C458750:C458758 C458776:C458777 C458796 C458801 C524286:C524294 C524312:C524313 C524332 C524337 C589822:C589830 C589848:C589849 C589868 C589873 C655358:C655366 C655384:C655385 C655404 C655409 C720894:C720902 C720920:C720921 C720940 C720945 C786430:C786438 C786456:C786457 C786476 C786481 C851966:C851974 C851992:C851993 C852012 C852017 C917502:C917510 C917528:C917529 C917548 C917553 C983038:C983046 C983064:C983065 C983084 C983089 ID15:ID23 ID39:ID44 ID53:ID54 ID65534:ID65542 ID65560:ID65561 ID65580 ID65585 ID131070:ID131078 ID131096:ID131097 ID131116 ID131121 ID196606:ID196614 ID196632:ID196633 ID196652 ID196657 ID262142:ID262150 ID262168:ID262169 ID262188 ID262193 ID327678:ID327686 ID327704:ID327705 ID327724 ID327729 ID393214:ID393222 ID393240:ID393241 ID393260 ID393265 ID458750:ID458758 ID458776:ID458777 ID458796 ID458801 ID524286:ID524294 ID524312:ID524313 ID524332 ID524337 ID589822:ID589830 ID589848:ID589849 ID589868 ID589873 ID655358:ID655366 ID655384:ID655385 ID655404 ID655409 ID720894:ID720902 ID720920:ID720921 ID720940 ID720945 ID786430:ID786438 ID786456:ID786457 ID786476 ID786481 ID851966:ID851974 ID851992:ID851993 ID852012 ID852017 ID917502:ID917510 ID917528:ID917529 ID917548 ID917553 ID983038:ID983046 ID983064:ID983065 ID983084 ID983089 IO65519:IO65529 IO131055:IO131065 IO196591:IO196601 IO262127:IO262137 IO327663:IO327673 IO393199:IO393209 IO458735:IO458745 IO524271:IO524281 IO589807:IO589817 IO655343:IO655353 IO720879:IO720889 IO786415:IO786425 IO851951:IO851961 IO917487:IO917497 IO983023:IO983033 RZ15:RZ23 RZ39:RZ44 RZ53:RZ54 RZ65534:RZ65542 RZ65560:RZ65561 RZ65580 RZ65585 RZ131070:RZ131078 RZ131096:RZ131097 RZ131116 RZ131121 RZ196606:RZ196614 RZ196632:RZ196633 RZ196652 RZ196657 RZ262142:RZ262150 RZ262168:RZ262169 RZ262188 RZ262193 RZ327678:RZ327686 RZ327704:RZ327705 RZ327724 RZ327729 RZ393214:RZ393222 RZ393240:RZ393241 RZ393260 RZ393265 RZ458750:RZ458758 RZ458776:RZ458777 RZ458796 RZ458801 RZ524286:RZ524294 RZ524312:RZ524313 RZ524332 RZ524337 RZ589822:RZ589830 RZ589848:RZ589849 RZ589868 RZ589873 RZ655358:RZ655366 RZ655384:RZ655385 RZ655404 RZ655409 RZ720894:RZ720902 RZ720920:RZ720921 RZ720940 RZ720945 RZ786430:RZ786438 RZ786456:RZ786457 RZ786476 RZ786481 RZ851966:RZ851974 RZ851992:RZ851993 RZ852012 RZ852017 RZ917502:RZ917510 RZ917528:RZ917529 RZ917548 RZ917553 RZ983038:RZ983046 RZ983064:RZ983065 RZ983084 RZ983089 SK65519:SK65529 SK131055:SK131065 SK196591:SK196601 SK262127:SK262137 SK327663:SK327673 SK393199:SK393209 SK458735:SK458745 SK524271:SK524281 SK589807:SK589817 SK655343:SK655353 SK720879:SK720889 SK786415:SK786425 SK851951:SK851961 SK917487:SK917497 SK983023:SK983033 ABV15:ABV23 ABV39:ABV44 ABV53:ABV54 ABV65534:ABV65542 ABV65560:ABV65561 ABV65580 ABV65585 ABV131070:ABV131078 ABV131096:ABV131097 ABV131116 ABV131121 ABV196606:ABV196614 ABV196632:ABV196633 ABV196652 ABV196657 ABV262142:ABV262150 ABV262168:ABV262169 ABV262188 ABV262193 ABV327678:ABV327686 ABV327704:ABV327705 ABV327724 ABV327729 ABV393214:ABV393222 ABV393240:ABV393241 ABV393260 ABV393265 ABV458750:ABV458758 ABV458776:ABV458777 ABV458796 ABV458801 ABV524286:ABV524294 ABV524312:ABV524313 ABV524332 ABV524337 ABV589822:ABV589830 ABV589848:ABV589849 ABV589868 ABV589873 ABV655358:ABV655366 ABV655384:ABV655385 ABV655404 ABV655409 ABV720894:ABV720902 ABV720920:ABV720921 ABV720940 ABV720945 ABV786430:ABV786438 ABV786456:ABV786457 ABV786476 ABV786481 ABV851966:ABV851974 ABV851992:ABV851993 ABV852012 ABV852017 ABV917502:ABV917510 ABV917528:ABV917529 ABV917548 ABV917553 ABV983038:ABV983046 ABV983064:ABV983065 ABV983084 ABV983089 ACG65519:ACG65529 ACG131055:ACG131065 ACG196591:ACG196601 ACG262127:ACG262137 ACG327663:ACG327673 ACG393199:ACG393209 ACG458735:ACG458745 ACG524271:ACG524281 ACG589807:ACG589817 ACG655343:ACG655353 ACG720879:ACG720889 ACG786415:ACG786425 ACG851951:ACG851961 ACG917487:ACG917497 ACG983023:ACG983033 ALR15:ALR23 ALR39:ALR44 ALR53:ALR54 ALR65534:ALR65542 ALR65560:ALR65561 ALR65580 ALR65585 ALR131070:ALR131078 ALR131096:ALR131097 ALR131116 ALR131121 ALR196606:ALR196614 ALR196632:ALR196633 ALR196652 ALR196657 ALR262142:ALR262150 ALR262168:ALR262169 ALR262188 ALR262193 ALR327678:ALR327686 ALR327704:ALR327705 ALR327724 ALR327729 ALR393214:ALR393222 ALR393240:ALR393241 ALR393260 ALR393265 ALR458750:ALR458758 ALR458776:ALR458777 ALR458796 ALR458801 ALR524286:ALR524294 ALR524312:ALR524313 ALR524332 ALR524337 ALR589822:ALR589830 ALR589848:ALR589849 ALR589868 ALR589873 ALR655358:ALR655366 ALR655384:ALR655385 ALR655404 ALR655409 ALR720894:ALR720902 ALR720920:ALR720921 ALR720940 ALR720945 ALR786430:ALR786438 ALR786456:ALR786457 ALR786476 ALR786481 ALR851966:ALR851974 ALR851992:ALR851993 ALR852012 ALR852017 ALR917502:ALR917510 ALR917528:ALR917529 ALR917548 ALR917553 ALR983038:ALR983046 ALR983064:ALR983065 ALR983084 ALR983089 AMC65519:AMC65529 AMC131055:AMC131065 AMC196591:AMC196601 AMC262127:AMC262137 AMC327663:AMC327673 AMC393199:AMC393209 AMC458735:AMC458745 AMC524271:AMC524281 AMC589807:AMC589817 AMC655343:AMC655353 AMC720879:AMC720889 AMC786415:AMC786425 AMC851951:AMC851961 AMC917487:AMC917497 AMC983023:AMC983033 AVN15:AVN23 AVN39:AVN44 AVN53:AVN54 AVN65534:AVN65542 AVN65560:AVN65561 AVN65580 AVN65585 AVN131070:AVN131078 AVN131096:AVN131097 AVN131116 AVN131121 AVN196606:AVN196614 AVN196632:AVN196633 AVN196652 AVN196657 AVN262142:AVN262150 AVN262168:AVN262169 AVN262188 AVN262193 AVN327678:AVN327686 AVN327704:AVN327705 AVN327724 AVN327729 AVN393214:AVN393222 AVN393240:AVN393241 AVN393260 AVN393265 AVN458750:AVN458758 AVN458776:AVN458777 AVN458796 AVN458801 AVN524286:AVN524294 AVN524312:AVN524313 AVN524332 AVN524337 AVN589822:AVN589830 AVN589848:AVN589849 AVN589868 AVN589873 AVN655358:AVN655366 AVN655384:AVN655385 AVN655404 AVN655409 AVN720894:AVN720902 AVN720920:AVN720921 AVN720940 AVN720945 AVN786430:AVN786438 AVN786456:AVN786457 AVN786476 AVN786481 AVN851966:AVN851974 AVN851992:AVN851993 AVN852012 AVN852017 AVN917502:AVN917510 AVN917528:AVN917529 AVN917548 AVN917553 AVN983038:AVN983046 AVN983064:AVN983065 AVN983084 AVN983089 AVY65519:AVY65529 AVY131055:AVY131065 AVY196591:AVY196601 AVY262127:AVY262137 AVY327663:AVY327673 AVY393199:AVY393209 AVY458735:AVY458745 AVY524271:AVY524281 AVY589807:AVY589817 AVY655343:AVY655353 AVY720879:AVY720889 AVY786415:AVY786425 AVY851951:AVY851961 AVY917487:AVY917497 AVY983023:AVY983033 BFJ15:BFJ23 BFJ39:BFJ44 BFJ53:BFJ54 BFJ65534:BFJ65542 BFJ65560:BFJ65561 BFJ65580 BFJ65585 BFJ131070:BFJ131078 BFJ131096:BFJ131097 BFJ131116 BFJ131121 BFJ196606:BFJ196614 BFJ196632:BFJ196633 BFJ196652 BFJ196657 BFJ262142:BFJ262150 BFJ262168:BFJ262169 BFJ262188 BFJ262193 BFJ327678:BFJ327686 BFJ327704:BFJ327705 BFJ327724 BFJ327729 BFJ393214:BFJ393222 BFJ393240:BFJ393241 BFJ393260 BFJ393265 BFJ458750:BFJ458758 BFJ458776:BFJ458777 BFJ458796 BFJ458801 BFJ524286:BFJ524294 BFJ524312:BFJ524313 BFJ524332 BFJ524337 BFJ589822:BFJ589830 BFJ589848:BFJ589849 BFJ589868 BFJ589873 BFJ655358:BFJ655366 BFJ655384:BFJ655385 BFJ655404 BFJ655409 BFJ720894:BFJ720902 BFJ720920:BFJ720921 BFJ720940 BFJ720945 BFJ786430:BFJ786438 BFJ786456:BFJ786457 BFJ786476 BFJ786481 BFJ851966:BFJ851974 BFJ851992:BFJ851993 BFJ852012 BFJ852017 BFJ917502:BFJ917510 BFJ917528:BFJ917529 BFJ917548 BFJ917553 BFJ983038:BFJ983046 BFJ983064:BFJ983065 BFJ983084 BFJ983089 BFU65519:BFU65529 BFU131055:BFU131065 BFU196591:BFU196601 BFU262127:BFU262137 BFU327663:BFU327673 BFU393199:BFU393209 BFU458735:BFU458745 BFU524271:BFU524281 BFU589807:BFU589817 BFU655343:BFU655353 BFU720879:BFU720889 BFU786415:BFU786425 BFU851951:BFU851961 BFU917487:BFU917497 BFU983023:BFU983033 BPF15:BPF23 BPF39:BPF44 BPF53:BPF54 BPF65534:BPF65542 BPF65560:BPF65561 BPF65580 BPF65585 BPF131070:BPF131078 BPF131096:BPF131097 BPF131116 BPF131121 BPF196606:BPF196614 BPF196632:BPF196633 BPF196652 BPF196657 BPF262142:BPF262150 BPF262168:BPF262169 BPF262188 BPF262193 BPF327678:BPF327686 BPF327704:BPF327705 BPF327724 BPF327729 BPF393214:BPF393222 BPF393240:BPF393241 BPF393260 BPF393265 BPF458750:BPF458758 BPF458776:BPF458777 BPF458796 BPF458801 BPF524286:BPF524294 BPF524312:BPF524313 BPF524332 BPF524337 BPF589822:BPF589830 BPF589848:BPF589849 BPF589868 BPF589873 BPF655358:BPF655366 BPF655384:BPF655385 BPF655404 BPF655409 BPF720894:BPF720902 BPF720920:BPF720921 BPF720940 BPF720945 BPF786430:BPF786438 BPF786456:BPF786457 BPF786476 BPF786481 BPF851966:BPF851974 BPF851992:BPF851993 BPF852012 BPF852017 BPF917502:BPF917510 BPF917528:BPF917529 BPF917548 BPF917553 BPF983038:BPF983046 BPF983064:BPF983065 BPF983084 BPF983089 BPQ65519:BPQ65529 BPQ131055:BPQ131065 BPQ196591:BPQ196601 BPQ262127:BPQ262137 BPQ327663:BPQ327673 BPQ393199:BPQ393209 BPQ458735:BPQ458745 BPQ524271:BPQ524281 BPQ589807:BPQ589817 BPQ655343:BPQ655353 BPQ720879:BPQ720889 BPQ786415:BPQ786425 BPQ851951:BPQ851961 BPQ917487:BPQ917497 BPQ983023:BPQ983033 BZB15:BZB23 BZB39:BZB44 BZB53:BZB54 BZB65534:BZB65542 BZB65560:BZB65561 BZB65580 BZB65585 BZB131070:BZB131078 BZB131096:BZB131097 BZB131116 BZB131121 BZB196606:BZB196614 BZB196632:BZB196633 BZB196652 BZB196657 BZB262142:BZB262150 BZB262168:BZB262169 BZB262188 BZB262193 BZB327678:BZB327686 BZB327704:BZB327705 BZB327724 BZB327729 BZB393214:BZB393222 BZB393240:BZB393241 BZB393260 BZB393265 BZB458750:BZB458758 BZB458776:BZB458777 BZB458796 BZB458801 BZB524286:BZB524294 BZB524312:BZB524313 BZB524332 BZB524337 BZB589822:BZB589830 BZB589848:BZB589849 BZB589868 BZB589873 BZB655358:BZB655366 BZB655384:BZB655385 BZB655404 BZB655409 BZB720894:BZB720902 BZB720920:BZB720921 BZB720940 BZB720945 BZB786430:BZB786438 BZB786456:BZB786457 BZB786476 BZB786481 BZB851966:BZB851974 BZB851992:BZB851993 BZB852012 BZB852017 BZB917502:BZB917510 BZB917528:BZB917529 BZB917548 BZB917553 BZB983038:BZB983046 BZB983064:BZB983065 BZB983084 BZB983089 BZM65519:BZM65529 BZM131055:BZM131065 BZM196591:BZM196601 BZM262127:BZM262137 BZM327663:BZM327673 BZM393199:BZM393209 BZM458735:BZM458745 BZM524271:BZM524281 BZM589807:BZM589817 BZM655343:BZM655353 BZM720879:BZM720889 BZM786415:BZM786425 BZM851951:BZM851961 BZM917487:BZM917497 BZM983023:BZM983033 CIX15:CIX23 CIX39:CIX44 CIX53:CIX54 CIX65534:CIX65542 CIX65560:CIX65561 CIX65580 CIX65585 CIX131070:CIX131078 CIX131096:CIX131097 CIX131116 CIX131121 CIX196606:CIX196614 CIX196632:CIX196633 CIX196652 CIX196657 CIX262142:CIX262150 CIX262168:CIX262169 CIX262188 CIX262193 CIX327678:CIX327686 CIX327704:CIX327705 CIX327724 CIX327729 CIX393214:CIX393222 CIX393240:CIX393241 CIX393260 CIX393265 CIX458750:CIX458758 CIX458776:CIX458777 CIX458796 CIX458801 CIX524286:CIX524294 CIX524312:CIX524313 CIX524332 CIX524337 CIX589822:CIX589830 CIX589848:CIX589849 CIX589868 CIX589873 CIX655358:CIX655366 CIX655384:CIX655385 CIX655404 CIX655409 CIX720894:CIX720902 CIX720920:CIX720921 CIX720940 CIX720945 CIX786430:CIX786438 CIX786456:CIX786457 CIX786476 CIX786481 CIX851966:CIX851974 CIX851992:CIX851993 CIX852012 CIX852017 CIX917502:CIX917510 CIX917528:CIX917529 CIX917548 CIX917553 CIX983038:CIX983046 CIX983064:CIX983065 CIX983084 CIX983089 CJI65519:CJI65529 CJI131055:CJI131065 CJI196591:CJI196601 CJI262127:CJI262137 CJI327663:CJI327673 CJI393199:CJI393209 CJI458735:CJI458745 CJI524271:CJI524281 CJI589807:CJI589817 CJI655343:CJI655353 CJI720879:CJI720889 CJI786415:CJI786425 CJI851951:CJI851961 CJI917487:CJI917497 CJI983023:CJI983033 CST15:CST23 CST39:CST44 CST53:CST54 CST65534:CST65542 CST65560:CST65561 CST65580 CST65585 CST131070:CST131078 CST131096:CST131097 CST131116 CST131121 CST196606:CST196614 CST196632:CST196633 CST196652 CST196657 CST262142:CST262150 CST262168:CST262169 CST262188 CST262193 CST327678:CST327686 CST327704:CST327705 CST327724 CST327729 CST393214:CST393222 CST393240:CST393241 CST393260 CST393265 CST458750:CST458758 CST458776:CST458777 CST458796 CST458801 CST524286:CST524294 CST524312:CST524313 CST524332 CST524337 CST589822:CST589830 CST589848:CST589849 CST589868 CST589873 CST655358:CST655366 CST655384:CST655385 CST655404 CST655409 CST720894:CST720902 CST720920:CST720921 CST720940 CST720945 CST786430:CST786438 CST786456:CST786457 CST786476 CST786481 CST851966:CST851974 CST851992:CST851993 CST852012 CST852017 CST917502:CST917510 CST917528:CST917529 CST917548 CST917553 CST983038:CST983046 CST983064:CST983065 CST983084 CST983089 CTE65519:CTE65529 CTE131055:CTE131065 CTE196591:CTE196601 CTE262127:CTE262137 CTE327663:CTE327673 CTE393199:CTE393209 CTE458735:CTE458745 CTE524271:CTE524281 CTE589807:CTE589817 CTE655343:CTE655353 CTE720879:CTE720889 CTE786415:CTE786425 CTE851951:CTE851961 CTE917487:CTE917497 CTE983023:CTE983033 DCP15:DCP23 DCP39:DCP44 DCP53:DCP54 DCP65534:DCP65542 DCP65560:DCP65561 DCP65580 DCP65585 DCP131070:DCP131078 DCP131096:DCP131097 DCP131116 DCP131121 DCP196606:DCP196614 DCP196632:DCP196633 DCP196652 DCP196657 DCP262142:DCP262150 DCP262168:DCP262169 DCP262188 DCP262193 DCP327678:DCP327686 DCP327704:DCP327705 DCP327724 DCP327729 DCP393214:DCP393222 DCP393240:DCP393241 DCP393260 DCP393265 DCP458750:DCP458758 DCP458776:DCP458777 DCP458796 DCP458801 DCP524286:DCP524294 DCP524312:DCP524313 DCP524332 DCP524337 DCP589822:DCP589830 DCP589848:DCP589849 DCP589868 DCP589873 DCP655358:DCP655366 DCP655384:DCP655385 DCP655404 DCP655409 DCP720894:DCP720902 DCP720920:DCP720921 DCP720940 DCP720945 DCP786430:DCP786438 DCP786456:DCP786457 DCP786476 DCP786481 DCP851966:DCP851974 DCP851992:DCP851993 DCP852012 DCP852017 DCP917502:DCP917510 DCP917528:DCP917529 DCP917548 DCP917553 DCP983038:DCP983046 DCP983064:DCP983065 DCP983084 DCP983089 DDA65519:DDA65529 DDA131055:DDA131065 DDA196591:DDA196601 DDA262127:DDA262137 DDA327663:DDA327673 DDA393199:DDA393209 DDA458735:DDA458745 DDA524271:DDA524281 DDA589807:DDA589817 DDA655343:DDA655353 DDA720879:DDA720889 DDA786415:DDA786425 DDA851951:DDA851961 DDA917487:DDA917497 DDA983023:DDA983033 DML15:DML23 DML39:DML44 DML53:DML54 DML65534:DML65542 DML65560:DML65561 DML65580 DML65585 DML131070:DML131078 DML131096:DML131097 DML131116 DML131121 DML196606:DML196614 DML196632:DML196633 DML196652 DML196657 DML262142:DML262150 DML262168:DML262169 DML262188 DML262193 DML327678:DML327686 DML327704:DML327705 DML327724 DML327729 DML393214:DML393222 DML393240:DML393241 DML393260 DML393265 DML458750:DML458758 DML458776:DML458777 DML458796 DML458801 DML524286:DML524294 DML524312:DML524313 DML524332 DML524337 DML589822:DML589830 DML589848:DML589849 DML589868 DML589873 DML655358:DML655366 DML655384:DML655385 DML655404 DML655409 DML720894:DML720902 DML720920:DML720921 DML720940 DML720945 DML786430:DML786438 DML786456:DML786457 DML786476 DML786481 DML851966:DML851974 DML851992:DML851993 DML852012 DML852017 DML917502:DML917510 DML917528:DML917529 DML917548 DML917553 DML983038:DML983046 DML983064:DML983065 DML983084 DML983089 DMW65519:DMW65529 DMW131055:DMW131065 DMW196591:DMW196601 DMW262127:DMW262137 DMW327663:DMW327673 DMW393199:DMW393209 DMW458735:DMW458745 DMW524271:DMW524281 DMW589807:DMW589817 DMW655343:DMW655353 DMW720879:DMW720889 DMW786415:DMW786425 DMW851951:DMW851961 DMW917487:DMW917497 DMW983023:DMW983033 DWH15:DWH23 DWH39:DWH44 DWH53:DWH54 DWH65534:DWH65542 DWH65560:DWH65561 DWH65580 DWH65585 DWH131070:DWH131078 DWH131096:DWH131097 DWH131116 DWH131121 DWH196606:DWH196614 DWH196632:DWH196633 DWH196652 DWH196657 DWH262142:DWH262150 DWH262168:DWH262169 DWH262188 DWH262193 DWH327678:DWH327686 DWH327704:DWH327705 DWH327724 DWH327729 DWH393214:DWH393222 DWH393240:DWH393241 DWH393260 DWH393265 DWH458750:DWH458758 DWH458776:DWH458777 DWH458796 DWH458801 DWH524286:DWH524294 DWH524312:DWH524313 DWH524332 DWH524337 DWH589822:DWH589830 DWH589848:DWH589849 DWH589868 DWH589873 DWH655358:DWH655366 DWH655384:DWH655385 DWH655404 DWH655409 DWH720894:DWH720902 DWH720920:DWH720921 DWH720940 DWH720945 DWH786430:DWH786438 DWH786456:DWH786457 DWH786476 DWH786481 DWH851966:DWH851974 DWH851992:DWH851993 DWH852012 DWH852017 DWH917502:DWH917510 DWH917528:DWH917529 DWH917548 DWH917553 DWH983038:DWH983046 DWH983064:DWH983065 DWH983084 DWH983089 DWS65519:DWS65529 DWS131055:DWS131065 DWS196591:DWS196601 DWS262127:DWS262137 DWS327663:DWS327673 DWS393199:DWS393209 DWS458735:DWS458745 DWS524271:DWS524281 DWS589807:DWS589817 DWS655343:DWS655353 DWS720879:DWS720889 DWS786415:DWS786425 DWS851951:DWS851961 DWS917487:DWS917497 DWS983023:DWS983033 EGD15:EGD23 EGD39:EGD44 EGD53:EGD54 EGD65534:EGD65542 EGD65560:EGD65561 EGD65580 EGD65585 EGD131070:EGD131078 EGD131096:EGD131097 EGD131116 EGD131121 EGD196606:EGD196614 EGD196632:EGD196633 EGD196652 EGD196657 EGD262142:EGD262150 EGD262168:EGD262169 EGD262188 EGD262193 EGD327678:EGD327686 EGD327704:EGD327705 EGD327724 EGD327729 EGD393214:EGD393222 EGD393240:EGD393241 EGD393260 EGD393265 EGD458750:EGD458758 EGD458776:EGD458777 EGD458796 EGD458801 EGD524286:EGD524294 EGD524312:EGD524313 EGD524332 EGD524337 EGD589822:EGD589830 EGD589848:EGD589849 EGD589868 EGD589873 EGD655358:EGD655366 EGD655384:EGD655385 EGD655404 EGD655409 EGD720894:EGD720902 EGD720920:EGD720921 EGD720940 EGD720945 EGD786430:EGD786438 EGD786456:EGD786457 EGD786476 EGD786481 EGD851966:EGD851974 EGD851992:EGD851993 EGD852012 EGD852017 EGD917502:EGD917510 EGD917528:EGD917529 EGD917548 EGD917553 EGD983038:EGD983046 EGD983064:EGD983065 EGD983084 EGD983089 EGO65519:EGO65529 EGO131055:EGO131065 EGO196591:EGO196601 EGO262127:EGO262137 EGO327663:EGO327673 EGO393199:EGO393209 EGO458735:EGO458745 EGO524271:EGO524281 EGO589807:EGO589817 EGO655343:EGO655353 EGO720879:EGO720889 EGO786415:EGO786425 EGO851951:EGO851961 EGO917487:EGO917497 EGO983023:EGO983033 EPZ15:EPZ23 EPZ39:EPZ44 EPZ53:EPZ54 EPZ65534:EPZ65542 EPZ65560:EPZ65561 EPZ65580 EPZ65585 EPZ131070:EPZ131078 EPZ131096:EPZ131097 EPZ131116 EPZ131121 EPZ196606:EPZ196614 EPZ196632:EPZ196633 EPZ196652 EPZ196657 EPZ262142:EPZ262150 EPZ262168:EPZ262169 EPZ262188 EPZ262193 EPZ327678:EPZ327686 EPZ327704:EPZ327705 EPZ327724 EPZ327729 EPZ393214:EPZ393222 EPZ393240:EPZ393241 EPZ393260 EPZ393265 EPZ458750:EPZ458758 EPZ458776:EPZ458777 EPZ458796 EPZ458801 EPZ524286:EPZ524294 EPZ524312:EPZ524313 EPZ524332 EPZ524337 EPZ589822:EPZ589830 EPZ589848:EPZ589849 EPZ589868 EPZ589873 EPZ655358:EPZ655366 EPZ655384:EPZ655385 EPZ655404 EPZ655409 EPZ720894:EPZ720902 EPZ720920:EPZ720921 EPZ720940 EPZ720945 EPZ786430:EPZ786438 EPZ786456:EPZ786457 EPZ786476 EPZ786481 EPZ851966:EPZ851974 EPZ851992:EPZ851993 EPZ852012 EPZ852017 EPZ917502:EPZ917510 EPZ917528:EPZ917529 EPZ917548 EPZ917553 EPZ983038:EPZ983046 EPZ983064:EPZ983065 EPZ983084 EPZ983089 EQK65519:EQK65529 EQK131055:EQK131065 EQK196591:EQK196601 EQK262127:EQK262137 EQK327663:EQK327673 EQK393199:EQK393209 EQK458735:EQK458745 EQK524271:EQK524281 EQK589807:EQK589817 EQK655343:EQK655353 EQK720879:EQK720889 EQK786415:EQK786425 EQK851951:EQK851961 EQK917487:EQK917497 EQK983023:EQK983033 EZV15:EZV23 EZV39:EZV44 EZV53:EZV54 EZV65534:EZV65542 EZV65560:EZV65561 EZV65580 EZV65585 EZV131070:EZV131078 EZV131096:EZV131097 EZV131116 EZV131121 EZV196606:EZV196614 EZV196632:EZV196633 EZV196652 EZV196657 EZV262142:EZV262150 EZV262168:EZV262169 EZV262188 EZV262193 EZV327678:EZV327686 EZV327704:EZV327705 EZV327724 EZV327729 EZV393214:EZV393222 EZV393240:EZV393241 EZV393260 EZV393265 EZV458750:EZV458758 EZV458776:EZV458777 EZV458796 EZV458801 EZV524286:EZV524294 EZV524312:EZV524313 EZV524332 EZV524337 EZV589822:EZV589830 EZV589848:EZV589849 EZV589868 EZV589873 EZV655358:EZV655366 EZV655384:EZV655385 EZV655404 EZV655409 EZV720894:EZV720902 EZV720920:EZV720921 EZV720940 EZV720945 EZV786430:EZV786438 EZV786456:EZV786457 EZV786476 EZV786481 EZV851966:EZV851974 EZV851992:EZV851993 EZV852012 EZV852017 EZV917502:EZV917510 EZV917528:EZV917529 EZV917548 EZV917553 EZV983038:EZV983046 EZV983064:EZV983065 EZV983084 EZV983089 FAG65519:FAG65529 FAG131055:FAG131065 FAG196591:FAG196601 FAG262127:FAG262137 FAG327663:FAG327673 FAG393199:FAG393209 FAG458735:FAG458745 FAG524271:FAG524281 FAG589807:FAG589817 FAG655343:FAG655353 FAG720879:FAG720889 FAG786415:FAG786425 FAG851951:FAG851961 FAG917487:FAG917497 FAG983023:FAG983033 FJR15:FJR23 FJR39:FJR44 FJR53:FJR54 FJR65534:FJR65542 FJR65560:FJR65561 FJR65580 FJR65585 FJR131070:FJR131078 FJR131096:FJR131097 FJR131116 FJR131121 FJR196606:FJR196614 FJR196632:FJR196633 FJR196652 FJR196657 FJR262142:FJR262150 FJR262168:FJR262169 FJR262188 FJR262193 FJR327678:FJR327686 FJR327704:FJR327705 FJR327724 FJR327729 FJR393214:FJR393222 FJR393240:FJR393241 FJR393260 FJR393265 FJR458750:FJR458758 FJR458776:FJR458777 FJR458796 FJR458801 FJR524286:FJR524294 FJR524312:FJR524313 FJR524332 FJR524337 FJR589822:FJR589830 FJR589848:FJR589849 FJR589868 FJR589873 FJR655358:FJR655366 FJR655384:FJR655385 FJR655404 FJR655409 FJR720894:FJR720902 FJR720920:FJR720921 FJR720940 FJR720945 FJR786430:FJR786438 FJR786456:FJR786457 FJR786476 FJR786481 FJR851966:FJR851974 FJR851992:FJR851993 FJR852012 FJR852017 FJR917502:FJR917510 FJR917528:FJR917529 FJR917548 FJR917553 FJR983038:FJR983046 FJR983064:FJR983065 FJR983084 FJR983089 FKC65519:FKC65529 FKC131055:FKC131065 FKC196591:FKC196601 FKC262127:FKC262137 FKC327663:FKC327673 FKC393199:FKC393209 FKC458735:FKC458745 FKC524271:FKC524281 FKC589807:FKC589817 FKC655343:FKC655353 FKC720879:FKC720889 FKC786415:FKC786425 FKC851951:FKC851961 FKC917487:FKC917497 FKC983023:FKC983033 FTN15:FTN23 FTN39:FTN44 FTN53:FTN54 FTN65534:FTN65542 FTN65560:FTN65561 FTN65580 FTN65585 FTN131070:FTN131078 FTN131096:FTN131097 FTN131116 FTN131121 FTN196606:FTN196614 FTN196632:FTN196633 FTN196652 FTN196657 FTN262142:FTN262150 FTN262168:FTN262169 FTN262188 FTN262193 FTN327678:FTN327686 FTN327704:FTN327705 FTN327724 FTN327729 FTN393214:FTN393222 FTN393240:FTN393241 FTN393260 FTN393265 FTN458750:FTN458758 FTN458776:FTN458777 FTN458796 FTN458801 FTN524286:FTN524294 FTN524312:FTN524313 FTN524332 FTN524337 FTN589822:FTN589830 FTN589848:FTN589849 FTN589868 FTN589873 FTN655358:FTN655366 FTN655384:FTN655385 FTN655404 FTN655409 FTN720894:FTN720902 FTN720920:FTN720921 FTN720940 FTN720945 FTN786430:FTN786438 FTN786456:FTN786457 FTN786476 FTN786481 FTN851966:FTN851974 FTN851992:FTN851993 FTN852012 FTN852017 FTN917502:FTN917510 FTN917528:FTN917529 FTN917548 FTN917553 FTN983038:FTN983046 FTN983064:FTN983065 FTN983084 FTN983089 FTY65519:FTY65529 FTY131055:FTY131065 FTY196591:FTY196601 FTY262127:FTY262137 FTY327663:FTY327673 FTY393199:FTY393209 FTY458735:FTY458745 FTY524271:FTY524281 FTY589807:FTY589817 FTY655343:FTY655353 FTY720879:FTY720889 FTY786415:FTY786425 FTY851951:FTY851961 FTY917487:FTY917497 FTY983023:FTY983033 GDJ15:GDJ23 GDJ39:GDJ44 GDJ53:GDJ54 GDJ65534:GDJ65542 GDJ65560:GDJ65561 GDJ65580 GDJ65585 GDJ131070:GDJ131078 GDJ131096:GDJ131097 GDJ131116 GDJ131121 GDJ196606:GDJ196614 GDJ196632:GDJ196633 GDJ196652 GDJ196657 GDJ262142:GDJ262150 GDJ262168:GDJ262169 GDJ262188 GDJ262193 GDJ327678:GDJ327686 GDJ327704:GDJ327705 GDJ327724 GDJ327729 GDJ393214:GDJ393222 GDJ393240:GDJ393241 GDJ393260 GDJ393265 GDJ458750:GDJ458758 GDJ458776:GDJ458777 GDJ458796 GDJ458801 GDJ524286:GDJ524294 GDJ524312:GDJ524313 GDJ524332 GDJ524337 GDJ589822:GDJ589830 GDJ589848:GDJ589849 GDJ589868 GDJ589873 GDJ655358:GDJ655366 GDJ655384:GDJ655385 GDJ655404 GDJ655409 GDJ720894:GDJ720902 GDJ720920:GDJ720921 GDJ720940 GDJ720945 GDJ786430:GDJ786438 GDJ786456:GDJ786457 GDJ786476 GDJ786481 GDJ851966:GDJ851974 GDJ851992:GDJ851993 GDJ852012 GDJ852017 GDJ917502:GDJ917510 GDJ917528:GDJ917529 GDJ917548 GDJ917553 GDJ983038:GDJ983046 GDJ983064:GDJ983065 GDJ983084 GDJ983089 GDU65519:GDU65529 GDU131055:GDU131065 GDU196591:GDU196601 GDU262127:GDU262137 GDU327663:GDU327673 GDU393199:GDU393209 GDU458735:GDU458745 GDU524271:GDU524281 GDU589807:GDU589817 GDU655343:GDU655353 GDU720879:GDU720889 GDU786415:GDU786425 GDU851951:GDU851961 GDU917487:GDU917497 GDU983023:GDU983033 GNF15:GNF23 GNF39:GNF44 GNF53:GNF54 GNF65534:GNF65542 GNF65560:GNF65561 GNF65580 GNF65585 GNF131070:GNF131078 GNF131096:GNF131097 GNF131116 GNF131121 GNF196606:GNF196614 GNF196632:GNF196633 GNF196652 GNF196657 GNF262142:GNF262150 GNF262168:GNF262169 GNF262188 GNF262193 GNF327678:GNF327686 GNF327704:GNF327705 GNF327724 GNF327729 GNF393214:GNF393222 GNF393240:GNF393241 GNF393260 GNF393265 GNF458750:GNF458758 GNF458776:GNF458777 GNF458796 GNF458801 GNF524286:GNF524294 GNF524312:GNF524313 GNF524332 GNF524337 GNF589822:GNF589830 GNF589848:GNF589849 GNF589868 GNF589873 GNF655358:GNF655366 GNF655384:GNF655385 GNF655404 GNF655409 GNF720894:GNF720902 GNF720920:GNF720921 GNF720940 GNF720945 GNF786430:GNF786438 GNF786456:GNF786457 GNF786476 GNF786481 GNF851966:GNF851974 GNF851992:GNF851993 GNF852012 GNF852017 GNF917502:GNF917510 GNF917528:GNF917529 GNF917548 GNF917553 GNF983038:GNF983046 GNF983064:GNF983065 GNF983084 GNF983089 GNQ65519:GNQ65529 GNQ131055:GNQ131065 GNQ196591:GNQ196601 GNQ262127:GNQ262137 GNQ327663:GNQ327673 GNQ393199:GNQ393209 GNQ458735:GNQ458745 GNQ524271:GNQ524281 GNQ589807:GNQ589817 GNQ655343:GNQ655353 GNQ720879:GNQ720889 GNQ786415:GNQ786425 GNQ851951:GNQ851961 GNQ917487:GNQ917497 GNQ983023:GNQ983033 GXB15:GXB23 GXB39:GXB44 GXB53:GXB54 GXB65534:GXB65542 GXB65560:GXB65561 GXB65580 GXB65585 GXB131070:GXB131078 GXB131096:GXB131097 GXB131116 GXB131121 GXB196606:GXB196614 GXB196632:GXB196633 GXB196652 GXB196657 GXB262142:GXB262150 GXB262168:GXB262169 GXB262188 GXB262193 GXB327678:GXB327686 GXB327704:GXB327705 GXB327724 GXB327729 GXB393214:GXB393222 GXB393240:GXB393241 GXB393260 GXB393265 GXB458750:GXB458758 GXB458776:GXB458777 GXB458796 GXB458801 GXB524286:GXB524294 GXB524312:GXB524313 GXB524332 GXB524337 GXB589822:GXB589830 GXB589848:GXB589849 GXB589868 GXB589873 GXB655358:GXB655366 GXB655384:GXB655385 GXB655404 GXB655409 GXB720894:GXB720902 GXB720920:GXB720921 GXB720940 GXB720945 GXB786430:GXB786438 GXB786456:GXB786457 GXB786476 GXB786481 GXB851966:GXB851974 GXB851992:GXB851993 GXB852012 GXB852017 GXB917502:GXB917510 GXB917528:GXB917529 GXB917548 GXB917553 GXB983038:GXB983046 GXB983064:GXB983065 GXB983084 GXB983089 GXM65519:GXM65529 GXM131055:GXM131065 GXM196591:GXM196601 GXM262127:GXM262137 GXM327663:GXM327673 GXM393199:GXM393209 GXM458735:GXM458745 GXM524271:GXM524281 GXM589807:GXM589817 GXM655343:GXM655353 GXM720879:GXM720889 GXM786415:GXM786425 GXM851951:GXM851961 GXM917487:GXM917497 GXM983023:GXM983033 HGX15:HGX23 HGX39:HGX44 HGX53:HGX54 HGX65534:HGX65542 HGX65560:HGX65561 HGX65580 HGX65585 HGX131070:HGX131078 HGX131096:HGX131097 HGX131116 HGX131121 HGX196606:HGX196614 HGX196632:HGX196633 HGX196652 HGX196657 HGX262142:HGX262150 HGX262168:HGX262169 HGX262188 HGX262193 HGX327678:HGX327686 HGX327704:HGX327705 HGX327724 HGX327729 HGX393214:HGX393222 HGX393240:HGX393241 HGX393260 HGX393265 HGX458750:HGX458758 HGX458776:HGX458777 HGX458796 HGX458801 HGX524286:HGX524294 HGX524312:HGX524313 HGX524332 HGX524337 HGX589822:HGX589830 HGX589848:HGX589849 HGX589868 HGX589873 HGX655358:HGX655366 HGX655384:HGX655385 HGX655404 HGX655409 HGX720894:HGX720902 HGX720920:HGX720921 HGX720940 HGX720945 HGX786430:HGX786438 HGX786456:HGX786457 HGX786476 HGX786481 HGX851966:HGX851974 HGX851992:HGX851993 HGX852012 HGX852017 HGX917502:HGX917510 HGX917528:HGX917529 HGX917548 HGX917553 HGX983038:HGX983046 HGX983064:HGX983065 HGX983084 HGX983089 HHI65519:HHI65529 HHI131055:HHI131065 HHI196591:HHI196601 HHI262127:HHI262137 HHI327663:HHI327673 HHI393199:HHI393209 HHI458735:HHI458745 HHI524271:HHI524281 HHI589807:HHI589817 HHI655343:HHI655353 HHI720879:HHI720889 HHI786415:HHI786425 HHI851951:HHI851961 HHI917487:HHI917497 HHI983023:HHI983033 HQT15:HQT23 HQT39:HQT44 HQT53:HQT54 HQT65534:HQT65542 HQT65560:HQT65561 HQT65580 HQT65585 HQT131070:HQT131078 HQT131096:HQT131097 HQT131116 HQT131121 HQT196606:HQT196614 HQT196632:HQT196633 HQT196652 HQT196657 HQT262142:HQT262150 HQT262168:HQT262169 HQT262188 HQT262193 HQT327678:HQT327686 HQT327704:HQT327705 HQT327724 HQT327729 HQT393214:HQT393222 HQT393240:HQT393241 HQT393260 HQT393265 HQT458750:HQT458758 HQT458776:HQT458777 HQT458796 HQT458801 HQT524286:HQT524294 HQT524312:HQT524313 HQT524332 HQT524337 HQT589822:HQT589830 HQT589848:HQT589849 HQT589868 HQT589873 HQT655358:HQT655366 HQT655384:HQT655385 HQT655404 HQT655409 HQT720894:HQT720902 HQT720920:HQT720921 HQT720940 HQT720945 HQT786430:HQT786438 HQT786456:HQT786457 HQT786476 HQT786481 HQT851966:HQT851974 HQT851992:HQT851993 HQT852012 HQT852017 HQT917502:HQT917510 HQT917528:HQT917529 HQT917548 HQT917553 HQT983038:HQT983046 HQT983064:HQT983065 HQT983084 HQT983089 HRE65519:HRE65529 HRE131055:HRE131065 HRE196591:HRE196601 HRE262127:HRE262137 HRE327663:HRE327673 HRE393199:HRE393209 HRE458735:HRE458745 HRE524271:HRE524281 HRE589807:HRE589817 HRE655343:HRE655353 HRE720879:HRE720889 HRE786415:HRE786425 HRE851951:HRE851961 HRE917487:HRE917497 HRE983023:HRE983033 IAP15:IAP23 IAP39:IAP44 IAP53:IAP54 IAP65534:IAP65542 IAP65560:IAP65561 IAP65580 IAP65585 IAP131070:IAP131078 IAP131096:IAP131097 IAP131116 IAP131121 IAP196606:IAP196614 IAP196632:IAP196633 IAP196652 IAP196657 IAP262142:IAP262150 IAP262168:IAP262169 IAP262188 IAP262193 IAP327678:IAP327686 IAP327704:IAP327705 IAP327724 IAP327729 IAP393214:IAP393222 IAP393240:IAP393241 IAP393260 IAP393265 IAP458750:IAP458758 IAP458776:IAP458777 IAP458796 IAP458801 IAP524286:IAP524294 IAP524312:IAP524313 IAP524332 IAP524337 IAP589822:IAP589830 IAP589848:IAP589849 IAP589868 IAP589873 IAP655358:IAP655366 IAP655384:IAP655385 IAP655404 IAP655409 IAP720894:IAP720902 IAP720920:IAP720921 IAP720940 IAP720945 IAP786430:IAP786438 IAP786456:IAP786457 IAP786476 IAP786481 IAP851966:IAP851974 IAP851992:IAP851993 IAP852012 IAP852017 IAP917502:IAP917510 IAP917528:IAP917529 IAP917548 IAP917553 IAP983038:IAP983046 IAP983064:IAP983065 IAP983084 IAP983089 IBA65519:IBA65529 IBA131055:IBA131065 IBA196591:IBA196601 IBA262127:IBA262137 IBA327663:IBA327673 IBA393199:IBA393209 IBA458735:IBA458745 IBA524271:IBA524281 IBA589807:IBA589817 IBA655343:IBA655353 IBA720879:IBA720889 IBA786415:IBA786425 IBA851951:IBA851961 IBA917487:IBA917497 IBA983023:IBA983033 IKL15:IKL23 IKL39:IKL44 IKL53:IKL54 IKL65534:IKL65542 IKL65560:IKL65561 IKL65580 IKL65585 IKL131070:IKL131078 IKL131096:IKL131097 IKL131116 IKL131121 IKL196606:IKL196614 IKL196632:IKL196633 IKL196652 IKL196657 IKL262142:IKL262150 IKL262168:IKL262169 IKL262188 IKL262193 IKL327678:IKL327686 IKL327704:IKL327705 IKL327724 IKL327729 IKL393214:IKL393222 IKL393240:IKL393241 IKL393260 IKL393265 IKL458750:IKL458758 IKL458776:IKL458777 IKL458796 IKL458801 IKL524286:IKL524294 IKL524312:IKL524313 IKL524332 IKL524337 IKL589822:IKL589830 IKL589848:IKL589849 IKL589868 IKL589873 IKL655358:IKL655366 IKL655384:IKL655385 IKL655404 IKL655409 IKL720894:IKL720902 IKL720920:IKL720921 IKL720940 IKL720945 IKL786430:IKL786438 IKL786456:IKL786457 IKL786476 IKL786481 IKL851966:IKL851974 IKL851992:IKL851993 IKL852012 IKL852017 IKL917502:IKL917510 IKL917528:IKL917529 IKL917548 IKL917553 IKL983038:IKL983046 IKL983064:IKL983065 IKL983084 IKL983089 IKW65519:IKW65529 IKW131055:IKW131065 IKW196591:IKW196601 IKW262127:IKW262137 IKW327663:IKW327673 IKW393199:IKW393209 IKW458735:IKW458745 IKW524271:IKW524281 IKW589807:IKW589817 IKW655343:IKW655353 IKW720879:IKW720889 IKW786415:IKW786425 IKW851951:IKW851961 IKW917487:IKW917497 IKW983023:IKW983033 IUH15:IUH23 IUH39:IUH44 IUH53:IUH54 IUH65534:IUH65542 IUH65560:IUH65561 IUH65580 IUH65585 IUH131070:IUH131078 IUH131096:IUH131097 IUH131116 IUH131121 IUH196606:IUH196614 IUH196632:IUH196633 IUH196652 IUH196657 IUH262142:IUH262150 IUH262168:IUH262169 IUH262188 IUH262193 IUH327678:IUH327686 IUH327704:IUH327705 IUH327724 IUH327729 IUH393214:IUH393222 IUH393240:IUH393241 IUH393260 IUH393265 IUH458750:IUH458758 IUH458776:IUH458777 IUH458796 IUH458801 IUH524286:IUH524294 IUH524312:IUH524313 IUH524332 IUH524337 IUH589822:IUH589830 IUH589848:IUH589849 IUH589868 IUH589873 IUH655358:IUH655366 IUH655384:IUH655385 IUH655404 IUH655409 IUH720894:IUH720902 IUH720920:IUH720921 IUH720940 IUH720945 IUH786430:IUH786438 IUH786456:IUH786457 IUH786476 IUH786481 IUH851966:IUH851974 IUH851992:IUH851993 IUH852012 IUH852017 IUH917502:IUH917510 IUH917528:IUH917529 IUH917548 IUH917553 IUH983038:IUH983046 IUH983064:IUH983065 IUH983084 IUH983089 IUS65519:IUS65529 IUS131055:IUS131065 IUS196591:IUS196601 IUS262127:IUS262137 IUS327663:IUS327673 IUS393199:IUS393209 IUS458735:IUS458745 IUS524271:IUS524281 IUS589807:IUS589817 IUS655343:IUS655353 IUS720879:IUS720889 IUS786415:IUS786425 IUS851951:IUS851961 IUS917487:IUS917497 IUS983023:IUS983033 JED15:JED23 JED39:JED44 JED53:JED54 JED65534:JED65542 JED65560:JED65561 JED65580 JED65585 JED131070:JED131078 JED131096:JED131097 JED131116 JED131121 JED196606:JED196614 JED196632:JED196633 JED196652 JED196657 JED262142:JED262150 JED262168:JED262169 JED262188 JED262193 JED327678:JED327686 JED327704:JED327705 JED327724 JED327729 JED393214:JED393222 JED393240:JED393241 JED393260 JED393265 JED458750:JED458758 JED458776:JED458777 JED458796 JED458801 JED524286:JED524294 JED524312:JED524313 JED524332 JED524337 JED589822:JED589830 JED589848:JED589849 JED589868 JED589873 JED655358:JED655366 JED655384:JED655385 JED655404 JED655409 JED720894:JED720902 JED720920:JED720921 JED720940 JED720945 JED786430:JED786438 JED786456:JED786457 JED786476 JED786481 JED851966:JED851974 JED851992:JED851993 JED852012 JED852017 JED917502:JED917510 JED917528:JED917529 JED917548 JED917553 JED983038:JED983046 JED983064:JED983065 JED983084 JED983089 JEO65519:JEO65529 JEO131055:JEO131065 JEO196591:JEO196601 JEO262127:JEO262137 JEO327663:JEO327673 JEO393199:JEO393209 JEO458735:JEO458745 JEO524271:JEO524281 JEO589807:JEO589817 JEO655343:JEO655353 JEO720879:JEO720889 JEO786415:JEO786425 JEO851951:JEO851961 JEO917487:JEO917497 JEO983023:JEO983033 JNZ15:JNZ23 JNZ39:JNZ44 JNZ53:JNZ54 JNZ65534:JNZ65542 JNZ65560:JNZ65561 JNZ65580 JNZ65585 JNZ131070:JNZ131078 JNZ131096:JNZ131097 JNZ131116 JNZ131121 JNZ196606:JNZ196614 JNZ196632:JNZ196633 JNZ196652 JNZ196657 JNZ262142:JNZ262150 JNZ262168:JNZ262169 JNZ262188 JNZ262193 JNZ327678:JNZ327686 JNZ327704:JNZ327705 JNZ327724 JNZ327729 JNZ393214:JNZ393222 JNZ393240:JNZ393241 JNZ393260 JNZ393265 JNZ458750:JNZ458758 JNZ458776:JNZ458777 JNZ458796 JNZ458801 JNZ524286:JNZ524294 JNZ524312:JNZ524313 JNZ524332 JNZ524337 JNZ589822:JNZ589830 JNZ589848:JNZ589849 JNZ589868 JNZ589873 JNZ655358:JNZ655366 JNZ655384:JNZ655385 JNZ655404 JNZ655409 JNZ720894:JNZ720902 JNZ720920:JNZ720921 JNZ720940 JNZ720945 JNZ786430:JNZ786438 JNZ786456:JNZ786457 JNZ786476 JNZ786481 JNZ851966:JNZ851974 JNZ851992:JNZ851993 JNZ852012 JNZ852017 JNZ917502:JNZ917510 JNZ917528:JNZ917529 JNZ917548 JNZ917553 JNZ983038:JNZ983046 JNZ983064:JNZ983065 JNZ983084 JNZ983089 JOK65519:JOK65529 JOK131055:JOK131065 JOK196591:JOK196601 JOK262127:JOK262137 JOK327663:JOK327673 JOK393199:JOK393209 JOK458735:JOK458745 JOK524271:JOK524281 JOK589807:JOK589817 JOK655343:JOK655353 JOK720879:JOK720889 JOK786415:JOK786425 JOK851951:JOK851961 JOK917487:JOK917497 JOK983023:JOK983033 JXV15:JXV23 JXV39:JXV44 JXV53:JXV54 JXV65534:JXV65542 JXV65560:JXV65561 JXV65580 JXV65585 JXV131070:JXV131078 JXV131096:JXV131097 JXV131116 JXV131121 JXV196606:JXV196614 JXV196632:JXV196633 JXV196652 JXV196657 JXV262142:JXV262150 JXV262168:JXV262169 JXV262188 JXV262193 JXV327678:JXV327686 JXV327704:JXV327705 JXV327724 JXV327729 JXV393214:JXV393222 JXV393240:JXV393241 JXV393260 JXV393265 JXV458750:JXV458758 JXV458776:JXV458777 JXV458796 JXV458801 JXV524286:JXV524294 JXV524312:JXV524313 JXV524332 JXV524337 JXV589822:JXV589830 JXV589848:JXV589849 JXV589868 JXV589873 JXV655358:JXV655366 JXV655384:JXV655385 JXV655404 JXV655409 JXV720894:JXV720902 JXV720920:JXV720921 JXV720940 JXV720945 JXV786430:JXV786438 JXV786456:JXV786457 JXV786476 JXV786481 JXV851966:JXV851974 JXV851992:JXV851993 JXV852012 JXV852017 JXV917502:JXV917510 JXV917528:JXV917529 JXV917548 JXV917553 JXV983038:JXV983046 JXV983064:JXV983065 JXV983084 JXV983089 JYG65519:JYG65529 JYG131055:JYG131065 JYG196591:JYG196601 JYG262127:JYG262137 JYG327663:JYG327673 JYG393199:JYG393209 JYG458735:JYG458745 JYG524271:JYG524281 JYG589807:JYG589817 JYG655343:JYG655353 JYG720879:JYG720889 JYG786415:JYG786425 JYG851951:JYG851961 JYG917487:JYG917497 JYG983023:JYG983033 KHR15:KHR23 KHR39:KHR44 KHR53:KHR54 KHR65534:KHR65542 KHR65560:KHR65561 KHR65580 KHR65585 KHR131070:KHR131078 KHR131096:KHR131097 KHR131116 KHR131121 KHR196606:KHR196614 KHR196632:KHR196633 KHR196652 KHR196657 KHR262142:KHR262150 KHR262168:KHR262169 KHR262188 KHR262193 KHR327678:KHR327686 KHR327704:KHR327705 KHR327724 KHR327729 KHR393214:KHR393222 KHR393240:KHR393241 KHR393260 KHR393265 KHR458750:KHR458758 KHR458776:KHR458777 KHR458796 KHR458801 KHR524286:KHR524294 KHR524312:KHR524313 KHR524332 KHR524337 KHR589822:KHR589830 KHR589848:KHR589849 KHR589868 KHR589873 KHR655358:KHR655366 KHR655384:KHR655385 KHR655404 KHR655409 KHR720894:KHR720902 KHR720920:KHR720921 KHR720940 KHR720945 KHR786430:KHR786438 KHR786456:KHR786457 KHR786476 KHR786481 KHR851966:KHR851974 KHR851992:KHR851993 KHR852012 KHR852017 KHR917502:KHR917510 KHR917528:KHR917529 KHR917548 KHR917553 KHR983038:KHR983046 KHR983064:KHR983065 KHR983084 KHR983089 KIC65519:KIC65529 KIC131055:KIC131065 KIC196591:KIC196601 KIC262127:KIC262137 KIC327663:KIC327673 KIC393199:KIC393209 KIC458735:KIC458745 KIC524271:KIC524281 KIC589807:KIC589817 KIC655343:KIC655353 KIC720879:KIC720889 KIC786415:KIC786425 KIC851951:KIC851961 KIC917487:KIC917497 KIC983023:KIC983033 KRN15:KRN23 KRN39:KRN44 KRN53:KRN54 KRN65534:KRN65542 KRN65560:KRN65561 KRN65580 KRN65585 KRN131070:KRN131078 KRN131096:KRN131097 KRN131116 KRN131121 KRN196606:KRN196614 KRN196632:KRN196633 KRN196652 KRN196657 KRN262142:KRN262150 KRN262168:KRN262169 KRN262188 KRN262193 KRN327678:KRN327686 KRN327704:KRN327705 KRN327724 KRN327729 KRN393214:KRN393222 KRN393240:KRN393241 KRN393260 KRN393265 KRN458750:KRN458758 KRN458776:KRN458777 KRN458796 KRN458801 KRN524286:KRN524294 KRN524312:KRN524313 KRN524332 KRN524337 KRN589822:KRN589830 KRN589848:KRN589849 KRN589868 KRN589873 KRN655358:KRN655366 KRN655384:KRN655385 KRN655404 KRN655409 KRN720894:KRN720902 KRN720920:KRN720921 KRN720940 KRN720945 KRN786430:KRN786438 KRN786456:KRN786457 KRN786476 KRN786481 KRN851966:KRN851974 KRN851992:KRN851993 KRN852012 KRN852017 KRN917502:KRN917510 KRN917528:KRN917529 KRN917548 KRN917553 KRN983038:KRN983046 KRN983064:KRN983065 KRN983084 KRN983089 KRY65519:KRY65529 KRY131055:KRY131065 KRY196591:KRY196601 KRY262127:KRY262137 KRY327663:KRY327673 KRY393199:KRY393209 KRY458735:KRY458745 KRY524271:KRY524281 KRY589807:KRY589817 KRY655343:KRY655353 KRY720879:KRY720889 KRY786415:KRY786425 KRY851951:KRY851961 KRY917487:KRY917497 KRY983023:KRY983033 LBJ15:LBJ23 LBJ39:LBJ44 LBJ53:LBJ54 LBJ65534:LBJ65542 LBJ65560:LBJ65561 LBJ65580 LBJ65585 LBJ131070:LBJ131078 LBJ131096:LBJ131097 LBJ131116 LBJ131121 LBJ196606:LBJ196614 LBJ196632:LBJ196633 LBJ196652 LBJ196657 LBJ262142:LBJ262150 LBJ262168:LBJ262169 LBJ262188 LBJ262193 LBJ327678:LBJ327686 LBJ327704:LBJ327705 LBJ327724 LBJ327729 LBJ393214:LBJ393222 LBJ393240:LBJ393241 LBJ393260 LBJ393265 LBJ458750:LBJ458758 LBJ458776:LBJ458777 LBJ458796 LBJ458801 LBJ524286:LBJ524294 LBJ524312:LBJ524313 LBJ524332 LBJ524337 LBJ589822:LBJ589830 LBJ589848:LBJ589849 LBJ589868 LBJ589873 LBJ655358:LBJ655366 LBJ655384:LBJ655385 LBJ655404 LBJ655409 LBJ720894:LBJ720902 LBJ720920:LBJ720921 LBJ720940 LBJ720945 LBJ786430:LBJ786438 LBJ786456:LBJ786457 LBJ786476 LBJ786481 LBJ851966:LBJ851974 LBJ851992:LBJ851993 LBJ852012 LBJ852017 LBJ917502:LBJ917510 LBJ917528:LBJ917529 LBJ917548 LBJ917553 LBJ983038:LBJ983046 LBJ983064:LBJ983065 LBJ983084 LBJ983089 LBU65519:LBU65529 LBU131055:LBU131065 LBU196591:LBU196601 LBU262127:LBU262137 LBU327663:LBU327673 LBU393199:LBU393209 LBU458735:LBU458745 LBU524271:LBU524281 LBU589807:LBU589817 LBU655343:LBU655353 LBU720879:LBU720889 LBU786415:LBU786425 LBU851951:LBU851961 LBU917487:LBU917497 LBU983023:LBU983033 LLF15:LLF23 LLF39:LLF44 LLF53:LLF54 LLF65534:LLF65542 LLF65560:LLF65561 LLF65580 LLF65585 LLF131070:LLF131078 LLF131096:LLF131097 LLF131116 LLF131121 LLF196606:LLF196614 LLF196632:LLF196633 LLF196652 LLF196657 LLF262142:LLF262150 LLF262168:LLF262169 LLF262188 LLF262193 LLF327678:LLF327686 LLF327704:LLF327705 LLF327724 LLF327729 LLF393214:LLF393222 LLF393240:LLF393241 LLF393260 LLF393265 LLF458750:LLF458758 LLF458776:LLF458777 LLF458796 LLF458801 LLF524286:LLF524294 LLF524312:LLF524313 LLF524332 LLF524337 LLF589822:LLF589830 LLF589848:LLF589849 LLF589868 LLF589873 LLF655358:LLF655366 LLF655384:LLF655385 LLF655404 LLF655409 LLF720894:LLF720902 LLF720920:LLF720921 LLF720940 LLF720945 LLF786430:LLF786438 LLF786456:LLF786457 LLF786476 LLF786481 LLF851966:LLF851974 LLF851992:LLF851993 LLF852012 LLF852017 LLF917502:LLF917510 LLF917528:LLF917529 LLF917548 LLF917553 LLF983038:LLF983046 LLF983064:LLF983065 LLF983084 LLF983089 LLQ65519:LLQ65529 LLQ131055:LLQ131065 LLQ196591:LLQ196601 LLQ262127:LLQ262137 LLQ327663:LLQ327673 LLQ393199:LLQ393209 LLQ458735:LLQ458745 LLQ524271:LLQ524281 LLQ589807:LLQ589817 LLQ655343:LLQ655353 LLQ720879:LLQ720889 LLQ786415:LLQ786425 LLQ851951:LLQ851961 LLQ917487:LLQ917497 LLQ983023:LLQ983033 LVB15:LVB23 LVB39:LVB44 LVB53:LVB54 LVB65534:LVB65542 LVB65560:LVB65561 LVB65580 LVB65585 LVB131070:LVB131078 LVB131096:LVB131097 LVB131116 LVB131121 LVB196606:LVB196614 LVB196632:LVB196633 LVB196652 LVB196657 LVB262142:LVB262150 LVB262168:LVB262169 LVB262188 LVB262193 LVB327678:LVB327686 LVB327704:LVB327705 LVB327724 LVB327729 LVB393214:LVB393222 LVB393240:LVB393241 LVB393260 LVB393265 LVB458750:LVB458758 LVB458776:LVB458777 LVB458796 LVB458801 LVB524286:LVB524294 LVB524312:LVB524313 LVB524332 LVB524337 LVB589822:LVB589830 LVB589848:LVB589849 LVB589868 LVB589873 LVB655358:LVB655366 LVB655384:LVB655385 LVB655404 LVB655409 LVB720894:LVB720902 LVB720920:LVB720921 LVB720940 LVB720945 LVB786430:LVB786438 LVB786456:LVB786457 LVB786476 LVB786481 LVB851966:LVB851974 LVB851992:LVB851993 LVB852012 LVB852017 LVB917502:LVB917510 LVB917528:LVB917529 LVB917548 LVB917553 LVB983038:LVB983046 LVB983064:LVB983065 LVB983084 LVB983089 LVM65519:LVM65529 LVM131055:LVM131065 LVM196591:LVM196601 LVM262127:LVM262137 LVM327663:LVM327673 LVM393199:LVM393209 LVM458735:LVM458745 LVM524271:LVM524281 LVM589807:LVM589817 LVM655343:LVM655353 LVM720879:LVM720889 LVM786415:LVM786425 LVM851951:LVM851961 LVM917487:LVM917497 LVM983023:LVM983033 MEX15:MEX23 MEX39:MEX44 MEX53:MEX54 MEX65534:MEX65542 MEX65560:MEX65561 MEX65580 MEX65585 MEX131070:MEX131078 MEX131096:MEX131097 MEX131116 MEX131121 MEX196606:MEX196614 MEX196632:MEX196633 MEX196652 MEX196657 MEX262142:MEX262150 MEX262168:MEX262169 MEX262188 MEX262193 MEX327678:MEX327686 MEX327704:MEX327705 MEX327724 MEX327729 MEX393214:MEX393222 MEX393240:MEX393241 MEX393260 MEX393265 MEX458750:MEX458758 MEX458776:MEX458777 MEX458796 MEX458801 MEX524286:MEX524294 MEX524312:MEX524313 MEX524332 MEX524337 MEX589822:MEX589830 MEX589848:MEX589849 MEX589868 MEX589873 MEX655358:MEX655366 MEX655384:MEX655385 MEX655404 MEX655409 MEX720894:MEX720902 MEX720920:MEX720921 MEX720940 MEX720945 MEX786430:MEX786438 MEX786456:MEX786457 MEX786476 MEX786481 MEX851966:MEX851974 MEX851992:MEX851993 MEX852012 MEX852017 MEX917502:MEX917510 MEX917528:MEX917529 MEX917548 MEX917553 MEX983038:MEX983046 MEX983064:MEX983065 MEX983084 MEX983089 MFI65519:MFI65529 MFI131055:MFI131065 MFI196591:MFI196601 MFI262127:MFI262137 MFI327663:MFI327673 MFI393199:MFI393209 MFI458735:MFI458745 MFI524271:MFI524281 MFI589807:MFI589817 MFI655343:MFI655353 MFI720879:MFI720889 MFI786415:MFI786425 MFI851951:MFI851961 MFI917487:MFI917497 MFI983023:MFI983033 MOT15:MOT23 MOT39:MOT44 MOT53:MOT54 MOT65534:MOT65542 MOT65560:MOT65561 MOT65580 MOT65585 MOT131070:MOT131078 MOT131096:MOT131097 MOT131116 MOT131121 MOT196606:MOT196614 MOT196632:MOT196633 MOT196652 MOT196657 MOT262142:MOT262150 MOT262168:MOT262169 MOT262188 MOT262193 MOT327678:MOT327686 MOT327704:MOT327705 MOT327724 MOT327729 MOT393214:MOT393222 MOT393240:MOT393241 MOT393260 MOT393265 MOT458750:MOT458758 MOT458776:MOT458777 MOT458796 MOT458801 MOT524286:MOT524294 MOT524312:MOT524313 MOT524332 MOT524337 MOT589822:MOT589830 MOT589848:MOT589849 MOT589868 MOT589873 MOT655358:MOT655366 MOT655384:MOT655385 MOT655404 MOT655409 MOT720894:MOT720902 MOT720920:MOT720921 MOT720940 MOT720945 MOT786430:MOT786438 MOT786456:MOT786457 MOT786476 MOT786481 MOT851966:MOT851974 MOT851992:MOT851993 MOT852012 MOT852017 MOT917502:MOT917510 MOT917528:MOT917529 MOT917548 MOT917553 MOT983038:MOT983046 MOT983064:MOT983065 MOT983084 MOT983089 MPE65519:MPE65529 MPE131055:MPE131065 MPE196591:MPE196601 MPE262127:MPE262137 MPE327663:MPE327673 MPE393199:MPE393209 MPE458735:MPE458745 MPE524271:MPE524281 MPE589807:MPE589817 MPE655343:MPE655353 MPE720879:MPE720889 MPE786415:MPE786425 MPE851951:MPE851961 MPE917487:MPE917497 MPE983023:MPE983033 MYP15:MYP23 MYP39:MYP44 MYP53:MYP54 MYP65534:MYP65542 MYP65560:MYP65561 MYP65580 MYP65585 MYP131070:MYP131078 MYP131096:MYP131097 MYP131116 MYP131121 MYP196606:MYP196614 MYP196632:MYP196633 MYP196652 MYP196657 MYP262142:MYP262150 MYP262168:MYP262169 MYP262188 MYP262193 MYP327678:MYP327686 MYP327704:MYP327705 MYP327724 MYP327729 MYP393214:MYP393222 MYP393240:MYP393241 MYP393260 MYP393265 MYP458750:MYP458758 MYP458776:MYP458777 MYP458796 MYP458801 MYP524286:MYP524294 MYP524312:MYP524313 MYP524332 MYP524337 MYP589822:MYP589830 MYP589848:MYP589849 MYP589868 MYP589873 MYP655358:MYP655366 MYP655384:MYP655385 MYP655404 MYP655409 MYP720894:MYP720902 MYP720920:MYP720921 MYP720940 MYP720945 MYP786430:MYP786438 MYP786456:MYP786457 MYP786476 MYP786481 MYP851966:MYP851974 MYP851992:MYP851993 MYP852012 MYP852017 MYP917502:MYP917510 MYP917528:MYP917529 MYP917548 MYP917553 MYP983038:MYP983046 MYP983064:MYP983065 MYP983084 MYP983089 MZA65519:MZA65529 MZA131055:MZA131065 MZA196591:MZA196601 MZA262127:MZA262137 MZA327663:MZA327673 MZA393199:MZA393209 MZA458735:MZA458745 MZA524271:MZA524281 MZA589807:MZA589817 MZA655343:MZA655353 MZA720879:MZA720889 MZA786415:MZA786425 MZA851951:MZA851961 MZA917487:MZA917497 MZA983023:MZA983033 NIL15:NIL23 NIL39:NIL44 NIL53:NIL54 NIL65534:NIL65542 NIL65560:NIL65561 NIL65580 NIL65585 NIL131070:NIL131078 NIL131096:NIL131097 NIL131116 NIL131121 NIL196606:NIL196614 NIL196632:NIL196633 NIL196652 NIL196657 NIL262142:NIL262150 NIL262168:NIL262169 NIL262188 NIL262193 NIL327678:NIL327686 NIL327704:NIL327705 NIL327724 NIL327729 NIL393214:NIL393222 NIL393240:NIL393241 NIL393260 NIL393265 NIL458750:NIL458758 NIL458776:NIL458777 NIL458796 NIL458801 NIL524286:NIL524294 NIL524312:NIL524313 NIL524332 NIL524337 NIL589822:NIL589830 NIL589848:NIL589849 NIL589868 NIL589873 NIL655358:NIL655366 NIL655384:NIL655385 NIL655404 NIL655409 NIL720894:NIL720902 NIL720920:NIL720921 NIL720940 NIL720945 NIL786430:NIL786438 NIL786456:NIL786457 NIL786476 NIL786481 NIL851966:NIL851974 NIL851992:NIL851993 NIL852012 NIL852017 NIL917502:NIL917510 NIL917528:NIL917529 NIL917548 NIL917553 NIL983038:NIL983046 NIL983064:NIL983065 NIL983084 NIL983089 NIW65519:NIW65529 NIW131055:NIW131065 NIW196591:NIW196601 NIW262127:NIW262137 NIW327663:NIW327673 NIW393199:NIW393209 NIW458735:NIW458745 NIW524271:NIW524281 NIW589807:NIW589817 NIW655343:NIW655353 NIW720879:NIW720889 NIW786415:NIW786425 NIW851951:NIW851961 NIW917487:NIW917497 NIW983023:NIW983033 NSH15:NSH23 NSH39:NSH44 NSH53:NSH54 NSH65534:NSH65542 NSH65560:NSH65561 NSH65580 NSH65585 NSH131070:NSH131078 NSH131096:NSH131097 NSH131116 NSH131121 NSH196606:NSH196614 NSH196632:NSH196633 NSH196652 NSH196657 NSH262142:NSH262150 NSH262168:NSH262169 NSH262188 NSH262193 NSH327678:NSH327686 NSH327704:NSH327705 NSH327724 NSH327729 NSH393214:NSH393222 NSH393240:NSH393241 NSH393260 NSH393265 NSH458750:NSH458758 NSH458776:NSH458777 NSH458796 NSH458801 NSH524286:NSH524294 NSH524312:NSH524313 NSH524332 NSH524337 NSH589822:NSH589830 NSH589848:NSH589849 NSH589868 NSH589873 NSH655358:NSH655366 NSH655384:NSH655385 NSH655404 NSH655409 NSH720894:NSH720902 NSH720920:NSH720921 NSH720940 NSH720945 NSH786430:NSH786438 NSH786456:NSH786457 NSH786476 NSH786481 NSH851966:NSH851974 NSH851992:NSH851993 NSH852012 NSH852017 NSH917502:NSH917510 NSH917528:NSH917529 NSH917548 NSH917553 NSH983038:NSH983046 NSH983064:NSH983065 NSH983084 NSH983089 NSS65519:NSS65529 NSS131055:NSS131065 NSS196591:NSS196601 NSS262127:NSS262137 NSS327663:NSS327673 NSS393199:NSS393209 NSS458735:NSS458745 NSS524271:NSS524281 NSS589807:NSS589817 NSS655343:NSS655353 NSS720879:NSS720889 NSS786415:NSS786425 NSS851951:NSS851961 NSS917487:NSS917497 NSS983023:NSS983033 OCD15:OCD23 OCD39:OCD44 OCD53:OCD54 OCD65534:OCD65542 OCD65560:OCD65561 OCD65580 OCD65585 OCD131070:OCD131078 OCD131096:OCD131097 OCD131116 OCD131121 OCD196606:OCD196614 OCD196632:OCD196633 OCD196652 OCD196657 OCD262142:OCD262150 OCD262168:OCD262169 OCD262188 OCD262193 OCD327678:OCD327686 OCD327704:OCD327705 OCD327724 OCD327729 OCD393214:OCD393222 OCD393240:OCD393241 OCD393260 OCD393265 OCD458750:OCD458758 OCD458776:OCD458777 OCD458796 OCD458801 OCD524286:OCD524294 OCD524312:OCD524313 OCD524332 OCD524337 OCD589822:OCD589830 OCD589848:OCD589849 OCD589868 OCD589873 OCD655358:OCD655366 OCD655384:OCD655385 OCD655404 OCD655409 OCD720894:OCD720902 OCD720920:OCD720921 OCD720940 OCD720945 OCD786430:OCD786438 OCD786456:OCD786457 OCD786476 OCD786481 OCD851966:OCD851974 OCD851992:OCD851993 OCD852012 OCD852017 OCD917502:OCD917510 OCD917528:OCD917529 OCD917548 OCD917553 OCD983038:OCD983046 OCD983064:OCD983065 OCD983084 OCD983089 OCO65519:OCO65529 OCO131055:OCO131065 OCO196591:OCO196601 OCO262127:OCO262137 OCO327663:OCO327673 OCO393199:OCO393209 OCO458735:OCO458745 OCO524271:OCO524281 OCO589807:OCO589817 OCO655343:OCO655353 OCO720879:OCO720889 OCO786415:OCO786425 OCO851951:OCO851961 OCO917487:OCO917497 OCO983023:OCO983033 OLZ15:OLZ23 OLZ39:OLZ44 OLZ53:OLZ54 OLZ65534:OLZ65542 OLZ65560:OLZ65561 OLZ65580 OLZ65585 OLZ131070:OLZ131078 OLZ131096:OLZ131097 OLZ131116 OLZ131121 OLZ196606:OLZ196614 OLZ196632:OLZ196633 OLZ196652 OLZ196657 OLZ262142:OLZ262150 OLZ262168:OLZ262169 OLZ262188 OLZ262193 OLZ327678:OLZ327686 OLZ327704:OLZ327705 OLZ327724 OLZ327729 OLZ393214:OLZ393222 OLZ393240:OLZ393241 OLZ393260 OLZ393265 OLZ458750:OLZ458758 OLZ458776:OLZ458777 OLZ458796 OLZ458801 OLZ524286:OLZ524294 OLZ524312:OLZ524313 OLZ524332 OLZ524337 OLZ589822:OLZ589830 OLZ589848:OLZ589849 OLZ589868 OLZ589873 OLZ655358:OLZ655366 OLZ655384:OLZ655385 OLZ655404 OLZ655409 OLZ720894:OLZ720902 OLZ720920:OLZ720921 OLZ720940 OLZ720945 OLZ786430:OLZ786438 OLZ786456:OLZ786457 OLZ786476 OLZ786481 OLZ851966:OLZ851974 OLZ851992:OLZ851993 OLZ852012 OLZ852017 OLZ917502:OLZ917510 OLZ917528:OLZ917529 OLZ917548 OLZ917553 OLZ983038:OLZ983046 OLZ983064:OLZ983065 OLZ983084 OLZ983089 OMK65519:OMK65529 OMK131055:OMK131065 OMK196591:OMK196601 OMK262127:OMK262137 OMK327663:OMK327673 OMK393199:OMK393209 OMK458735:OMK458745 OMK524271:OMK524281 OMK589807:OMK589817 OMK655343:OMK655353 OMK720879:OMK720889 OMK786415:OMK786425 OMK851951:OMK851961 OMK917487:OMK917497 OMK983023:OMK983033 OVV15:OVV23 OVV39:OVV44 OVV53:OVV54 OVV65534:OVV65542 OVV65560:OVV65561 OVV65580 OVV65585 OVV131070:OVV131078 OVV131096:OVV131097 OVV131116 OVV131121 OVV196606:OVV196614 OVV196632:OVV196633 OVV196652 OVV196657 OVV262142:OVV262150 OVV262168:OVV262169 OVV262188 OVV262193 OVV327678:OVV327686 OVV327704:OVV327705 OVV327724 OVV327729 OVV393214:OVV393222 OVV393240:OVV393241 OVV393260 OVV393265 OVV458750:OVV458758 OVV458776:OVV458777 OVV458796 OVV458801 OVV524286:OVV524294 OVV524312:OVV524313 OVV524332 OVV524337 OVV589822:OVV589830 OVV589848:OVV589849 OVV589868 OVV589873 OVV655358:OVV655366 OVV655384:OVV655385 OVV655404 OVV655409 OVV720894:OVV720902 OVV720920:OVV720921 OVV720940 OVV720945 OVV786430:OVV786438 OVV786456:OVV786457 OVV786476 OVV786481 OVV851966:OVV851974 OVV851992:OVV851993 OVV852012 OVV852017 OVV917502:OVV917510 OVV917528:OVV917529 OVV917548 OVV917553 OVV983038:OVV983046 OVV983064:OVV983065 OVV983084 OVV983089 OWG65519:OWG65529 OWG131055:OWG131065 OWG196591:OWG196601 OWG262127:OWG262137 OWG327663:OWG327673 OWG393199:OWG393209 OWG458735:OWG458745 OWG524271:OWG524281 OWG589807:OWG589817 OWG655343:OWG655353 OWG720879:OWG720889 OWG786415:OWG786425 OWG851951:OWG851961 OWG917487:OWG917497 OWG983023:OWG983033 PFR15:PFR23 PFR39:PFR44 PFR53:PFR54 PFR65534:PFR65542 PFR65560:PFR65561 PFR65580 PFR65585 PFR131070:PFR131078 PFR131096:PFR131097 PFR131116 PFR131121 PFR196606:PFR196614 PFR196632:PFR196633 PFR196652 PFR196657 PFR262142:PFR262150 PFR262168:PFR262169 PFR262188 PFR262193 PFR327678:PFR327686 PFR327704:PFR327705 PFR327724 PFR327729 PFR393214:PFR393222 PFR393240:PFR393241 PFR393260 PFR393265 PFR458750:PFR458758 PFR458776:PFR458777 PFR458796 PFR458801 PFR524286:PFR524294 PFR524312:PFR524313 PFR524332 PFR524337 PFR589822:PFR589830 PFR589848:PFR589849 PFR589868 PFR589873 PFR655358:PFR655366 PFR655384:PFR655385 PFR655404 PFR655409 PFR720894:PFR720902 PFR720920:PFR720921 PFR720940 PFR720945 PFR786430:PFR786438 PFR786456:PFR786457 PFR786476 PFR786481 PFR851966:PFR851974 PFR851992:PFR851993 PFR852012 PFR852017 PFR917502:PFR917510 PFR917528:PFR917529 PFR917548 PFR917553 PFR983038:PFR983046 PFR983064:PFR983065 PFR983084 PFR983089 PGC65519:PGC65529 PGC131055:PGC131065 PGC196591:PGC196601 PGC262127:PGC262137 PGC327663:PGC327673 PGC393199:PGC393209 PGC458735:PGC458745 PGC524271:PGC524281 PGC589807:PGC589817 PGC655343:PGC655353 PGC720879:PGC720889 PGC786415:PGC786425 PGC851951:PGC851961 PGC917487:PGC917497 PGC983023:PGC983033 PPN15:PPN23 PPN39:PPN44 PPN53:PPN54 PPN65534:PPN65542 PPN65560:PPN65561 PPN65580 PPN65585 PPN131070:PPN131078 PPN131096:PPN131097 PPN131116 PPN131121 PPN196606:PPN196614 PPN196632:PPN196633 PPN196652 PPN196657 PPN262142:PPN262150 PPN262168:PPN262169 PPN262188 PPN262193 PPN327678:PPN327686 PPN327704:PPN327705 PPN327724 PPN327729 PPN393214:PPN393222 PPN393240:PPN393241 PPN393260 PPN393265 PPN458750:PPN458758 PPN458776:PPN458777 PPN458796 PPN458801 PPN524286:PPN524294 PPN524312:PPN524313 PPN524332 PPN524337 PPN589822:PPN589830 PPN589848:PPN589849 PPN589868 PPN589873 PPN655358:PPN655366 PPN655384:PPN655385 PPN655404 PPN655409 PPN720894:PPN720902 PPN720920:PPN720921 PPN720940 PPN720945 PPN786430:PPN786438 PPN786456:PPN786457 PPN786476 PPN786481 PPN851966:PPN851974 PPN851992:PPN851993 PPN852012 PPN852017 PPN917502:PPN917510 PPN917528:PPN917529 PPN917548 PPN917553 PPN983038:PPN983046 PPN983064:PPN983065 PPN983084 PPN983089 PPY65519:PPY65529 PPY131055:PPY131065 PPY196591:PPY196601 PPY262127:PPY262137 PPY327663:PPY327673 PPY393199:PPY393209 PPY458735:PPY458745 PPY524271:PPY524281 PPY589807:PPY589817 PPY655343:PPY655353 PPY720879:PPY720889 PPY786415:PPY786425 PPY851951:PPY851961 PPY917487:PPY917497 PPY983023:PPY983033 PZJ15:PZJ23 PZJ39:PZJ44 PZJ53:PZJ54 PZJ65534:PZJ65542 PZJ65560:PZJ65561 PZJ65580 PZJ65585 PZJ131070:PZJ131078 PZJ131096:PZJ131097 PZJ131116 PZJ131121 PZJ196606:PZJ196614 PZJ196632:PZJ196633 PZJ196652 PZJ196657 PZJ262142:PZJ262150 PZJ262168:PZJ262169 PZJ262188 PZJ262193 PZJ327678:PZJ327686 PZJ327704:PZJ327705 PZJ327724 PZJ327729 PZJ393214:PZJ393222 PZJ393240:PZJ393241 PZJ393260 PZJ393265 PZJ458750:PZJ458758 PZJ458776:PZJ458777 PZJ458796 PZJ458801 PZJ524286:PZJ524294 PZJ524312:PZJ524313 PZJ524332 PZJ524337 PZJ589822:PZJ589830 PZJ589848:PZJ589849 PZJ589868 PZJ589873 PZJ655358:PZJ655366 PZJ655384:PZJ655385 PZJ655404 PZJ655409 PZJ720894:PZJ720902 PZJ720920:PZJ720921 PZJ720940 PZJ720945 PZJ786430:PZJ786438 PZJ786456:PZJ786457 PZJ786476 PZJ786481 PZJ851966:PZJ851974 PZJ851992:PZJ851993 PZJ852012 PZJ852017 PZJ917502:PZJ917510 PZJ917528:PZJ917529 PZJ917548 PZJ917553 PZJ983038:PZJ983046 PZJ983064:PZJ983065 PZJ983084 PZJ983089 PZU65519:PZU65529 PZU131055:PZU131065 PZU196591:PZU196601 PZU262127:PZU262137 PZU327663:PZU327673 PZU393199:PZU393209 PZU458735:PZU458745 PZU524271:PZU524281 PZU589807:PZU589817 PZU655343:PZU655353 PZU720879:PZU720889 PZU786415:PZU786425 PZU851951:PZU851961 PZU917487:PZU917497 PZU983023:PZU983033 QJF15:QJF23 QJF39:QJF44 QJF53:QJF54 QJF65534:QJF65542 QJF65560:QJF65561 QJF65580 QJF65585 QJF131070:QJF131078 QJF131096:QJF131097 QJF131116 QJF131121 QJF196606:QJF196614 QJF196632:QJF196633 QJF196652 QJF196657 QJF262142:QJF262150 QJF262168:QJF262169 QJF262188 QJF262193 QJF327678:QJF327686 QJF327704:QJF327705 QJF327724 QJF327729 QJF393214:QJF393222 QJF393240:QJF393241 QJF393260 QJF393265 QJF458750:QJF458758 QJF458776:QJF458777 QJF458796 QJF458801 QJF524286:QJF524294 QJF524312:QJF524313 QJF524332 QJF524337 QJF589822:QJF589830 QJF589848:QJF589849 QJF589868 QJF589873 QJF655358:QJF655366 QJF655384:QJF655385 QJF655404 QJF655409 QJF720894:QJF720902 QJF720920:QJF720921 QJF720940 QJF720945 QJF786430:QJF786438 QJF786456:QJF786457 QJF786476 QJF786481 QJF851966:QJF851974 QJF851992:QJF851993 QJF852012 QJF852017 QJF917502:QJF917510 QJF917528:QJF917529 QJF917548 QJF917553 QJF983038:QJF983046 QJF983064:QJF983065 QJF983084 QJF983089 QJQ65519:QJQ65529 QJQ131055:QJQ131065 QJQ196591:QJQ196601 QJQ262127:QJQ262137 QJQ327663:QJQ327673 QJQ393199:QJQ393209 QJQ458735:QJQ458745 QJQ524271:QJQ524281 QJQ589807:QJQ589817 QJQ655343:QJQ655353 QJQ720879:QJQ720889 QJQ786415:QJQ786425 QJQ851951:QJQ851961 QJQ917487:QJQ917497 QJQ983023:QJQ983033 QTB15:QTB23 QTB39:QTB44 QTB53:QTB54 QTB65534:QTB65542 QTB65560:QTB65561 QTB65580 QTB65585 QTB131070:QTB131078 QTB131096:QTB131097 QTB131116 QTB131121 QTB196606:QTB196614 QTB196632:QTB196633 QTB196652 QTB196657 QTB262142:QTB262150 QTB262168:QTB262169 QTB262188 QTB262193 QTB327678:QTB327686 QTB327704:QTB327705 QTB327724 QTB327729 QTB393214:QTB393222 QTB393240:QTB393241 QTB393260 QTB393265 QTB458750:QTB458758 QTB458776:QTB458777 QTB458796 QTB458801 QTB524286:QTB524294 QTB524312:QTB524313 QTB524332 QTB524337 QTB589822:QTB589830 QTB589848:QTB589849 QTB589868 QTB589873 QTB655358:QTB655366 QTB655384:QTB655385 QTB655404 QTB655409 QTB720894:QTB720902 QTB720920:QTB720921 QTB720940 QTB720945 QTB786430:QTB786438 QTB786456:QTB786457 QTB786476 QTB786481 QTB851966:QTB851974 QTB851992:QTB851993 QTB852012 QTB852017 QTB917502:QTB917510 QTB917528:QTB917529 QTB917548 QTB917553 QTB983038:QTB983046 QTB983064:QTB983065 QTB983084 QTB983089 QTM65519:QTM65529 QTM131055:QTM131065 QTM196591:QTM196601 QTM262127:QTM262137 QTM327663:QTM327673 QTM393199:QTM393209 QTM458735:QTM458745 QTM524271:QTM524281 QTM589807:QTM589817 QTM655343:QTM655353 QTM720879:QTM720889 QTM786415:QTM786425 QTM851951:QTM851961 QTM917487:QTM917497 QTM983023:QTM983033 RCX15:RCX23 RCX39:RCX44 RCX53:RCX54 RCX65534:RCX65542 RCX65560:RCX65561 RCX65580 RCX65585 RCX131070:RCX131078 RCX131096:RCX131097 RCX131116 RCX131121 RCX196606:RCX196614 RCX196632:RCX196633 RCX196652 RCX196657 RCX262142:RCX262150 RCX262168:RCX262169 RCX262188 RCX262193 RCX327678:RCX327686 RCX327704:RCX327705 RCX327724 RCX327729 RCX393214:RCX393222 RCX393240:RCX393241 RCX393260 RCX393265 RCX458750:RCX458758 RCX458776:RCX458777 RCX458796 RCX458801 RCX524286:RCX524294 RCX524312:RCX524313 RCX524332 RCX524337 RCX589822:RCX589830 RCX589848:RCX589849 RCX589868 RCX589873 RCX655358:RCX655366 RCX655384:RCX655385 RCX655404 RCX655409 RCX720894:RCX720902 RCX720920:RCX720921 RCX720940 RCX720945 RCX786430:RCX786438 RCX786456:RCX786457 RCX786476 RCX786481 RCX851966:RCX851974 RCX851992:RCX851993 RCX852012 RCX852017 RCX917502:RCX917510 RCX917528:RCX917529 RCX917548 RCX917553 RCX983038:RCX983046 RCX983064:RCX983065 RCX983084 RCX983089 RDI65519:RDI65529 RDI131055:RDI131065 RDI196591:RDI196601 RDI262127:RDI262137 RDI327663:RDI327673 RDI393199:RDI393209 RDI458735:RDI458745 RDI524271:RDI524281 RDI589807:RDI589817 RDI655343:RDI655353 RDI720879:RDI720889 RDI786415:RDI786425 RDI851951:RDI851961 RDI917487:RDI917497 RDI983023:RDI983033 RMT15:RMT23 RMT39:RMT44 RMT53:RMT54 RMT65534:RMT65542 RMT65560:RMT65561 RMT65580 RMT65585 RMT131070:RMT131078 RMT131096:RMT131097 RMT131116 RMT131121 RMT196606:RMT196614 RMT196632:RMT196633 RMT196652 RMT196657 RMT262142:RMT262150 RMT262168:RMT262169 RMT262188 RMT262193 RMT327678:RMT327686 RMT327704:RMT327705 RMT327724 RMT327729 RMT393214:RMT393222 RMT393240:RMT393241 RMT393260 RMT393265 RMT458750:RMT458758 RMT458776:RMT458777 RMT458796 RMT458801 RMT524286:RMT524294 RMT524312:RMT524313 RMT524332 RMT524337 RMT589822:RMT589830 RMT589848:RMT589849 RMT589868 RMT589873 RMT655358:RMT655366 RMT655384:RMT655385 RMT655404 RMT655409 RMT720894:RMT720902 RMT720920:RMT720921 RMT720940 RMT720945 RMT786430:RMT786438 RMT786456:RMT786457 RMT786476 RMT786481 RMT851966:RMT851974 RMT851992:RMT851993 RMT852012 RMT852017 RMT917502:RMT917510 RMT917528:RMT917529 RMT917548 RMT917553 RMT983038:RMT983046 RMT983064:RMT983065 RMT983084 RMT983089 RNE65519:RNE65529 RNE131055:RNE131065 RNE196591:RNE196601 RNE262127:RNE262137 RNE327663:RNE327673 RNE393199:RNE393209 RNE458735:RNE458745 RNE524271:RNE524281 RNE589807:RNE589817 RNE655343:RNE655353 RNE720879:RNE720889 RNE786415:RNE786425 RNE851951:RNE851961 RNE917487:RNE917497 RNE983023:RNE983033 RWP15:RWP23 RWP39:RWP44 RWP53:RWP54 RWP65534:RWP65542 RWP65560:RWP65561 RWP65580 RWP65585 RWP131070:RWP131078 RWP131096:RWP131097 RWP131116 RWP131121 RWP196606:RWP196614 RWP196632:RWP196633 RWP196652 RWP196657 RWP262142:RWP262150 RWP262168:RWP262169 RWP262188 RWP262193 RWP327678:RWP327686 RWP327704:RWP327705 RWP327724 RWP327729 RWP393214:RWP393222 RWP393240:RWP393241 RWP393260 RWP393265 RWP458750:RWP458758 RWP458776:RWP458777 RWP458796 RWP458801 RWP524286:RWP524294 RWP524312:RWP524313 RWP524332 RWP524337 RWP589822:RWP589830 RWP589848:RWP589849 RWP589868 RWP589873 RWP655358:RWP655366 RWP655384:RWP655385 RWP655404 RWP655409 RWP720894:RWP720902 RWP720920:RWP720921 RWP720940 RWP720945 RWP786430:RWP786438 RWP786456:RWP786457 RWP786476 RWP786481 RWP851966:RWP851974 RWP851992:RWP851993 RWP852012 RWP852017 RWP917502:RWP917510 RWP917528:RWP917529 RWP917548 RWP917553 RWP983038:RWP983046 RWP983064:RWP983065 RWP983084 RWP983089 RXA65519:RXA65529 RXA131055:RXA131065 RXA196591:RXA196601 RXA262127:RXA262137 RXA327663:RXA327673 RXA393199:RXA393209 RXA458735:RXA458745 RXA524271:RXA524281 RXA589807:RXA589817 RXA655343:RXA655353 RXA720879:RXA720889 RXA786415:RXA786425 RXA851951:RXA851961 RXA917487:RXA917497 RXA983023:RXA983033 SGL15:SGL23 SGL39:SGL44 SGL53:SGL54 SGL65534:SGL65542 SGL65560:SGL65561 SGL65580 SGL65585 SGL131070:SGL131078 SGL131096:SGL131097 SGL131116 SGL131121 SGL196606:SGL196614 SGL196632:SGL196633 SGL196652 SGL196657 SGL262142:SGL262150 SGL262168:SGL262169 SGL262188 SGL262193 SGL327678:SGL327686 SGL327704:SGL327705 SGL327724 SGL327729 SGL393214:SGL393222 SGL393240:SGL393241 SGL393260 SGL393265 SGL458750:SGL458758 SGL458776:SGL458777 SGL458796 SGL458801 SGL524286:SGL524294 SGL524312:SGL524313 SGL524332 SGL524337 SGL589822:SGL589830 SGL589848:SGL589849 SGL589868 SGL589873 SGL655358:SGL655366 SGL655384:SGL655385 SGL655404 SGL655409 SGL720894:SGL720902 SGL720920:SGL720921 SGL720940 SGL720945 SGL786430:SGL786438 SGL786456:SGL786457 SGL786476 SGL786481 SGL851966:SGL851974 SGL851992:SGL851993 SGL852012 SGL852017 SGL917502:SGL917510 SGL917528:SGL917529 SGL917548 SGL917553 SGL983038:SGL983046 SGL983064:SGL983065 SGL983084 SGL983089 SGW65519:SGW65529 SGW131055:SGW131065 SGW196591:SGW196601 SGW262127:SGW262137 SGW327663:SGW327673 SGW393199:SGW393209 SGW458735:SGW458745 SGW524271:SGW524281 SGW589807:SGW589817 SGW655343:SGW655353 SGW720879:SGW720889 SGW786415:SGW786425 SGW851951:SGW851961 SGW917487:SGW917497 SGW983023:SGW983033 SQH15:SQH23 SQH39:SQH44 SQH53:SQH54 SQH65534:SQH65542 SQH65560:SQH65561 SQH65580 SQH65585 SQH131070:SQH131078 SQH131096:SQH131097 SQH131116 SQH131121 SQH196606:SQH196614 SQH196632:SQH196633 SQH196652 SQH196657 SQH262142:SQH262150 SQH262168:SQH262169 SQH262188 SQH262193 SQH327678:SQH327686 SQH327704:SQH327705 SQH327724 SQH327729 SQH393214:SQH393222 SQH393240:SQH393241 SQH393260 SQH393265 SQH458750:SQH458758 SQH458776:SQH458777 SQH458796 SQH458801 SQH524286:SQH524294 SQH524312:SQH524313 SQH524332 SQH524337 SQH589822:SQH589830 SQH589848:SQH589849 SQH589868 SQH589873 SQH655358:SQH655366 SQH655384:SQH655385 SQH655404 SQH655409 SQH720894:SQH720902 SQH720920:SQH720921 SQH720940 SQH720945 SQH786430:SQH786438 SQH786456:SQH786457 SQH786476 SQH786481 SQH851966:SQH851974 SQH851992:SQH851993 SQH852012 SQH852017 SQH917502:SQH917510 SQH917528:SQH917529 SQH917548 SQH917553 SQH983038:SQH983046 SQH983064:SQH983065 SQH983084 SQH983089 SQS65519:SQS65529 SQS131055:SQS131065 SQS196591:SQS196601 SQS262127:SQS262137 SQS327663:SQS327673 SQS393199:SQS393209 SQS458735:SQS458745 SQS524271:SQS524281 SQS589807:SQS589817 SQS655343:SQS655353 SQS720879:SQS720889 SQS786415:SQS786425 SQS851951:SQS851961 SQS917487:SQS917497 SQS983023:SQS983033 TAD15:TAD23 TAD39:TAD44 TAD53:TAD54 TAD65534:TAD65542 TAD65560:TAD65561 TAD65580 TAD65585 TAD131070:TAD131078 TAD131096:TAD131097 TAD131116 TAD131121 TAD196606:TAD196614 TAD196632:TAD196633 TAD196652 TAD196657 TAD262142:TAD262150 TAD262168:TAD262169 TAD262188 TAD262193 TAD327678:TAD327686 TAD327704:TAD327705 TAD327724 TAD327729 TAD393214:TAD393222 TAD393240:TAD393241 TAD393260 TAD393265 TAD458750:TAD458758 TAD458776:TAD458777 TAD458796 TAD458801 TAD524286:TAD524294 TAD524312:TAD524313 TAD524332 TAD524337 TAD589822:TAD589830 TAD589848:TAD589849 TAD589868 TAD589873 TAD655358:TAD655366 TAD655384:TAD655385 TAD655404 TAD655409 TAD720894:TAD720902 TAD720920:TAD720921 TAD720940 TAD720945 TAD786430:TAD786438 TAD786456:TAD786457 TAD786476 TAD786481 TAD851966:TAD851974 TAD851992:TAD851993 TAD852012 TAD852017 TAD917502:TAD917510 TAD917528:TAD917529 TAD917548 TAD917553 TAD983038:TAD983046 TAD983064:TAD983065 TAD983084 TAD983089 TAO65519:TAO65529 TAO131055:TAO131065 TAO196591:TAO196601 TAO262127:TAO262137 TAO327663:TAO327673 TAO393199:TAO393209 TAO458735:TAO458745 TAO524271:TAO524281 TAO589807:TAO589817 TAO655343:TAO655353 TAO720879:TAO720889 TAO786415:TAO786425 TAO851951:TAO851961 TAO917487:TAO917497 TAO983023:TAO983033 TJZ15:TJZ23 TJZ39:TJZ44 TJZ53:TJZ54 TJZ65534:TJZ65542 TJZ65560:TJZ65561 TJZ65580 TJZ65585 TJZ131070:TJZ131078 TJZ131096:TJZ131097 TJZ131116 TJZ131121 TJZ196606:TJZ196614 TJZ196632:TJZ196633 TJZ196652 TJZ196657 TJZ262142:TJZ262150 TJZ262168:TJZ262169 TJZ262188 TJZ262193 TJZ327678:TJZ327686 TJZ327704:TJZ327705 TJZ327724 TJZ327729 TJZ393214:TJZ393222 TJZ393240:TJZ393241 TJZ393260 TJZ393265 TJZ458750:TJZ458758 TJZ458776:TJZ458777 TJZ458796 TJZ458801 TJZ524286:TJZ524294 TJZ524312:TJZ524313 TJZ524332 TJZ524337 TJZ589822:TJZ589830 TJZ589848:TJZ589849 TJZ589868 TJZ589873 TJZ655358:TJZ655366 TJZ655384:TJZ655385 TJZ655404 TJZ655409 TJZ720894:TJZ720902 TJZ720920:TJZ720921 TJZ720940 TJZ720945 TJZ786430:TJZ786438 TJZ786456:TJZ786457 TJZ786476 TJZ786481 TJZ851966:TJZ851974 TJZ851992:TJZ851993 TJZ852012 TJZ852017 TJZ917502:TJZ917510 TJZ917528:TJZ917529 TJZ917548 TJZ917553 TJZ983038:TJZ983046 TJZ983064:TJZ983065 TJZ983084 TJZ983089 TKK65519:TKK65529 TKK131055:TKK131065 TKK196591:TKK196601 TKK262127:TKK262137 TKK327663:TKK327673 TKK393199:TKK393209 TKK458735:TKK458745 TKK524271:TKK524281 TKK589807:TKK589817 TKK655343:TKK655353 TKK720879:TKK720889 TKK786415:TKK786425 TKK851951:TKK851961 TKK917487:TKK917497 TKK983023:TKK983033 TTV15:TTV23 TTV39:TTV44 TTV53:TTV54 TTV65534:TTV65542 TTV65560:TTV65561 TTV65580 TTV65585 TTV131070:TTV131078 TTV131096:TTV131097 TTV131116 TTV131121 TTV196606:TTV196614 TTV196632:TTV196633 TTV196652 TTV196657 TTV262142:TTV262150 TTV262168:TTV262169 TTV262188 TTV262193 TTV327678:TTV327686 TTV327704:TTV327705 TTV327724 TTV327729 TTV393214:TTV393222 TTV393240:TTV393241 TTV393260 TTV393265 TTV458750:TTV458758 TTV458776:TTV458777 TTV458796 TTV458801 TTV524286:TTV524294 TTV524312:TTV524313 TTV524332 TTV524337 TTV589822:TTV589830 TTV589848:TTV589849 TTV589868 TTV589873 TTV655358:TTV655366 TTV655384:TTV655385 TTV655404 TTV655409 TTV720894:TTV720902 TTV720920:TTV720921 TTV720940 TTV720945 TTV786430:TTV786438 TTV786456:TTV786457 TTV786476 TTV786481 TTV851966:TTV851974 TTV851992:TTV851993 TTV852012 TTV852017 TTV917502:TTV917510 TTV917528:TTV917529 TTV917548 TTV917553 TTV983038:TTV983046 TTV983064:TTV983065 TTV983084 TTV983089 TUG65519:TUG65529 TUG131055:TUG131065 TUG196591:TUG196601 TUG262127:TUG262137 TUG327663:TUG327673 TUG393199:TUG393209 TUG458735:TUG458745 TUG524271:TUG524281 TUG589807:TUG589817 TUG655343:TUG655353 TUG720879:TUG720889 TUG786415:TUG786425 TUG851951:TUG851961 TUG917487:TUG917497 TUG983023:TUG983033 UDR15:UDR23 UDR39:UDR44 UDR53:UDR54 UDR65534:UDR65542 UDR65560:UDR65561 UDR65580 UDR65585 UDR131070:UDR131078 UDR131096:UDR131097 UDR131116 UDR131121 UDR196606:UDR196614 UDR196632:UDR196633 UDR196652 UDR196657 UDR262142:UDR262150 UDR262168:UDR262169 UDR262188 UDR262193 UDR327678:UDR327686 UDR327704:UDR327705 UDR327724 UDR327729 UDR393214:UDR393222 UDR393240:UDR393241 UDR393260 UDR393265 UDR458750:UDR458758 UDR458776:UDR458777 UDR458796 UDR458801 UDR524286:UDR524294 UDR524312:UDR524313 UDR524332 UDR524337 UDR589822:UDR589830 UDR589848:UDR589849 UDR589868 UDR589873 UDR655358:UDR655366 UDR655384:UDR655385 UDR655404 UDR655409 UDR720894:UDR720902 UDR720920:UDR720921 UDR720940 UDR720945 UDR786430:UDR786438 UDR786456:UDR786457 UDR786476 UDR786481 UDR851966:UDR851974 UDR851992:UDR851993 UDR852012 UDR852017 UDR917502:UDR917510 UDR917528:UDR917529 UDR917548 UDR917553 UDR983038:UDR983046 UDR983064:UDR983065 UDR983084 UDR983089 UEC65519:UEC65529 UEC131055:UEC131065 UEC196591:UEC196601 UEC262127:UEC262137 UEC327663:UEC327673 UEC393199:UEC393209 UEC458735:UEC458745 UEC524271:UEC524281 UEC589807:UEC589817 UEC655343:UEC655353 UEC720879:UEC720889 UEC786415:UEC786425 UEC851951:UEC851961 UEC917487:UEC917497 UEC983023:UEC983033 UNN15:UNN23 UNN39:UNN44 UNN53:UNN54 UNN65534:UNN65542 UNN65560:UNN65561 UNN65580 UNN65585 UNN131070:UNN131078 UNN131096:UNN131097 UNN131116 UNN131121 UNN196606:UNN196614 UNN196632:UNN196633 UNN196652 UNN196657 UNN262142:UNN262150 UNN262168:UNN262169 UNN262188 UNN262193 UNN327678:UNN327686 UNN327704:UNN327705 UNN327724 UNN327729 UNN393214:UNN393222 UNN393240:UNN393241 UNN393260 UNN393265 UNN458750:UNN458758 UNN458776:UNN458777 UNN458796 UNN458801 UNN524286:UNN524294 UNN524312:UNN524313 UNN524332 UNN524337 UNN589822:UNN589830 UNN589848:UNN589849 UNN589868 UNN589873 UNN655358:UNN655366 UNN655384:UNN655385 UNN655404 UNN655409 UNN720894:UNN720902 UNN720920:UNN720921 UNN720940 UNN720945 UNN786430:UNN786438 UNN786456:UNN786457 UNN786476 UNN786481 UNN851966:UNN851974 UNN851992:UNN851993 UNN852012 UNN852017 UNN917502:UNN917510 UNN917528:UNN917529 UNN917548 UNN917553 UNN983038:UNN983046 UNN983064:UNN983065 UNN983084 UNN983089 UNY65519:UNY65529 UNY131055:UNY131065 UNY196591:UNY196601 UNY262127:UNY262137 UNY327663:UNY327673 UNY393199:UNY393209 UNY458735:UNY458745 UNY524271:UNY524281 UNY589807:UNY589817 UNY655343:UNY655353 UNY720879:UNY720889 UNY786415:UNY786425 UNY851951:UNY851961 UNY917487:UNY917497 UNY983023:UNY983033 UXJ15:UXJ23 UXJ39:UXJ44 UXJ53:UXJ54 UXJ65534:UXJ65542 UXJ65560:UXJ65561 UXJ65580 UXJ65585 UXJ131070:UXJ131078 UXJ131096:UXJ131097 UXJ131116 UXJ131121 UXJ196606:UXJ196614 UXJ196632:UXJ196633 UXJ196652 UXJ196657 UXJ262142:UXJ262150 UXJ262168:UXJ262169 UXJ262188 UXJ262193 UXJ327678:UXJ327686 UXJ327704:UXJ327705 UXJ327724 UXJ327729 UXJ393214:UXJ393222 UXJ393240:UXJ393241 UXJ393260 UXJ393265 UXJ458750:UXJ458758 UXJ458776:UXJ458777 UXJ458796 UXJ458801 UXJ524286:UXJ524294 UXJ524312:UXJ524313 UXJ524332 UXJ524337 UXJ589822:UXJ589830 UXJ589848:UXJ589849 UXJ589868 UXJ589873 UXJ655358:UXJ655366 UXJ655384:UXJ655385 UXJ655404 UXJ655409 UXJ720894:UXJ720902 UXJ720920:UXJ720921 UXJ720940 UXJ720945 UXJ786430:UXJ786438 UXJ786456:UXJ786457 UXJ786476 UXJ786481 UXJ851966:UXJ851974 UXJ851992:UXJ851993 UXJ852012 UXJ852017 UXJ917502:UXJ917510 UXJ917528:UXJ917529 UXJ917548 UXJ917553 UXJ983038:UXJ983046 UXJ983064:UXJ983065 UXJ983084 UXJ983089 UXU65519:UXU65529 UXU131055:UXU131065 UXU196591:UXU196601 UXU262127:UXU262137 UXU327663:UXU327673 UXU393199:UXU393209 UXU458735:UXU458745 UXU524271:UXU524281 UXU589807:UXU589817 UXU655343:UXU655353 UXU720879:UXU720889 UXU786415:UXU786425 UXU851951:UXU851961 UXU917487:UXU917497 UXU983023:UXU983033 VHF15:VHF23 VHF39:VHF44 VHF53:VHF54 VHF65534:VHF65542 VHF65560:VHF65561 VHF65580 VHF65585 VHF131070:VHF131078 VHF131096:VHF131097 VHF131116 VHF131121 VHF196606:VHF196614 VHF196632:VHF196633 VHF196652 VHF196657 VHF262142:VHF262150 VHF262168:VHF262169 VHF262188 VHF262193 VHF327678:VHF327686 VHF327704:VHF327705 VHF327724 VHF327729 VHF393214:VHF393222 VHF393240:VHF393241 VHF393260 VHF393265 VHF458750:VHF458758 VHF458776:VHF458777 VHF458796 VHF458801 VHF524286:VHF524294 VHF524312:VHF524313 VHF524332 VHF524337 VHF589822:VHF589830 VHF589848:VHF589849 VHF589868 VHF589873 VHF655358:VHF655366 VHF655384:VHF655385 VHF655404 VHF655409 VHF720894:VHF720902 VHF720920:VHF720921 VHF720940 VHF720945 VHF786430:VHF786438 VHF786456:VHF786457 VHF786476 VHF786481 VHF851966:VHF851974 VHF851992:VHF851993 VHF852012 VHF852017 VHF917502:VHF917510 VHF917528:VHF917529 VHF917548 VHF917553 VHF983038:VHF983046 VHF983064:VHF983065 VHF983084 VHF983089 VHQ65519:VHQ65529 VHQ131055:VHQ131065 VHQ196591:VHQ196601 VHQ262127:VHQ262137 VHQ327663:VHQ327673 VHQ393199:VHQ393209 VHQ458735:VHQ458745 VHQ524271:VHQ524281 VHQ589807:VHQ589817 VHQ655343:VHQ655353 VHQ720879:VHQ720889 VHQ786415:VHQ786425 VHQ851951:VHQ851961 VHQ917487:VHQ917497 VHQ983023:VHQ983033 VRB15:VRB23 VRB39:VRB44 VRB53:VRB54 VRB65534:VRB65542 VRB65560:VRB65561 VRB65580 VRB65585 VRB131070:VRB131078 VRB131096:VRB131097 VRB131116 VRB131121 VRB196606:VRB196614 VRB196632:VRB196633 VRB196652 VRB196657 VRB262142:VRB262150 VRB262168:VRB262169 VRB262188 VRB262193 VRB327678:VRB327686 VRB327704:VRB327705 VRB327724 VRB327729 VRB393214:VRB393222 VRB393240:VRB393241 VRB393260 VRB393265 VRB458750:VRB458758 VRB458776:VRB458777 VRB458796 VRB458801 VRB524286:VRB524294 VRB524312:VRB524313 VRB524332 VRB524337 VRB589822:VRB589830 VRB589848:VRB589849 VRB589868 VRB589873 VRB655358:VRB655366 VRB655384:VRB655385 VRB655404 VRB655409 VRB720894:VRB720902 VRB720920:VRB720921 VRB720940 VRB720945 VRB786430:VRB786438 VRB786456:VRB786457 VRB786476 VRB786481 VRB851966:VRB851974 VRB851992:VRB851993 VRB852012 VRB852017 VRB917502:VRB917510 VRB917528:VRB917529 VRB917548 VRB917553 VRB983038:VRB983046 VRB983064:VRB983065 VRB983084 VRB983089 VRM65519:VRM65529 VRM131055:VRM131065 VRM196591:VRM196601 VRM262127:VRM262137 VRM327663:VRM327673 VRM393199:VRM393209 VRM458735:VRM458745 VRM524271:VRM524281 VRM589807:VRM589817 VRM655343:VRM655353 VRM720879:VRM720889 VRM786415:VRM786425 VRM851951:VRM851961 VRM917487:VRM917497 VRM983023:VRM983033 WAX15:WAX23 WAX39:WAX44 WAX53:WAX54 WAX65534:WAX65542 WAX65560:WAX65561 WAX65580 WAX65585 WAX131070:WAX131078 WAX131096:WAX131097 WAX131116 WAX131121 WAX196606:WAX196614 WAX196632:WAX196633 WAX196652 WAX196657 WAX262142:WAX262150 WAX262168:WAX262169 WAX262188 WAX262193 WAX327678:WAX327686 WAX327704:WAX327705 WAX327724 WAX327729 WAX393214:WAX393222 WAX393240:WAX393241 WAX393260 WAX393265 WAX458750:WAX458758 WAX458776:WAX458777 WAX458796 WAX458801 WAX524286:WAX524294 WAX524312:WAX524313 WAX524332 WAX524337 WAX589822:WAX589830 WAX589848:WAX589849 WAX589868 WAX589873 WAX655358:WAX655366 WAX655384:WAX655385 WAX655404 WAX655409 WAX720894:WAX720902 WAX720920:WAX720921 WAX720940 WAX720945 WAX786430:WAX786438 WAX786456:WAX786457 WAX786476 WAX786481 WAX851966:WAX851974 WAX851992:WAX851993 WAX852012 WAX852017 WAX917502:WAX917510 WAX917528:WAX917529 WAX917548 WAX917553 WAX983038:WAX983046 WAX983064:WAX983065 WAX983084 WAX983089 WBI65519:WBI65529 WBI131055:WBI131065 WBI196591:WBI196601 WBI262127:WBI262137 WBI327663:WBI327673 WBI393199:WBI393209 WBI458735:WBI458745 WBI524271:WBI524281 WBI589807:WBI589817 WBI655343:WBI655353 WBI720879:WBI720889 WBI786415:WBI786425 WBI851951:WBI851961 WBI917487:WBI917497 WBI983023:WBI983033 WKT15:WKT23 WKT39:WKT44 WKT53:WKT54 WKT65534:WKT65542 WKT65560:WKT65561 WKT65580 WKT65585 WKT131070:WKT131078 WKT131096:WKT131097 WKT131116 WKT131121 WKT196606:WKT196614 WKT196632:WKT196633 WKT196652 WKT196657 WKT262142:WKT262150 WKT262168:WKT262169 WKT262188 WKT262193 WKT327678:WKT327686 WKT327704:WKT327705 WKT327724 WKT327729 WKT393214:WKT393222 WKT393240:WKT393241 WKT393260 WKT393265 WKT458750:WKT458758 WKT458776:WKT458777 WKT458796 WKT458801 WKT524286:WKT524294 WKT524312:WKT524313 WKT524332 WKT524337 WKT589822:WKT589830 WKT589848:WKT589849 WKT589868 WKT589873 WKT655358:WKT655366 WKT655384:WKT655385 WKT655404 WKT655409 WKT720894:WKT720902 WKT720920:WKT720921 WKT720940 WKT720945 WKT786430:WKT786438 WKT786456:WKT786457 WKT786476 WKT786481 WKT851966:WKT851974 WKT851992:WKT851993 WKT852012 WKT852017 WKT917502:WKT917510 WKT917528:WKT917529 WKT917548 WKT917553 WKT983038:WKT983046 WKT983064:WKT983065 WKT983084 WKT983089 WLE65519:WLE65529 WLE131055:WLE131065 WLE196591:WLE196601 WLE262127:WLE262137 WLE327663:WLE327673 WLE393199:WLE393209 WLE458735:WLE458745 WLE524271:WLE524281 WLE589807:WLE589817 WLE655343:WLE655353 WLE720879:WLE720889 WLE786415:WLE786425 WLE851951:WLE851961 WLE917487:WLE917497 WLE983023:WLE983033 WUP15:WUP23 WUP39:WUP44 WUP53:WUP54 WUP65534:WUP65542 WUP65560:WUP65561 WUP65580 WUP65585 WUP131070:WUP131078 WUP131096:WUP131097 WUP131116 WUP131121 WUP196606:WUP196614 WUP196632:WUP196633 WUP196652 WUP196657 WUP262142:WUP262150 WUP262168:WUP262169 WUP262188 WUP262193 WUP327678:WUP327686 WUP327704:WUP327705 WUP327724 WUP327729 WUP393214:WUP393222 WUP393240:WUP393241 WUP393260 WUP393265 WUP458750:WUP458758 WUP458776:WUP458777 WUP458796 WUP458801 WUP524286:WUP524294 WUP524312:WUP524313 WUP524332 WUP524337 WUP589822:WUP589830 WUP589848:WUP589849 WUP589868 WUP589873 WUP655358:WUP655366 WUP655384:WUP655385 WUP655404 WUP655409 WUP720894:WUP720902 WUP720920:WUP720921 WUP720940 WUP720945 WUP786430:WUP786438 WUP786456:WUP786457 WUP786476 WUP786481 WUP851966:WUP851974 WUP851992:WUP851993 WUP852012 WUP852017 WUP917502:WUP917510 WUP917528:WUP917529 WUP917548 WUP917553 WUP983038:WUP983046 WUP983064:WUP983065 WUP983084 WUP983089 WVA65519:WVA65529 WVA131055:WVA131065 WVA196591:WVA196601 WVA262127:WVA262137 WVA327663:WVA327673 WVA393199:WVA393209 WVA458735:WVA458745 WVA524271:WVA524281 WVA589807:WVA589817 WVA655343:WVA655353 WVA720879:WVA720889 WVA786415:WVA786425 WVA851951:WVA851961 WVA917487:WVA917497 WVA983023:WVA983033" showDropDown="0" showInputMessage="1" showErrorMessage="1" allowBlank="1" type="list">
      <formula1>#REF!</formula1>
    </dataValidation>
  </dataValidations>
  <printOptions horizontalCentered="1"/>
  <pageMargins left="0.7874015748031497" right="0.3543307086614174" top="0.3937007874015748" bottom="0.3937007874015748" header="0.3149606299212598" footer="0.1181102362204725"/>
  <pageSetup orientation="portrait" paperSize="9" scale="50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51.xml><?xml version="1.0" encoding="utf-8"?>
<worksheet xmlns="http://schemas.openxmlformats.org/spreadsheetml/2006/main">
  <sheetPr codeName="Sheet24">
    <tabColor theme="8" tint="0.7999816888943144"/>
    <outlinePr summaryBelow="1" summaryRight="1"/>
    <pageSetUpPr fitToPage="1"/>
  </sheetPr>
  <dimension ref="A1:AB150"/>
  <sheetViews>
    <sheetView showGridLines="0" topLeftCell="A6" zoomScale="80" zoomScaleNormal="80" zoomScaleSheetLayoutView="50" workbookViewId="0">
      <selection activeCell="D36" sqref="D36"/>
    </sheetView>
  </sheetViews>
  <sheetFormatPr baseColWidth="10" defaultColWidth="8.83203125" defaultRowHeight="15" customHeight="1"/>
  <cols>
    <col width="2" customWidth="1" style="215" min="1" max="2"/>
    <col width="32.33203125" customWidth="1" style="1070" min="3" max="3"/>
    <col width="39.83203125" customWidth="1" style="1070" min="4" max="4"/>
    <col width="27.1640625" customWidth="1" style="1070" min="5" max="5"/>
    <col width="26.6640625" customWidth="1" style="1070" min="6" max="6"/>
    <col width="18.83203125" customWidth="1" style="1070" min="7" max="7"/>
    <col width="25" bestFit="1" customWidth="1" style="1070" min="8" max="8"/>
    <col width="10" bestFit="1" customWidth="1" style="1072" min="9" max="9"/>
    <col width="14.83203125" bestFit="1" customWidth="1" style="1073" min="10" max="10"/>
    <col width="17.5" customWidth="1" style="228" min="11" max="11"/>
    <col width="7.83203125" bestFit="1" customWidth="1" style="228" min="12" max="12"/>
    <col hidden="1" width="1.33203125" customWidth="1" style="346" min="13" max="13"/>
    <col width="14.5" bestFit="1" customWidth="1" style="1073" min="14" max="14"/>
    <col width="13.6640625" bestFit="1" customWidth="1" style="14" min="15" max="15"/>
    <col width="8.83203125" customWidth="1" style="1070" min="16" max="17"/>
    <col width="18.6640625" customWidth="1" style="1070" min="18" max="18"/>
    <col width="8.83203125" customWidth="1" style="1070" min="19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0"/>
    <col width="8.83203125" customWidth="1" style="1070" min="101" max="16384"/>
  </cols>
  <sheetData>
    <row r="1" ht="15" customHeight="1" s="1085">
      <c r="C1" s="1148" t="inlineStr">
        <is>
          <t xml:space="preserve">F24-19   POLLU-LITE COST SHEET </t>
        </is>
      </c>
      <c r="E1" s="216" t="n"/>
      <c r="F1" s="216" t="n"/>
      <c r="G1" s="216" t="n"/>
      <c r="H1" s="216" t="n"/>
      <c r="I1" s="29" t="n"/>
      <c r="J1" s="336" t="n"/>
      <c r="K1" s="337" t="n"/>
      <c r="L1" s="338" t="n"/>
      <c r="M1" s="339" t="n"/>
      <c r="N1" s="336" t="n"/>
      <c r="O1" s="975" t="inlineStr">
        <is>
          <t>JAN25-19</t>
        </is>
      </c>
      <c r="S1" s="80" t="n"/>
      <c r="T1" s="218" t="n"/>
    </row>
    <row r="2" ht="15" customHeight="1" s="1085">
      <c r="C2" s="79" t="n"/>
      <c r="D2" s="221" t="n"/>
      <c r="E2" s="221" t="n"/>
      <c r="G2" s="79" t="n"/>
      <c r="H2" s="77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C3" s="78" t="inlineStr">
        <is>
          <t>Job No.</t>
        </is>
      </c>
      <c r="D3" s="1130">
        <f>IF(CANOPY!C3="","",CANOPY!C3)</f>
        <v/>
      </c>
      <c r="G3" s="76" t="inlineStr">
        <is>
          <t>Project Name</t>
        </is>
      </c>
      <c r="H3" s="1071">
        <f>IF(CANOPY!G3="","",CANOPY!G3)</f>
        <v/>
      </c>
      <c r="L3" s="342" t="n"/>
      <c r="M3" s="343" t="n"/>
      <c r="N3" s="344" t="n"/>
      <c r="T3" s="225" t="n"/>
    </row>
    <row r="4" ht="15" customHeight="1" s="1085">
      <c r="C4" s="79" t="n"/>
      <c r="D4" s="223" t="n"/>
      <c r="E4" s="223" t="n"/>
      <c r="G4" s="77" t="n"/>
      <c r="H4" s="222" t="n"/>
      <c r="I4" s="227" t="n"/>
      <c r="J4" s="341" t="n"/>
      <c r="L4" s="342" t="n"/>
      <c r="M4" s="343" t="n"/>
      <c r="N4" s="344" t="n"/>
      <c r="T4" s="225" t="n"/>
    </row>
    <row r="5" ht="15" customHeight="1" s="1085">
      <c r="C5" s="78" t="inlineStr">
        <is>
          <t>Customer</t>
        </is>
      </c>
      <c r="D5" s="1074">
        <f>IF(CANOPY!C5="","",CANOPY!C5)</f>
        <v/>
      </c>
      <c r="G5" s="76" t="inlineStr">
        <is>
          <t>Location</t>
        </is>
      </c>
      <c r="H5" s="1071">
        <f>IF(CANOPY!G5="","",CANOPY!G5)</f>
        <v/>
      </c>
      <c r="M5" s="343" t="n"/>
      <c r="N5" s="344" t="n"/>
      <c r="Q5" s="229" t="n"/>
      <c r="R5" s="229" t="n"/>
      <c r="T5" s="225" t="n"/>
      <c r="U5" s="226" t="n"/>
    </row>
    <row r="6" ht="15" customHeight="1" s="1085">
      <c r="C6" s="78" t="n"/>
      <c r="D6" s="230" t="n"/>
      <c r="E6" s="230" t="n"/>
      <c r="G6" s="76" t="n"/>
      <c r="H6" s="222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C7" s="80" t="inlineStr">
        <is>
          <t>Sales Manager / Estimator initials</t>
        </is>
      </c>
      <c r="D7" s="1074">
        <f>IF(CANOPY!C7="","",CANOPY!C7)</f>
        <v/>
      </c>
      <c r="G7" s="76" t="inlineStr">
        <is>
          <t>Date</t>
        </is>
      </c>
      <c r="H7" s="1075">
        <f>IF(CANOPY!G7="","",CANOPY!G7)</f>
        <v/>
      </c>
      <c r="N7" s="347" t="inlineStr">
        <is>
          <t>Revision No</t>
        </is>
      </c>
      <c r="O7" s="900">
        <f>IF(CANOPY!O7="","",CANOPY!O7)</f>
        <v/>
      </c>
      <c r="P7" s="1157" t="inlineStr">
        <is>
          <t>GP SHOULD BE MINIMUM 44%</t>
        </is>
      </c>
      <c r="T7" s="225" t="n"/>
      <c r="U7" s="226" t="n"/>
      <c r="AA7" s="231" t="n"/>
    </row>
    <row r="8" ht="15" customHeight="1" s="1085">
      <c r="E8" s="219" t="n"/>
      <c r="F8" s="219" t="n"/>
      <c r="H8" s="219" t="n"/>
      <c r="J8" s="346" t="n"/>
      <c r="K8" s="14" t="n"/>
      <c r="T8" s="225" t="n"/>
      <c r="AA8" s="231" t="n"/>
    </row>
    <row r="9" ht="15" customFormat="1" customHeight="1" s="80">
      <c r="A9" s="215" t="n"/>
      <c r="B9" s="215" t="n"/>
      <c r="C9" s="38" t="inlineStr">
        <is>
          <t>CURRENCY</t>
        </is>
      </c>
      <c r="D9" s="951" t="n">
        <v>0</v>
      </c>
      <c r="E9" s="377">
        <f>IF(D9=0,0,(SUBTOTAL(9,M14:M37)/(1-D9))-M9)</f>
        <v/>
      </c>
      <c r="I9" s="234" t="n"/>
      <c r="K9" s="25">
        <f>SUBTOTAL(9,K12:K37)</f>
        <v/>
      </c>
      <c r="L9" s="970">
        <f>IF(O9=0,"-",O9/M9)</f>
        <v/>
      </c>
      <c r="M9" s="25">
        <f>SUBTOTAL(9,M12:M37)</f>
        <v/>
      </c>
      <c r="N9" s="464">
        <f>SUBTOTAL(9,N12:N37)</f>
        <v/>
      </c>
      <c r="O9" s="25">
        <f>SUBTOTAL(9,O12:O37)</f>
        <v/>
      </c>
      <c r="P9" s="1070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215" t="n"/>
      <c r="C12" s="1089" t="inlineStr">
        <is>
          <t xml:space="preserve">ITEM </t>
        </is>
      </c>
      <c r="D12" s="236" t="n"/>
      <c r="E12" s="236">
        <f>E14</f>
        <v/>
      </c>
      <c r="F12" s="838" t="n">
        <v>0</v>
      </c>
      <c r="G12" s="1034">
        <f>E14</f>
        <v/>
      </c>
      <c r="H12" s="237">
        <f>E12&amp;G12&amp;F12</f>
        <v/>
      </c>
      <c r="I12" s="236">
        <f>IF(F14=0,0,IF(G14=0,0,(F14/(IF(D14="WALL",F14,(F14/2)))*I14)))</f>
        <v/>
      </c>
      <c r="J12" s="238" t="n"/>
      <c r="K12" s="154">
        <f>SUBTOTAL(9,K14:K23)</f>
        <v/>
      </c>
      <c r="L12" s="15">
        <f>IF(K14=0,"-",O12/M12)</f>
        <v/>
      </c>
      <c r="M12" s="154">
        <f>SUBTOTAL(9,M14:M21)</f>
        <v/>
      </c>
      <c r="N12" s="464">
        <f>SUBTOTAL(9,N14:N23)</f>
        <v/>
      </c>
      <c r="O12" s="154">
        <f>SUBTOTAL(9,O14:O23)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WIDTH</t>
        </is>
      </c>
      <c r="G13" s="10" t="inlineStr">
        <is>
          <t>LENGTH</t>
        </is>
      </c>
      <c r="H13" s="10" t="inlineStr">
        <is>
          <t>HEIGHT</t>
        </is>
      </c>
      <c r="I13" s="10" t="inlineStr">
        <is>
          <t>SECTIONS</t>
        </is>
      </c>
      <c r="J13" s="349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A14" s="215" t="n">
        <v>210</v>
      </c>
      <c r="C14" s="855" t="inlineStr">
        <is>
          <t>POLLU-LITE 01</t>
        </is>
      </c>
      <c r="D14" s="460" t="inlineStr">
        <is>
          <t>VERTICAL  0.9M3/S</t>
        </is>
      </c>
      <c r="E14" s="461" t="n">
        <v>0</v>
      </c>
      <c r="F14" s="895" t="n">
        <v>730</v>
      </c>
      <c r="G14" s="895" t="n">
        <v>2065</v>
      </c>
      <c r="H14" s="896" t="n">
        <v>750</v>
      </c>
      <c r="I14" s="31" t="n"/>
      <c r="J14" s="380" t="n">
        <v>1673.52</v>
      </c>
      <c r="K14" s="378">
        <f>SUM(J14*E14)</f>
        <v/>
      </c>
      <c r="L14" s="897" t="n">
        <v>0.5</v>
      </c>
      <c r="M14" s="311">
        <f>(K14/(1-L14))*(1+$D$9)</f>
        <v/>
      </c>
      <c r="N14" s="378">
        <f>(M14*VLOOKUP($C$9,'Base Costs'!$A$32:$B$37,2,FALSE))</f>
        <v/>
      </c>
      <c r="O14" s="379">
        <f>M14-K14</f>
        <v/>
      </c>
      <c r="U14" s="229" t="n"/>
      <c r="AA14" s="1070" t="n"/>
    </row>
    <row r="15" ht="15" customHeight="1" s="1085">
      <c r="A15" s="215" t="n">
        <v>104</v>
      </c>
      <c r="C15" s="855" t="inlineStr">
        <is>
          <t>POLLU-LITE 02</t>
        </is>
      </c>
      <c r="D15" s="460" t="inlineStr">
        <is>
          <t>VERTICAL  1.8M3/S</t>
        </is>
      </c>
      <c r="E15" s="448" t="n">
        <v>0</v>
      </c>
      <c r="F15" s="895" t="n">
        <v>1330</v>
      </c>
      <c r="G15" s="895" t="n">
        <v>2065</v>
      </c>
      <c r="H15" s="896" t="n">
        <v>750</v>
      </c>
      <c r="I15" s="31" t="n"/>
      <c r="J15" s="380" t="n">
        <v>1818.48</v>
      </c>
      <c r="K15" s="378">
        <f>SUM(J15*E15)</f>
        <v/>
      </c>
      <c r="L15" s="897" t="n">
        <v>0.5</v>
      </c>
      <c r="M15" s="311">
        <f>(K15/(1-L15))*(1+$D$9)</f>
        <v/>
      </c>
      <c r="N15" s="378">
        <f>(M15*VLOOKUP($C$9,'Base Costs'!$A$32:$B$37,2,FALSE))</f>
        <v/>
      </c>
      <c r="O15" s="379">
        <f>M15-K15</f>
        <v/>
      </c>
      <c r="U15" s="229" t="n"/>
      <c r="AA15" s="1070" t="n"/>
    </row>
    <row r="16" ht="15" customHeight="1" s="1085">
      <c r="A16" s="215" t="n">
        <v>234</v>
      </c>
      <c r="C16" s="270" t="inlineStr">
        <is>
          <t>POLLU-LITE 03</t>
        </is>
      </c>
      <c r="D16" s="460" t="inlineStr">
        <is>
          <t>VERTICAL  2.7M3/S</t>
        </is>
      </c>
      <c r="E16" s="448" t="n">
        <v>0</v>
      </c>
      <c r="F16" s="895" t="n">
        <v>1330</v>
      </c>
      <c r="G16" s="895" t="n">
        <v>2065</v>
      </c>
      <c r="H16" s="896" t="n">
        <v>1050</v>
      </c>
      <c r="I16" s="31" t="n"/>
      <c r="J16" s="380" t="n">
        <v>2438.69</v>
      </c>
      <c r="K16" s="378">
        <f>SUM(J16*E16)</f>
        <v/>
      </c>
      <c r="L16" s="897" t="n">
        <v>0.5</v>
      </c>
      <c r="M16" s="311">
        <f>(K16/(1-L16))*(1+$D$9)</f>
        <v/>
      </c>
      <c r="N16" s="378">
        <f>(M16*VLOOKUP($C$9,'Base Costs'!$A$32:$B$37,2,FALSE))</f>
        <v/>
      </c>
      <c r="O16" s="379">
        <f>M16-K16</f>
        <v/>
      </c>
      <c r="U16" s="229" t="n"/>
      <c r="AA16" s="1070" t="n"/>
    </row>
    <row r="17" ht="15" customHeight="1" s="1085">
      <c r="C17" s="791" t="inlineStr">
        <is>
          <t>POLLU-LITE 04</t>
        </is>
      </c>
      <c r="D17" s="460" t="inlineStr">
        <is>
          <t>VERTICAL  3.6M3/S</t>
        </is>
      </c>
      <c r="E17" s="448" t="n">
        <v>0</v>
      </c>
      <c r="F17" s="895" t="n">
        <v>1330</v>
      </c>
      <c r="G17" s="895" t="n">
        <v>2065</v>
      </c>
      <c r="H17" s="896" t="n">
        <v>1350</v>
      </c>
      <c r="I17" s="31" t="n"/>
      <c r="J17" s="380" t="n">
        <v>2583.54</v>
      </c>
      <c r="K17" s="378">
        <f>SUM(J17*E17)</f>
        <v/>
      </c>
      <c r="L17" s="897" t="n">
        <v>0.5</v>
      </c>
      <c r="M17" s="311">
        <f>(K17/(1-L17))*(1+$D$9)</f>
        <v/>
      </c>
      <c r="N17" s="378">
        <f>(M17*VLOOKUP($C$9,'Base Costs'!$A$32:$B$37,2,FALSE))</f>
        <v/>
      </c>
      <c r="O17" s="379">
        <f>M17-K17</f>
        <v/>
      </c>
      <c r="U17" s="229" t="n"/>
      <c r="AA17" s="1070" t="n"/>
    </row>
    <row r="18" ht="15" customHeight="1" s="1085">
      <c r="C18" s="855" t="inlineStr">
        <is>
          <t xml:space="preserve">P-L 01 VOID </t>
        </is>
      </c>
      <c r="D18" s="460" t="inlineStr">
        <is>
          <t>HORIZONTAL  0.9M3/S</t>
        </is>
      </c>
      <c r="E18" s="448" t="n">
        <v>0</v>
      </c>
      <c r="F18" s="837" t="n">
        <v>730</v>
      </c>
      <c r="G18" s="895" t="n">
        <v>2065</v>
      </c>
      <c r="H18" s="896" t="n">
        <v>750</v>
      </c>
      <c r="I18" s="31" t="n"/>
      <c r="J18" s="380" t="n">
        <v>1673.52</v>
      </c>
      <c r="K18" s="378">
        <f>SUM(J18*E18)</f>
        <v/>
      </c>
      <c r="L18" s="897" t="n">
        <v>0.5</v>
      </c>
      <c r="M18" s="311">
        <f>(K18/(1-L18))*(1+$D$9)</f>
        <v/>
      </c>
      <c r="N18" s="378">
        <f>(M18*VLOOKUP($C$9,'Base Costs'!$A$32:$B$37,2,FALSE))</f>
        <v/>
      </c>
      <c r="O18" s="379">
        <f>M18-K18</f>
        <v/>
      </c>
      <c r="U18" s="229" t="n"/>
      <c r="AA18" s="1070" t="n"/>
    </row>
    <row r="19" ht="15" customHeight="1" s="1085">
      <c r="C19" s="855" t="inlineStr">
        <is>
          <t>P-L 02 VOID</t>
        </is>
      </c>
      <c r="D19" s="460" t="inlineStr">
        <is>
          <t>HORIZONTAL  1.8M3/S</t>
        </is>
      </c>
      <c r="E19" s="448" t="n">
        <v>0</v>
      </c>
      <c r="F19" s="895" t="n">
        <v>1330</v>
      </c>
      <c r="G19" s="895" t="n">
        <v>2065</v>
      </c>
      <c r="H19" s="896" t="n">
        <v>750</v>
      </c>
      <c r="I19" s="31" t="n"/>
      <c r="J19" s="380" t="n">
        <v>1818.48</v>
      </c>
      <c r="K19" s="378">
        <f>SUM(J19*E19)</f>
        <v/>
      </c>
      <c r="L19" s="897" t="n">
        <v>0.5</v>
      </c>
      <c r="M19" s="311">
        <f>(K19/(1-L19))*(1+$D$9)</f>
        <v/>
      </c>
      <c r="N19" s="378">
        <f>(M19*VLOOKUP($C$9,'Base Costs'!$A$32:$B$37,2,FALSE))</f>
        <v/>
      </c>
      <c r="O19" s="379">
        <f>M19-K19</f>
        <v/>
      </c>
      <c r="U19" s="229" t="n"/>
      <c r="AA19" s="1070" t="n"/>
    </row>
    <row r="20" ht="15" customHeight="1" s="1085">
      <c r="C20" s="855" t="inlineStr">
        <is>
          <t xml:space="preserve">P-L 03 VOID </t>
        </is>
      </c>
      <c r="D20" s="460" t="inlineStr">
        <is>
          <t>HORIZONTAL  2.7M3/S</t>
        </is>
      </c>
      <c r="E20" s="448" t="n">
        <v>0</v>
      </c>
      <c r="F20" s="898" t="n">
        <v>1930</v>
      </c>
      <c r="G20" s="898" t="n">
        <v>2065</v>
      </c>
      <c r="H20" s="899" t="n">
        <v>750</v>
      </c>
      <c r="I20" s="31" t="n"/>
      <c r="J20" s="380" t="n">
        <v>2525.69</v>
      </c>
      <c r="K20" s="378">
        <f>SUM(J20*E20)</f>
        <v/>
      </c>
      <c r="L20" s="897" t="n">
        <v>0.5</v>
      </c>
      <c r="M20" s="311">
        <f>(K20/(1-L20))*(1+$D$9)</f>
        <v/>
      </c>
      <c r="N20" s="378">
        <f>(M20*VLOOKUP($C$9,'Base Costs'!$A$32:$B$37,2,FALSE))</f>
        <v/>
      </c>
      <c r="O20" s="379">
        <f>M20-K20</f>
        <v/>
      </c>
      <c r="U20" s="229" t="n"/>
      <c r="AA20" s="1070" t="n"/>
    </row>
    <row r="21" ht="15" customHeight="1" s="1085">
      <c r="A21" s="215" t="n">
        <v>289</v>
      </c>
      <c r="C21" s="855" t="inlineStr">
        <is>
          <t>P-L 04 VOID</t>
        </is>
      </c>
      <c r="D21" s="460" t="inlineStr">
        <is>
          <t>HORIZONTAL  3.6M3/S</t>
        </is>
      </c>
      <c r="E21" s="448" t="n">
        <v>0</v>
      </c>
      <c r="F21" s="898" t="n">
        <v>2530</v>
      </c>
      <c r="G21" s="898" t="n">
        <v>2065</v>
      </c>
      <c r="H21" s="899" t="n">
        <v>750</v>
      </c>
      <c r="I21" s="31" t="n"/>
      <c r="J21" s="380" t="n">
        <v>2666.06</v>
      </c>
      <c r="K21" s="378">
        <f>SUM(J21*E21)</f>
        <v/>
      </c>
      <c r="L21" s="897" t="n">
        <v>0.5</v>
      </c>
      <c r="M21" s="311">
        <f>(K21/(1-L21))*(1+$D$9)</f>
        <v/>
      </c>
      <c r="N21" s="378">
        <f>(M21*VLOOKUP($C$9,'Base Costs'!$A$32:$B$37,2,FALSE))</f>
        <v/>
      </c>
      <c r="O21" s="379">
        <f>M21-K21</f>
        <v/>
      </c>
      <c r="U21" s="229" t="n"/>
      <c r="AA21" s="1070" t="n"/>
    </row>
    <row r="22" ht="15" customHeight="1" s="1085">
      <c r="A22" s="215" t="n">
        <v>242</v>
      </c>
      <c r="C22" s="269" t="n"/>
      <c r="D22" s="460" t="n"/>
      <c r="E22" s="448" t="n">
        <v>0</v>
      </c>
      <c r="F22" s="462" t="n"/>
      <c r="G22" s="32" t="n"/>
      <c r="H22" s="30" t="n"/>
      <c r="I22" s="31" t="n"/>
      <c r="J22" s="933" t="n"/>
      <c r="K22" s="378">
        <f>SUM(J22*E22)</f>
        <v/>
      </c>
      <c r="L22" s="392" t="n">
        <v>0.435</v>
      </c>
      <c r="M22" s="311">
        <f>(K22/(1-L22))*(1+$D$9)</f>
        <v/>
      </c>
      <c r="N22" s="378">
        <f>(M22*VLOOKUP($C$9,'Base Costs'!$A$32:$B$37,2,FALSE))</f>
        <v/>
      </c>
      <c r="O22" s="379">
        <f>M22-K22</f>
        <v/>
      </c>
      <c r="U22" s="229" t="n"/>
      <c r="AA22" s="1070" t="n"/>
    </row>
    <row r="23" ht="15" customHeight="1" s="1085">
      <c r="A23" s="215" t="n">
        <v>220</v>
      </c>
      <c r="C23" s="938" t="inlineStr">
        <is>
          <t>FLAT PACK (Inc. Pallets)</t>
        </is>
      </c>
      <c r="D23" s="460" t="inlineStr">
        <is>
          <t>FACTORY 25hrs x £35.00</t>
        </is>
      </c>
      <c r="E23" s="448" t="n">
        <v>0</v>
      </c>
      <c r="F23" s="462" t="n"/>
      <c r="G23" s="32" t="n"/>
      <c r="H23" s="30" t="n"/>
      <c r="I23" s="31" t="n"/>
      <c r="J23" s="882" t="n">
        <v>875</v>
      </c>
      <c r="K23" s="378">
        <f>SUM(J23*E23)</f>
        <v/>
      </c>
      <c r="L23" s="392" t="n">
        <v>0.35</v>
      </c>
      <c r="M23" s="311">
        <f>(K23/(1-L23))*(1+$D$9)</f>
        <v/>
      </c>
      <c r="N23" s="378">
        <f>(M23*VLOOKUP($C$9,'Base Costs'!$A$32:$B$37,2,FALSE))</f>
        <v/>
      </c>
      <c r="O23" s="379">
        <f>M23-K23</f>
        <v/>
      </c>
      <c r="U23" s="229" t="n"/>
      <c r="AA23" s="1070" t="n"/>
    </row>
    <row r="24" ht="15" customHeight="1" s="1085">
      <c r="A24" s="215" t="n">
        <v>103</v>
      </c>
      <c r="H24" s="34" t="inlineStr">
        <is>
          <t>SECTION UNDER 1000mm</t>
        </is>
      </c>
      <c r="U24" s="229" t="n"/>
      <c r="AA24" s="1070" t="n"/>
    </row>
    <row r="25" ht="15" customHeight="1" s="1085">
      <c r="A25" s="215" t="n">
        <v>103</v>
      </c>
      <c r="C25" s="239" t="n"/>
      <c r="D25" s="239" t="n"/>
      <c r="E25" s="239" t="n"/>
      <c r="F25" s="239" t="n"/>
      <c r="G25" s="239" t="n"/>
      <c r="H25" s="239" t="n"/>
      <c r="I25" s="9" t="n"/>
      <c r="J25" s="11" t="n"/>
      <c r="K25" s="353" t="n"/>
      <c r="L25" s="240" t="n"/>
      <c r="M25" s="353" t="n"/>
      <c r="N25" s="353" t="n"/>
      <c r="U25" s="229" t="n"/>
      <c r="AA25" s="1070" t="n"/>
    </row>
    <row r="26" ht="15" customHeight="1" s="1085">
      <c r="C26" s="1089" t="inlineStr">
        <is>
          <t xml:space="preserve">DELIVERY &amp; INSTALLATION </t>
        </is>
      </c>
      <c r="I26" s="236" t="n"/>
      <c r="J26" s="330" t="n"/>
      <c r="K26" s="154">
        <f>SUBTOTAL(9,K27:K37)</f>
        <v/>
      </c>
      <c r="L26" s="15">
        <f>IF(K27=0,"-",O26/M26)</f>
        <v/>
      </c>
      <c r="M26" s="154">
        <f>SUBTOTAL(9,M27:M37)</f>
        <v/>
      </c>
      <c r="N26" s="464">
        <f>SUBTOTAL(9,N27:N37)</f>
        <v/>
      </c>
      <c r="O26" s="154">
        <f>SUBTOTAL(9,O28:O37)</f>
        <v/>
      </c>
      <c r="U26" s="229" t="n"/>
      <c r="AA26" s="1070" t="n"/>
    </row>
    <row r="27" ht="15" customHeight="1" s="1085">
      <c r="A27" s="215" t="n">
        <v>285</v>
      </c>
      <c r="C27" s="269" t="inlineStr">
        <is>
          <t xml:space="preserve">DELIVERIES </t>
        </is>
      </c>
      <c r="D27" s="242" t="n"/>
      <c r="E27" s="775" t="inlineStr">
        <is>
          <t>SELECT LOCATION…</t>
        </is>
      </c>
      <c r="F27" s="28" t="n"/>
      <c r="G27" s="30" t="n"/>
      <c r="H27" s="28" t="n"/>
      <c r="I27" s="28" t="n"/>
      <c r="J27" s="385">
        <f>VLOOKUP(E27,'Base Costs'!E4:G213,2,FALSE)</f>
        <v/>
      </c>
      <c r="K27" s="378">
        <f>D27*J27</f>
        <v/>
      </c>
      <c r="L27" s="392" t="n">
        <v>0.33</v>
      </c>
      <c r="M27" s="311">
        <f>(K27/(1-L27))*(1+$D$9)</f>
        <v/>
      </c>
      <c r="N27" s="378">
        <f>(M27*VLOOKUP($C$9,'Base Costs'!$A$32:$B$37,2,FALSE))</f>
        <v/>
      </c>
      <c r="O27" s="379">
        <f>M27-K27</f>
        <v/>
      </c>
      <c r="U27" s="229" t="n"/>
      <c r="AA27" s="1070" t="n"/>
    </row>
    <row r="28" ht="15" customHeight="1" s="1085">
      <c r="C28" s="269" t="inlineStr">
        <is>
          <t>PLANT HIRE</t>
        </is>
      </c>
      <c r="D28" s="242" t="n"/>
      <c r="E28" s="775" t="inlineStr">
        <is>
          <t>PLANT SELECTION (weekly)</t>
        </is>
      </c>
      <c r="F28" s="1164" t="inlineStr">
        <is>
          <t>2No Genies Req'd for Void Mounted units</t>
        </is>
      </c>
      <c r="H28" s="28" t="n"/>
      <c r="I28" s="28" t="n"/>
      <c r="J28" s="385">
        <f>VLOOKUP(E28,'Base Costs'!$A$4:$B$16,2,FALSE)</f>
        <v/>
      </c>
      <c r="K28" s="378">
        <f>D28*J28</f>
        <v/>
      </c>
      <c r="L28" s="392" t="n">
        <v>0.33</v>
      </c>
      <c r="M28" s="311">
        <f>(K28/(1-L28))*(1+$D$9)</f>
        <v/>
      </c>
      <c r="N28" s="378">
        <f>(M28*VLOOKUP($C$9,'Base Costs'!$A$32:$B$37,2,FALSE))</f>
        <v/>
      </c>
      <c r="O28" s="379">
        <f>M28-K28</f>
        <v/>
      </c>
      <c r="U28" s="229" t="n"/>
      <c r="AA28" s="1070" t="n"/>
    </row>
    <row r="29" ht="15" customHeight="1" s="1085">
      <c r="C29" s="269" t="inlineStr">
        <is>
          <t>PLANT HIRE</t>
        </is>
      </c>
      <c r="D29" s="242" t="n"/>
      <c r="E29" s="775" t="inlineStr">
        <is>
          <t>PLANT SELECTION (weekly)</t>
        </is>
      </c>
      <c r="F29" s="28" t="n"/>
      <c r="G29" s="28" t="n"/>
      <c r="H29" s="28" t="n"/>
      <c r="I29" s="28" t="n"/>
      <c r="J29" s="385">
        <f>VLOOKUP(E29,'Base Costs'!$A$4:$B$16,2,FALSE)</f>
        <v/>
      </c>
      <c r="K29" s="378">
        <f>D29*J29</f>
        <v/>
      </c>
      <c r="L29" s="392" t="n">
        <v>0.33</v>
      </c>
      <c r="M29" s="311">
        <f>(K29/(1-L29))*(1+$D$9)</f>
        <v/>
      </c>
      <c r="N29" s="378">
        <f>(M29*VLOOKUP($C$9,'Base Costs'!$A$32:$B$37,2,FALSE))</f>
        <v/>
      </c>
      <c r="O29" s="379">
        <f>M29-K29</f>
        <v/>
      </c>
      <c r="P29" s="1163" t="n"/>
      <c r="U29" s="229" t="n"/>
      <c r="AA29" s="1070" t="n"/>
    </row>
    <row r="30" ht="15" customHeight="1" s="1085">
      <c r="C30" s="269" t="inlineStr">
        <is>
          <t>FLAT PACK REASSEBLE ON SITE</t>
        </is>
      </c>
      <c r="D30" s="242" t="n"/>
      <c r="E30" s="28" t="inlineStr">
        <is>
          <t>PER DAY</t>
        </is>
      </c>
      <c r="F30" s="28" t="n"/>
      <c r="G30" s="28" t="n"/>
      <c r="H30" s="28" t="n"/>
      <c r="I30" s="28" t="n"/>
      <c r="J30" s="385" t="n">
        <v>610</v>
      </c>
      <c r="K30" s="378">
        <f>D30*J30</f>
        <v/>
      </c>
      <c r="L30" s="392" t="n">
        <v>0.33</v>
      </c>
      <c r="M30" s="311">
        <f>(K30/(1-L30))*(1+$D$9)</f>
        <v/>
      </c>
      <c r="N30" s="378">
        <f>(M30*VLOOKUP($C$9,'Base Costs'!$A$32:$B$37,2,FALSE))</f>
        <v/>
      </c>
      <c r="O30" s="379">
        <f>M30-K30</f>
        <v/>
      </c>
      <c r="P30" s="1162" t="n"/>
      <c r="U30" s="229" t="n"/>
      <c r="AA30" s="1070" t="n"/>
    </row>
    <row r="31" ht="15" customHeight="1" s="1085">
      <c r="A31" s="215" t="n">
        <v>286</v>
      </c>
      <c r="C31" s="269" t="inlineStr">
        <is>
          <t xml:space="preserve">CONSUMABLES </t>
        </is>
      </c>
      <c r="D31" s="242" t="n"/>
      <c r="E31" s="28" t="inlineStr">
        <is>
          <t>PER METER OF CANOPY</t>
        </is>
      </c>
      <c r="F31" s="28" t="n"/>
      <c r="G31" s="28" t="n"/>
      <c r="H31" s="28" t="n"/>
      <c r="I31" s="28" t="n"/>
      <c r="J31" s="385" t="n">
        <v>15</v>
      </c>
      <c r="K31" s="378">
        <f>D31*J31</f>
        <v/>
      </c>
      <c r="L31" s="392" t="n">
        <v>0.33</v>
      </c>
      <c r="M31" s="311">
        <f>(K31/(1-L31))*(1+$D$9)</f>
        <v/>
      </c>
      <c r="N31" s="378">
        <f>(M31*VLOOKUP($C$9,'Base Costs'!$A$32:$B$37,2,FALSE))</f>
        <v/>
      </c>
      <c r="O31" s="379">
        <f>M31-K31</f>
        <v/>
      </c>
      <c r="P31" s="1162" t="n"/>
      <c r="U31" s="229" t="n"/>
      <c r="AA31" s="1070" t="n"/>
    </row>
    <row r="32" ht="15" customHeight="1" s="1085">
      <c r="C32" s="269" t="inlineStr">
        <is>
          <t>INSTALLATION NORMAL HOURS</t>
        </is>
      </c>
      <c r="D32" s="242" t="n"/>
      <c r="E32" s="28" t="inlineStr">
        <is>
          <t>PER UNIT PER TEAM PER DAY</t>
        </is>
      </c>
      <c r="F32" s="1164" t="inlineStr">
        <is>
          <t>2No Pairs Req'd for Void Mounted units</t>
        </is>
      </c>
      <c r="H32" s="28" t="n"/>
      <c r="I32" s="28" t="n"/>
      <c r="J32" s="385" t="n">
        <v>610</v>
      </c>
      <c r="K32" s="378">
        <f>D32*J32</f>
        <v/>
      </c>
      <c r="L32" s="392" t="n">
        <v>0.4</v>
      </c>
      <c r="M32" s="311">
        <f>(K32/(1-L32))*(1+$D$9)</f>
        <v/>
      </c>
      <c r="N32" s="378">
        <f>(M32*VLOOKUP($C$9,'Base Costs'!$A$32:$B$37,2,FALSE))</f>
        <v/>
      </c>
      <c r="O32" s="379">
        <f>M32-K32</f>
        <v/>
      </c>
      <c r="U32" s="229" t="n"/>
      <c r="AA32" s="1070" t="n"/>
    </row>
    <row r="33" ht="15" customHeight="1" s="1085">
      <c r="C33" s="269" t="inlineStr">
        <is>
          <t>INSTALLATION AFTER HOURS</t>
        </is>
      </c>
      <c r="D33" s="242" t="n"/>
      <c r="E33" s="28" t="inlineStr">
        <is>
          <t>PER UNIT PER TEAM PER DAY</t>
        </is>
      </c>
      <c r="F33" s="28" t="n"/>
      <c r="G33" s="28" t="n"/>
      <c r="H33" s="28" t="n"/>
      <c r="I33" s="28" t="n"/>
      <c r="J33" s="385" t="n">
        <v>1220</v>
      </c>
      <c r="K33" s="378">
        <f>D33*J33</f>
        <v/>
      </c>
      <c r="L33" s="392" t="n">
        <v>0.4</v>
      </c>
      <c r="M33" s="311">
        <f>(K33/(1-L33))*(1+$D$9)</f>
        <v/>
      </c>
      <c r="N33" s="378">
        <f>(M33*VLOOKUP($C$9,'Base Costs'!$A$32:$B$37,2,FALSE))</f>
        <v/>
      </c>
      <c r="O33" s="379">
        <f>M33-K33</f>
        <v/>
      </c>
      <c r="U33" s="229" t="n"/>
      <c r="AA33" s="1070" t="n"/>
    </row>
    <row r="34" ht="15" customHeight="1" s="1085">
      <c r="C34" s="269" t="inlineStr">
        <is>
          <t>TRAVEL EXPENSES</t>
        </is>
      </c>
      <c r="D34" s="242" t="n"/>
      <c r="E34" s="28" t="inlineStr">
        <is>
          <t>PER NIGHT PER TEAM</t>
        </is>
      </c>
      <c r="F34" s="28" t="n"/>
      <c r="G34" s="28" t="n"/>
      <c r="H34" s="28" t="n"/>
      <c r="I34" s="28" t="n"/>
      <c r="J34" s="385" t="n">
        <v>150</v>
      </c>
      <c r="K34" s="378">
        <f>D34*J34</f>
        <v/>
      </c>
      <c r="L34" s="392" t="n">
        <v>0.33</v>
      </c>
      <c r="M34" s="311">
        <f>(K34/(1-L34))*(1+$D$9)</f>
        <v/>
      </c>
      <c r="N34" s="378">
        <f>(M34*VLOOKUP($C$9,'Base Costs'!$A$32:$B$37,2,FALSE))</f>
        <v/>
      </c>
      <c r="O34" s="379">
        <f>M34-K34</f>
        <v/>
      </c>
    </row>
    <row r="35" ht="15" customHeight="1" s="1085">
      <c r="C35" s="269" t="inlineStr">
        <is>
          <t>OVERNIGHT</t>
        </is>
      </c>
      <c r="D35" s="242" t="n"/>
      <c r="E35" s="28" t="inlineStr">
        <is>
          <t>PER NIGHT PER TEAM</t>
        </is>
      </c>
      <c r="F35" s="28" t="n"/>
      <c r="G35" s="28" t="n"/>
      <c r="H35" s="28" t="n"/>
      <c r="I35" s="28" t="n"/>
      <c r="J35" s="385" t="n">
        <v>220</v>
      </c>
      <c r="K35" s="378">
        <f>D35*J35</f>
        <v/>
      </c>
      <c r="L35" s="392" t="n">
        <v>0.33</v>
      </c>
      <c r="M35" s="311">
        <f>(K35/(1-L35))*(1+$D$9)</f>
        <v/>
      </c>
      <c r="N35" s="378">
        <f>(M35*VLOOKUP($C$9,'Base Costs'!$A$32:$B$37,2,FALSE))</f>
        <v/>
      </c>
      <c r="O35" s="379">
        <f>M35-K35</f>
        <v/>
      </c>
      <c r="U35" s="229" t="n"/>
      <c r="AA35" s="1070" t="n"/>
    </row>
    <row r="36" ht="15" customHeight="1" s="1085">
      <c r="C36" s="269" t="inlineStr">
        <is>
          <t>TEST &amp; COMMISSION</t>
        </is>
      </c>
      <c r="D36" s="242" t="n"/>
      <c r="E36" s="28" t="inlineStr">
        <is>
          <t>ONE ENGINEER</t>
        </is>
      </c>
      <c r="F36" s="28" t="n"/>
      <c r="G36" s="28" t="n"/>
      <c r="H36" s="28" t="n"/>
      <c r="I36" s="28" t="n"/>
      <c r="J36" s="385" t="n">
        <v>604</v>
      </c>
      <c r="K36" s="378">
        <f>D36*J36</f>
        <v/>
      </c>
      <c r="L36" s="392" t="n">
        <v>0.33</v>
      </c>
      <c r="M36" s="311">
        <f>(K36/(1-L36))*(1+$D$9)</f>
        <v/>
      </c>
      <c r="N36" s="378">
        <f>(M36*VLOOKUP($C$9,'Base Costs'!$A$32:$B$37,2,FALSE))</f>
        <v/>
      </c>
      <c r="O36" s="379">
        <f>M36-K36</f>
        <v/>
      </c>
      <c r="U36" s="229" t="n"/>
    </row>
    <row r="37" ht="15" customHeight="1" s="1085">
      <c r="A37" s="215" t="n">
        <v>222</v>
      </c>
      <c r="C37" s="269" t="n"/>
      <c r="D37" s="242" t="n"/>
      <c r="E37" s="28" t="inlineStr">
        <is>
          <t>OPTIONAL ITEM</t>
        </is>
      </c>
      <c r="F37" s="28" t="n"/>
      <c r="G37" s="28" t="n"/>
      <c r="H37" s="28" t="n"/>
      <c r="I37" s="28" t="n"/>
      <c r="J37" s="385" t="n">
        <v>200</v>
      </c>
      <c r="K37" s="378">
        <f>D37*J37</f>
        <v/>
      </c>
      <c r="L37" s="392" t="n">
        <v>0.33</v>
      </c>
      <c r="M37" s="311">
        <f>(K37/(1-L37))*(1+$D$9)</f>
        <v/>
      </c>
      <c r="N37" s="378">
        <f>(M37*VLOOKUP($C$9,'Base Costs'!$A$32:$B$37,2,FALSE))</f>
        <v/>
      </c>
      <c r="O37" s="379">
        <f>M37-K37</f>
        <v/>
      </c>
      <c r="U37" s="229" t="n"/>
    </row>
    <row r="38" ht="15" customHeight="1" s="1085">
      <c r="A38" s="215" t="n">
        <v>257</v>
      </c>
      <c r="C38" s="239" t="n"/>
      <c r="D38" s="239" t="n"/>
      <c r="E38" s="239" t="n"/>
      <c r="F38" s="239" t="n"/>
      <c r="G38" s="239" t="n"/>
      <c r="H38" s="243" t="n"/>
      <c r="I38" s="244" t="n"/>
      <c r="J38" s="354" t="n"/>
      <c r="K38" s="353" t="n"/>
      <c r="L38" s="355" t="n"/>
      <c r="M38" s="353" t="n"/>
      <c r="N38" s="353" t="n"/>
      <c r="U38" s="229" t="n"/>
    </row>
    <row r="39" ht="15" customHeight="1" s="1085">
      <c r="C39" s="197" t="inlineStr">
        <is>
          <t>Office Use Only</t>
        </is>
      </c>
      <c r="D39" s="198" t="n"/>
      <c r="E39" s="199" t="n"/>
      <c r="F39" s="199" t="n"/>
      <c r="G39" s="198" t="n"/>
      <c r="H39" s="200" t="n"/>
      <c r="I39" s="198" t="n"/>
      <c r="J39" s="198" t="n"/>
      <c r="K39" s="198" t="n"/>
      <c r="L39" s="198" t="n"/>
      <c r="M39" s="198" t="n"/>
      <c r="N39" s="198" t="n"/>
      <c r="O39" s="198" t="n"/>
      <c r="U39" s="229" t="n"/>
    </row>
    <row r="40" ht="15" customHeight="1" s="1085">
      <c r="C40" s="202" t="n"/>
      <c r="D40" s="203" t="n"/>
      <c r="E40" s="202" t="n"/>
      <c r="F40" s="204" t="n"/>
      <c r="G40" s="202" t="n"/>
      <c r="H40" s="209" t="n"/>
      <c r="I40" s="203" t="n"/>
      <c r="J40" s="203" t="n"/>
      <c r="K40" s="205" t="n"/>
      <c r="L40" s="205" t="n"/>
      <c r="M40" s="205" t="n"/>
      <c r="N40" s="205" t="n"/>
      <c r="O40" s="205" t="n"/>
      <c r="U40" s="229" t="n"/>
    </row>
    <row r="41" ht="15" customHeight="1" s="1085">
      <c r="C41" s="202" t="n"/>
      <c r="D41" s="203" t="n"/>
      <c r="E41" s="202" t="n"/>
      <c r="F41" s="204" t="n"/>
      <c r="G41" s="202" t="n"/>
      <c r="H41" s="209" t="n"/>
      <c r="I41" s="203" t="n"/>
      <c r="J41" s="203" t="n"/>
      <c r="K41" s="205" t="n"/>
      <c r="L41" s="205" t="n"/>
      <c r="M41" s="205" t="n"/>
      <c r="N41" s="205" t="n"/>
      <c r="O41" s="205" t="n"/>
      <c r="U41" s="229" t="n"/>
    </row>
    <row r="42" ht="15" customHeight="1" s="1085">
      <c r="C42" s="202" t="n"/>
      <c r="D42" s="203" t="n"/>
      <c r="E42" s="202" t="n"/>
      <c r="F42" s="204" t="n"/>
      <c r="G42" s="202" t="n"/>
      <c r="H42" s="209" t="n"/>
      <c r="I42" s="203" t="n"/>
      <c r="J42" s="203" t="n"/>
      <c r="K42" s="209" t="n"/>
      <c r="L42" s="209" t="n"/>
      <c r="M42" s="209" t="n"/>
      <c r="N42" s="209" t="n"/>
      <c r="O42" s="209" t="n"/>
      <c r="U42" s="229" t="n"/>
    </row>
    <row r="43" ht="15" customHeight="1" s="1085">
      <c r="C43" s="202" t="n"/>
      <c r="D43" s="203" t="n"/>
      <c r="E43" s="202" t="n"/>
      <c r="F43" s="204" t="n"/>
      <c r="G43" s="202" t="n"/>
      <c r="H43" s="209" t="n"/>
      <c r="I43" s="206" t="n"/>
      <c r="J43" s="203" t="n"/>
      <c r="K43" s="209" t="n"/>
      <c r="L43" s="209" t="n"/>
      <c r="M43" s="209" t="n"/>
      <c r="N43" s="209" t="n"/>
      <c r="O43" s="209" t="n"/>
      <c r="U43" s="229" t="n"/>
    </row>
    <row r="44" ht="15" customHeight="1" s="1085">
      <c r="C44" s="202" t="n"/>
      <c r="D44" s="203" t="n"/>
      <c r="E44" s="202" t="n"/>
      <c r="F44" s="202" t="n"/>
      <c r="G44" s="202" t="n"/>
      <c r="H44" s="207" t="n"/>
      <c r="I44" s="209" t="n"/>
      <c r="J44" s="203" t="n"/>
      <c r="K44" s="205" t="n"/>
      <c r="L44" s="205" t="n"/>
      <c r="M44" s="205" t="n"/>
      <c r="N44" s="205" t="n"/>
      <c r="O44" s="205" t="n"/>
      <c r="U44" s="229" t="n"/>
    </row>
    <row r="45" ht="15" customHeight="1" s="1085">
      <c r="C45" s="202" t="n"/>
      <c r="D45" s="202" t="n"/>
      <c r="E45" s="202" t="n"/>
      <c r="F45" s="202" t="n"/>
      <c r="G45" s="202" t="n"/>
      <c r="H45" s="207" t="n"/>
      <c r="I45" s="209" t="n"/>
      <c r="J45" s="203" t="n"/>
      <c r="K45" s="205" t="n"/>
      <c r="L45" s="205" t="n"/>
      <c r="M45" s="205" t="n"/>
      <c r="N45" s="205" t="n"/>
      <c r="O45" s="205" t="n"/>
      <c r="U45" s="229" t="n"/>
    </row>
    <row r="46" ht="15" customHeight="1" s="1085">
      <c r="J46" s="228" t="n"/>
      <c r="M46" s="228" t="n"/>
      <c r="O46" s="228" t="n"/>
      <c r="U46" s="229" t="n"/>
    </row>
    <row r="47" ht="15" customHeight="1" s="1085">
      <c r="J47" s="228" t="n"/>
      <c r="M47" s="228" t="n"/>
      <c r="O47" s="228" t="n"/>
      <c r="U47" s="229" t="n"/>
    </row>
    <row r="48" ht="15" customHeight="1" s="1085">
      <c r="H48" s="219" t="n"/>
      <c r="U48" s="229" t="n"/>
    </row>
    <row r="49" ht="15" customHeight="1" s="1085">
      <c r="H49" s="219" t="n"/>
      <c r="U49" s="229" t="n"/>
    </row>
    <row r="50" ht="15" customHeight="1" s="1085">
      <c r="H50" s="219" t="n"/>
      <c r="U50" s="229" t="n"/>
    </row>
    <row r="51" ht="15" customHeight="1" s="1085">
      <c r="H51" s="219" t="n"/>
      <c r="U51" s="229" t="n"/>
    </row>
    <row r="52" ht="15" customHeight="1" s="1085">
      <c r="H52" s="219" t="n"/>
      <c r="U52" s="229" t="n"/>
    </row>
    <row r="53" ht="15" customHeight="1" s="1085">
      <c r="H53" s="219" t="n"/>
      <c r="U53" s="229" t="n"/>
    </row>
    <row r="54" ht="15" customHeight="1" s="1085">
      <c r="H54" s="219" t="n"/>
      <c r="U54" s="229" t="n"/>
    </row>
    <row r="55" ht="15" customHeight="1" s="1085">
      <c r="H55" s="219" t="n"/>
      <c r="U55" s="229" t="n"/>
    </row>
    <row r="56" ht="15" customHeight="1" s="1085">
      <c r="H56" s="219" t="n"/>
      <c r="U56" s="229" t="n"/>
    </row>
    <row r="57" ht="15" customHeight="1" s="1085">
      <c r="C57" s="245" t="n"/>
      <c r="D57" s="245" t="n"/>
      <c r="E57" s="245" t="n"/>
      <c r="F57" s="245" t="n"/>
      <c r="G57" s="245" t="n"/>
      <c r="H57" s="245" t="n"/>
      <c r="U57" s="229" t="n"/>
    </row>
    <row r="58" ht="15" customHeight="1" s="1085">
      <c r="U58" s="229" t="n"/>
    </row>
    <row r="59" ht="15" customHeight="1" s="1085">
      <c r="U59" s="229" t="n"/>
    </row>
    <row r="60" ht="15" customHeight="1" s="1085">
      <c r="U60" s="229" t="n"/>
    </row>
    <row r="61" ht="15" customHeight="1" s="1085">
      <c r="U61" s="229" t="n"/>
    </row>
    <row r="62" ht="15" customHeight="1" s="1085">
      <c r="U62" s="229" t="n"/>
    </row>
    <row r="63" ht="15" customHeight="1" s="1085">
      <c r="U63" s="229" t="n"/>
    </row>
    <row r="64" ht="15" customHeight="1" s="1085">
      <c r="U64" s="229" t="n"/>
    </row>
    <row r="65" ht="15" customHeight="1" s="1085">
      <c r="U65" s="229" t="n"/>
    </row>
    <row r="66" ht="15" customHeight="1" s="1085">
      <c r="U66" s="229" t="n"/>
    </row>
    <row r="67" ht="15" customHeight="1" s="1085">
      <c r="U67" s="229" t="n"/>
    </row>
    <row r="68" ht="15" customHeight="1" s="1085"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3" ht="15" customHeight="1" s="1085">
      <c r="U103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1" ht="15" customHeight="1" s="1085">
      <c r="U121" s="229" t="n"/>
    </row>
    <row r="122" ht="15" customHeight="1" s="1085">
      <c r="U122" s="229" t="n"/>
    </row>
    <row r="123" ht="15" customHeight="1" s="1085">
      <c r="U123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  <row r="142" ht="15" customHeight="1" s="1085">
      <c r="U142" s="229" t="n"/>
    </row>
    <row r="143" ht="15" customHeight="1" s="1085">
      <c r="U143" s="229" t="n"/>
    </row>
    <row r="144" ht="15" customHeight="1" s="1085">
      <c r="U144" s="229" t="n"/>
    </row>
    <row r="145" ht="15" customHeight="1" s="1085">
      <c r="U145" s="229" t="n"/>
    </row>
    <row r="146" ht="15" customHeight="1" s="1085">
      <c r="U146" s="229" t="n"/>
    </row>
    <row r="147" ht="15" customHeight="1" s="1085">
      <c r="U147" s="229" t="n"/>
    </row>
    <row r="148" ht="15" customHeight="1" s="1085">
      <c r="U148" s="229" t="n"/>
    </row>
    <row r="149" ht="15" customHeight="1" s="1085">
      <c r="U149" s="229" t="n"/>
    </row>
    <row r="150" ht="15" customHeight="1" s="1085">
      <c r="U150" s="229" t="n"/>
    </row>
  </sheetData>
  <mergeCells count="14">
    <mergeCell ref="P30:R30"/>
    <mergeCell ref="P7:R7"/>
    <mergeCell ref="D7:E7"/>
    <mergeCell ref="P29:Q29"/>
    <mergeCell ref="C1:D1"/>
    <mergeCell ref="H5:J5"/>
    <mergeCell ref="D5:E5"/>
    <mergeCell ref="P31:R31"/>
    <mergeCell ref="F28:G28"/>
    <mergeCell ref="F32:G32"/>
    <mergeCell ref="C26:H26"/>
    <mergeCell ref="H3:J3"/>
    <mergeCell ref="D3:E3"/>
    <mergeCell ref="H7:J7"/>
  </mergeCells>
  <conditionalFormatting sqref="C9">
    <cfRule type="expression" priority="27" dxfId="680">
      <formula>C9="CURRENCY"</formula>
    </cfRule>
    <cfRule type="containsText" priority="26" operator="containsText" dxfId="680" text="SELECT">
      <formula>NOT(ISERROR(SEARCH("SELECT",C9)))</formula>
    </cfRule>
  </conditionalFormatting>
  <conditionalFormatting sqref="C14:C23">
    <cfRule type="expression" priority="1" dxfId="633">
      <formula>$J14&gt;0</formula>
    </cfRule>
  </conditionalFormatting>
  <conditionalFormatting sqref="C27:C37">
    <cfRule type="expression" priority="10" dxfId="633">
      <formula>$D27&gt;0</formula>
    </cfRule>
  </conditionalFormatting>
  <conditionalFormatting sqref="D27:D28 D30:D37">
    <cfRule type="cellIs" priority="28" operator="lessThan" dxfId="554">
      <formula>1</formula>
    </cfRule>
  </conditionalFormatting>
  <conditionalFormatting sqref="D29">
    <cfRule type="cellIs" priority="23" operator="lessThan" dxfId="164">
      <formula>1</formula>
    </cfRule>
  </conditionalFormatting>
  <conditionalFormatting sqref="D9:E9">
    <cfRule type="cellIs" priority="24" operator="lessThan" dxfId="207">
      <formula>0</formula>
    </cfRule>
    <cfRule type="cellIs" priority="25" operator="greaterThan" dxfId="552">
      <formula>0</formula>
    </cfRule>
  </conditionalFormatting>
  <conditionalFormatting sqref="F12">
    <cfRule type="cellIs" priority="38" operator="greaterThan" dxfId="204">
      <formula>2000</formula>
    </cfRule>
    <cfRule type="expression" priority="37" dxfId="387">
      <formula>ISNUMBER(SEARCH("I-MUAP",#REF!))</formula>
    </cfRule>
    <cfRule type="expression" priority="36" dxfId="386">
      <formula>AND((ISNUMBER(SEARCH("I-MUAP",#REF!))),F12&lt;2500)</formula>
    </cfRule>
  </conditionalFormatting>
  <conditionalFormatting sqref="F12:G12">
    <cfRule type="cellIs" priority="29" operator="lessThan" dxfId="204">
      <formula>1000</formula>
    </cfRule>
  </conditionalFormatting>
  <conditionalFormatting sqref="F14:G19">
    <cfRule type="cellIs" priority="3" operator="lessThan" dxfId="164">
      <formula>1000</formula>
    </cfRule>
  </conditionalFormatting>
  <conditionalFormatting sqref="G12">
    <cfRule type="cellIs" priority="30" operator="greaterThan" dxfId="204">
      <formula>3001</formula>
    </cfRule>
  </conditionalFormatting>
  <conditionalFormatting sqref="H11">
    <cfRule type="expression" priority="39" dxfId="176">
      <formula>((#REF!-50)/#REF!)&lt;950</formula>
    </cfRule>
  </conditionalFormatting>
  <conditionalFormatting sqref="H12">
    <cfRule type="expression" priority="40" dxfId="175">
      <formula>((#REF!-50)/#REF!)&lt;950</formula>
    </cfRule>
  </conditionalFormatting>
  <conditionalFormatting sqref="H14:H19">
    <cfRule type="cellIs" priority="4" operator="lessThan" dxfId="164">
      <formula>400</formula>
    </cfRule>
  </conditionalFormatting>
  <conditionalFormatting sqref="H24">
    <cfRule type="expression" priority="35" dxfId="176">
      <formula>((#REF!-50)/#REF!)&lt;950</formula>
    </cfRule>
  </conditionalFormatting>
  <conditionalFormatting sqref="J14:J21">
    <cfRule type="cellIs" priority="15" operator="greaterThan" dxfId="153">
      <formula>0</formula>
    </cfRule>
  </conditionalFormatting>
  <conditionalFormatting sqref="J27:J37">
    <cfRule type="expression" priority="16" dxfId="153">
      <formula>D27&gt;0</formula>
    </cfRule>
  </conditionalFormatting>
  <conditionalFormatting sqref="J39:J45">
    <cfRule type="expression" priority="70" dxfId="2">
      <formula>#REF!="EURO"</formula>
    </cfRule>
  </conditionalFormatting>
  <conditionalFormatting sqref="K14:K23 N14:O23">
    <cfRule type="cellIs" priority="2" operator="greaterThan" dxfId="141">
      <formula>0</formula>
    </cfRule>
  </conditionalFormatting>
  <conditionalFormatting sqref="K27:K37">
    <cfRule type="cellIs" priority="22" operator="greaterThan" dxfId="141">
      <formula>0</formula>
    </cfRule>
  </conditionalFormatting>
  <conditionalFormatting sqref="K39:K45">
    <cfRule type="expression" priority="66" dxfId="4">
      <formula>$C$9="PLN"</formula>
    </cfRule>
    <cfRule type="expression" priority="67" dxfId="0">
      <formula>$C$9="CZK"</formula>
    </cfRule>
    <cfRule type="expression" priority="68" dxfId="3">
      <formula>$C$9="USD"</formula>
    </cfRule>
    <cfRule type="expression" priority="69" dxfId="2">
      <formula>$C$9="EURO"</formula>
    </cfRule>
  </conditionalFormatting>
  <conditionalFormatting sqref="L14:L23">
    <cfRule type="expression" priority="14" dxfId="115">
      <formula>$D$9&gt;0</formula>
    </cfRule>
    <cfRule type="expression" priority="13" dxfId="116">
      <formula>$D$9&lt;0</formula>
    </cfRule>
  </conditionalFormatting>
  <conditionalFormatting sqref="L27:L37">
    <cfRule type="expression" priority="12" dxfId="115">
      <formula>$D$9&gt;0</formula>
    </cfRule>
    <cfRule type="expression" priority="11" dxfId="116">
      <formula>$D$9&lt;0</formula>
    </cfRule>
  </conditionalFormatting>
  <conditionalFormatting sqref="N9 N12">
    <cfRule type="expression" priority="31" dxfId="4">
      <formula>$C$9="PLN"</formula>
    </cfRule>
    <cfRule type="expression" priority="32" dxfId="0">
      <formula>$C$9="CZK"</formula>
    </cfRule>
    <cfRule type="expression" priority="33" dxfId="3">
      <formula>$C$9="USD"</formula>
    </cfRule>
    <cfRule type="expression" priority="34" dxfId="2">
      <formula>$C$9="EURO"</formula>
    </cfRule>
  </conditionalFormatting>
  <conditionalFormatting sqref="N14:N23">
    <cfRule type="expression" priority="20" dxfId="2">
      <formula>$C$9="EURO"</formula>
    </cfRule>
    <cfRule type="expression" priority="19" dxfId="3">
      <formula>$C$9="USD"</formula>
    </cfRule>
    <cfRule type="expression" priority="18" dxfId="0">
      <formula>$C$9="CZK"</formula>
    </cfRule>
    <cfRule type="expression" priority="17" dxfId="4">
      <formula>$C$9="PLN"</formula>
    </cfRule>
  </conditionalFormatting>
  <conditionalFormatting sqref="N26:N37">
    <cfRule type="expression" priority="6" dxfId="4">
      <formula>$C$9="PLN"</formula>
    </cfRule>
    <cfRule type="expression" priority="7" dxfId="0">
      <formula>$C$9="CZK"</formula>
    </cfRule>
    <cfRule type="expression" priority="9" dxfId="2">
      <formula>$C$9="EURO"</formula>
    </cfRule>
    <cfRule type="expression" priority="8" dxfId="3">
      <formula>$C$9="USD"</formula>
    </cfRule>
  </conditionalFormatting>
  <conditionalFormatting sqref="N27:O37">
    <cfRule type="cellIs" priority="5" operator="greaterThan" dxfId="141">
      <formula>0</formula>
    </cfRule>
  </conditionalFormatting>
  <dataValidations count="3">
    <dataValidation sqref="F14:F19" showDropDown="0" showInputMessage="1" showErrorMessage="1" allowBlank="1" operator="greaterThan"/>
    <dataValidation sqref="E14:E23" showDropDown="0" showInputMessage="1" showErrorMessage="1" allowBlank="1" type="list">
      <formula1>"0,1,2,3,4,5,6,7,8,9,10,11,12,13,14,15,16,17,18,19,20"</formula1>
    </dataValidation>
    <dataValidation sqref="H25" showDropDown="0" showInputMessage="1" showErrorMessage="1" allowBlank="1" type="list">
      <formula1>#REF!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59"/>
  <drawing xmlns:r="http://schemas.openxmlformats.org/officeDocument/2006/relationships" r:id="rId1"/>
</worksheet>
</file>

<file path=xl/worksheets/sheet52.xml><?xml version="1.0" encoding="utf-8"?>
<worksheet xmlns="http://schemas.openxmlformats.org/spreadsheetml/2006/main">
  <sheetPr codeName="Sheet25">
    <tabColor theme="8" tint="0.7999816888943144"/>
    <outlinePr summaryBelow="1" summaryRight="1"/>
    <pageSetUpPr fitToPage="1"/>
  </sheetPr>
  <dimension ref="A1:AB160"/>
  <sheetViews>
    <sheetView showGridLines="0" topLeftCell="A25" zoomScale="90" zoomScaleNormal="90" zoomScaleSheetLayoutView="50" workbookViewId="0">
      <selection activeCell="C46" sqref="C46"/>
    </sheetView>
  </sheetViews>
  <sheetFormatPr baseColWidth="10" defaultColWidth="8.83203125" defaultRowHeight="15" customHeight="1"/>
  <cols>
    <col width="2" customWidth="1" style="215" min="1" max="2"/>
    <col width="32.33203125" customWidth="1" style="1070" min="3" max="3"/>
    <col width="39.83203125" customWidth="1" style="1070" min="4" max="4"/>
    <col width="27.1640625" customWidth="1" style="1070" min="5" max="5"/>
    <col width="26.6640625" customWidth="1" style="1070" min="6" max="6"/>
    <col width="18.83203125" customWidth="1" style="1070" min="7" max="7"/>
    <col width="25" bestFit="1" customWidth="1" style="1070" min="8" max="8"/>
    <col width="10" bestFit="1" customWidth="1" style="1072" min="9" max="9"/>
    <col width="14.83203125" bestFit="1" customWidth="1" style="1073" min="10" max="10"/>
    <col width="17.5" customWidth="1" style="228" min="11" max="11"/>
    <col width="7.83203125" bestFit="1" customWidth="1" style="228" min="12" max="12"/>
    <col hidden="1" width="1.33203125" customWidth="1" style="346" min="13" max="13"/>
    <col width="14.5" bestFit="1" customWidth="1" style="1073" min="14" max="14"/>
    <col width="13.6640625" bestFit="1" customWidth="1" style="14" min="15" max="15"/>
    <col width="8.83203125" customWidth="1" style="1070" min="16" max="17"/>
    <col width="18.6640625" customWidth="1" style="1070" min="18" max="18"/>
    <col width="8.83203125" customWidth="1" style="1070" min="19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0"/>
    <col width="8.83203125" customWidth="1" style="1070" min="101" max="16384"/>
  </cols>
  <sheetData>
    <row r="1" ht="15" customHeight="1" s="1085">
      <c r="C1" s="1148" t="inlineStr">
        <is>
          <t xml:space="preserve">F24-19   RECOAIR COST SHEET </t>
        </is>
      </c>
      <c r="E1" s="216" t="n"/>
      <c r="F1" s="216" t="n"/>
      <c r="G1" s="216" t="n"/>
      <c r="H1" s="216" t="n"/>
      <c r="I1" s="29" t="n"/>
      <c r="J1" s="336" t="n"/>
      <c r="K1" s="337" t="n"/>
      <c r="L1" s="338" t="n"/>
      <c r="M1" s="339" t="n"/>
      <c r="N1" s="336" t="n"/>
      <c r="O1" s="975" t="inlineStr">
        <is>
          <t>JAN25-19</t>
        </is>
      </c>
      <c r="S1" s="80" t="n"/>
      <c r="T1" s="218" t="n"/>
    </row>
    <row r="2" ht="15" customHeight="1" s="1085">
      <c r="C2" s="79" t="n"/>
      <c r="D2" s="221" t="n"/>
      <c r="E2" s="221" t="n"/>
      <c r="G2" s="79" t="n"/>
      <c r="H2" s="77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C3" s="78" t="inlineStr">
        <is>
          <t>Job No.</t>
        </is>
      </c>
      <c r="D3" s="1130">
        <f>IF(CANOPY!C3="","",CANOPY!C3)</f>
        <v/>
      </c>
      <c r="G3" s="76" t="inlineStr">
        <is>
          <t>Project Name</t>
        </is>
      </c>
      <c r="H3" s="1071">
        <f>IF(CANOPY!G3="","",CANOPY!G3)</f>
        <v/>
      </c>
      <c r="L3" s="342" t="n"/>
      <c r="M3" s="343" t="n"/>
      <c r="N3" s="344" t="n"/>
      <c r="T3" s="225" t="n"/>
    </row>
    <row r="4" ht="15" customHeight="1" s="1085">
      <c r="C4" s="79" t="n"/>
      <c r="D4" s="223" t="n"/>
      <c r="E4" s="223" t="n"/>
      <c r="G4" s="77" t="n"/>
      <c r="H4" s="222" t="n"/>
      <c r="I4" s="227" t="n"/>
      <c r="J4" s="341" t="n"/>
      <c r="L4" s="342" t="n"/>
      <c r="M4" s="343" t="n"/>
      <c r="N4" s="344" t="n"/>
      <c r="T4" s="225" t="n"/>
    </row>
    <row r="5" ht="15" customHeight="1" s="1085">
      <c r="C5" s="78" t="inlineStr">
        <is>
          <t>Customer</t>
        </is>
      </c>
      <c r="D5" s="1074">
        <f>IF(CANOPY!C5="","",CANOPY!C5)</f>
        <v/>
      </c>
      <c r="G5" s="76" t="inlineStr">
        <is>
          <t>Location</t>
        </is>
      </c>
      <c r="H5" s="1071">
        <f>IF(CANOPY!G5="","",CANOPY!G5)</f>
        <v/>
      </c>
      <c r="M5" s="343" t="n"/>
      <c r="N5" s="344" t="n"/>
      <c r="Q5" s="229" t="n"/>
      <c r="R5" s="229" t="n"/>
      <c r="T5" s="225" t="n"/>
      <c r="U5" s="226" t="n"/>
    </row>
    <row r="6" ht="15" customHeight="1" s="1085">
      <c r="C6" s="78" t="n"/>
      <c r="D6" s="230" t="n"/>
      <c r="E6" s="230" t="n"/>
      <c r="G6" s="76" t="n"/>
      <c r="H6" s="222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C7" s="80" t="inlineStr">
        <is>
          <t>Sales Manager / Estimator initials</t>
        </is>
      </c>
      <c r="D7" s="1074">
        <f>IF(CANOPY!C7="","",CANOPY!C7)</f>
        <v/>
      </c>
      <c r="G7" s="76" t="inlineStr">
        <is>
          <t>Date</t>
        </is>
      </c>
      <c r="H7" s="1075">
        <f>IF(CANOPY!G7="","",CANOPY!G7)</f>
        <v/>
      </c>
      <c r="N7" s="347" t="inlineStr">
        <is>
          <t>Revision No</t>
        </is>
      </c>
      <c r="O7" s="900">
        <f>IF(CANOPY!O7="","",CANOPY!O7)</f>
        <v/>
      </c>
      <c r="P7" s="1157" t="inlineStr">
        <is>
          <t>GP SHOULD BE MINIMUM 44%</t>
        </is>
      </c>
      <c r="T7" s="225" t="n"/>
      <c r="U7" s="226" t="n"/>
      <c r="AA7" s="231" t="n"/>
    </row>
    <row r="8" ht="15" customHeight="1" s="1085">
      <c r="E8" s="219" t="n"/>
      <c r="F8" s="219" t="n"/>
      <c r="H8" s="219" t="n"/>
      <c r="J8" s="346" t="n"/>
      <c r="K8" s="14" t="n"/>
      <c r="T8" s="225" t="n"/>
      <c r="AA8" s="231" t="n"/>
    </row>
    <row r="9" ht="15" customFormat="1" customHeight="1" s="80">
      <c r="A9" s="215" t="n"/>
      <c r="B9" s="215" t="n"/>
      <c r="C9" s="38" t="inlineStr">
        <is>
          <t>CURRENCY</t>
        </is>
      </c>
      <c r="D9" s="951" t="n">
        <v>0</v>
      </c>
      <c r="E9" s="377">
        <f>IF(D9=0,0,(SUBTOTAL(9,M14:M47)/(1-D9))-M9)</f>
        <v/>
      </c>
      <c r="I9" s="234" t="n"/>
      <c r="K9" s="25">
        <f>SUBTOTAL(9,K12:K47)</f>
        <v/>
      </c>
      <c r="L9" s="970">
        <f>IF(O9=0,"-",O9/M9)</f>
        <v/>
      </c>
      <c r="M9" s="25">
        <f>SUBTOTAL(9,M12:M47)</f>
        <v/>
      </c>
      <c r="N9" s="464">
        <f>SUBTOTAL(9,N12:N47)</f>
        <v/>
      </c>
      <c r="O9" s="25">
        <f>SUBTOTAL(9,O12:O47)</f>
        <v/>
      </c>
      <c r="P9" s="1070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215" t="n"/>
      <c r="C12" s="1089" t="inlineStr">
        <is>
          <t xml:space="preserve">ITEM </t>
        </is>
      </c>
      <c r="D12" s="236" t="n"/>
      <c r="E12" s="237">
        <f>E14</f>
        <v/>
      </c>
      <c r="F12" s="838" t="n">
        <v>0</v>
      </c>
      <c r="G12" s="838">
        <f>IF(I12&lt;1,0,CEILING((G14-100)/I14,250))</f>
        <v/>
      </c>
      <c r="H12" s="237">
        <f>E12&amp;G12&amp;F12</f>
        <v/>
      </c>
      <c r="I12" s="236">
        <f>IF(F14=0,0,IF(G14=0,0,(F14/(IF(D14="WALL",F14,(F14/2)))*I14)))</f>
        <v/>
      </c>
      <c r="J12" s="238" t="n"/>
      <c r="K12" s="154">
        <f>SUBTOTAL(9,K14:K33)</f>
        <v/>
      </c>
      <c r="L12" s="15">
        <f>IF(K14=0,"-",O12/M12)</f>
        <v/>
      </c>
      <c r="M12" s="154">
        <f>SUBTOTAL(9,M14:M31)</f>
        <v/>
      </c>
      <c r="N12" s="464">
        <f>SUBTOTAL(9,N14:N33)</f>
        <v/>
      </c>
      <c r="O12" s="154">
        <f>SUBTOTAL(9,O14:O33)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WIDTH</t>
        </is>
      </c>
      <c r="G13" s="10" t="inlineStr">
        <is>
          <t>LENGTH</t>
        </is>
      </c>
      <c r="H13" s="10" t="inlineStr">
        <is>
          <t>HEIGHT</t>
        </is>
      </c>
      <c r="I13" s="10" t="inlineStr">
        <is>
          <t>SECTIONS</t>
        </is>
      </c>
      <c r="J13" s="349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A14" s="215" t="n">
        <v>210</v>
      </c>
      <c r="C14" s="855" t="inlineStr">
        <is>
          <t>RAH0.5 STANDARD</t>
        </is>
      </c>
      <c r="D14" s="460" t="inlineStr">
        <is>
          <t>VERTICAL  0.5M3/S</t>
        </is>
      </c>
      <c r="E14" s="448" t="n">
        <v>0</v>
      </c>
      <c r="F14" s="837" t="n">
        <v>880</v>
      </c>
      <c r="G14" s="835" t="n">
        <v>685</v>
      </c>
      <c r="H14" s="896" t="n">
        <v>2050</v>
      </c>
      <c r="I14" s="31" t="n"/>
      <c r="J14" s="380" t="n">
        <v>5142.7</v>
      </c>
      <c r="K14" s="378">
        <f>SUM(J14*E14)</f>
        <v/>
      </c>
      <c r="L14" s="897" t="n">
        <v>0.6652043</v>
      </c>
      <c r="M14" s="311">
        <f>(K14/(1-L14))*(1+$D$9)</f>
        <v/>
      </c>
      <c r="N14" s="378">
        <f>(M14*VLOOKUP($C$9,'Base Costs'!$A$32:$B$37,2,FALSE))</f>
        <v/>
      </c>
      <c r="O14" s="379">
        <f>M14-K14</f>
        <v/>
      </c>
      <c r="U14" s="229" t="n"/>
      <c r="AA14" s="1070" t="n"/>
    </row>
    <row r="15" ht="15" customHeight="1" s="1085">
      <c r="A15" s="215" t="n">
        <v>104</v>
      </c>
      <c r="C15" s="855" t="inlineStr">
        <is>
          <t>RAH0.8 STANDARD</t>
        </is>
      </c>
      <c r="D15" s="460" t="inlineStr">
        <is>
          <t>VERTICAL  0.8M3/S</t>
        </is>
      </c>
      <c r="E15" s="448" t="n">
        <v>0</v>
      </c>
      <c r="F15" s="895" t="n">
        <v>1100</v>
      </c>
      <c r="G15" s="835" t="n">
        <v>850</v>
      </c>
      <c r="H15" s="896" t="n">
        <v>2050</v>
      </c>
      <c r="I15" s="31" t="n"/>
      <c r="J15" s="380" t="n">
        <v>5454.18</v>
      </c>
      <c r="K15" s="378">
        <f>SUM(J15*E15)</f>
        <v/>
      </c>
      <c r="L15" s="897" t="n">
        <v>0.7108179999999999</v>
      </c>
      <c r="M15" s="311">
        <f>(K15/(1-L15))*(1+$D$9)</f>
        <v/>
      </c>
      <c r="N15" s="378">
        <f>(M15*VLOOKUP($C$9,'Base Costs'!$A$32:$B$37,2,FALSE))</f>
        <v/>
      </c>
      <c r="O15" s="379">
        <f>M15-K15</f>
        <v/>
      </c>
      <c r="U15" s="229" t="n"/>
      <c r="AA15" s="1070" t="n"/>
    </row>
    <row r="16" ht="15" customHeight="1" s="1085">
      <c r="A16" s="215" t="n">
        <v>234</v>
      </c>
      <c r="C16" s="855" t="inlineStr">
        <is>
          <t>RA1.0 STANDARD</t>
        </is>
      </c>
      <c r="D16" s="460" t="inlineStr">
        <is>
          <t>VERTICAL  0.9M3/S</t>
        </is>
      </c>
      <c r="E16" s="461" t="n">
        <v>0</v>
      </c>
      <c r="F16" s="895" t="n">
        <v>1500</v>
      </c>
      <c r="G16" s="835" t="n">
        <v>700</v>
      </c>
      <c r="H16" s="896" t="n">
        <v>1900</v>
      </c>
      <c r="I16" s="31" t="n"/>
      <c r="J16" s="380" t="n">
        <v>6833.44</v>
      </c>
      <c r="K16" s="378">
        <f>SUM(J16*E16)</f>
        <v/>
      </c>
      <c r="L16" s="897" t="n">
        <v>0.6930269</v>
      </c>
      <c r="M16" s="311">
        <f>(K16/(1-L16))*(1+$D$9)</f>
        <v/>
      </c>
      <c r="N16" s="378">
        <f>(M16*VLOOKUP($C$9,'Base Costs'!$A$32:$B$37,2,FALSE))</f>
        <v/>
      </c>
      <c r="O16" s="379">
        <f>M16-K16</f>
        <v/>
      </c>
      <c r="U16" s="229" t="n"/>
      <c r="AA16" s="1070" t="n"/>
    </row>
    <row r="17" ht="15" customHeight="1" s="1085">
      <c r="C17" s="855" t="inlineStr">
        <is>
          <t>RA1.5 STANDARD</t>
        </is>
      </c>
      <c r="D17" s="460" t="inlineStr">
        <is>
          <t>VERTICAL  1.2M3/S</t>
        </is>
      </c>
      <c r="E17" s="448" t="n">
        <v>0</v>
      </c>
      <c r="F17" s="895" t="n">
        <v>1540</v>
      </c>
      <c r="G17" s="895" t="n">
        <v>1130</v>
      </c>
      <c r="H17" s="896" t="n">
        <v>1900</v>
      </c>
      <c r="I17" s="31" t="n"/>
      <c r="J17" s="380" t="n">
        <v>7481.11</v>
      </c>
      <c r="K17" s="378">
        <f>SUM(J17*E17)</f>
        <v/>
      </c>
      <c r="L17" s="897" t="n">
        <v>0.7275705</v>
      </c>
      <c r="M17" s="311">
        <f>(K17/(1-L17))*(1+$D$9)</f>
        <v/>
      </c>
      <c r="N17" s="378">
        <f>(M17*VLOOKUP($C$9,'Base Costs'!$A$32:$B$37,2,FALSE))</f>
        <v/>
      </c>
      <c r="O17" s="379">
        <f>M17-K17</f>
        <v/>
      </c>
      <c r="U17" s="229" t="n"/>
      <c r="AA17" s="1070" t="n"/>
    </row>
    <row r="18" ht="15" customHeight="1" s="1085">
      <c r="C18" s="855" t="inlineStr">
        <is>
          <t>RA2.0 STANDARD</t>
        </is>
      </c>
      <c r="D18" s="460" t="inlineStr">
        <is>
          <t>VERTICAL  1.8M3/S</t>
        </is>
      </c>
      <c r="E18" s="448" t="n">
        <v>0</v>
      </c>
      <c r="F18" s="895" t="n">
        <v>1540</v>
      </c>
      <c r="G18" s="895" t="n">
        <v>1430</v>
      </c>
      <c r="H18" s="896" t="n">
        <v>1900</v>
      </c>
      <c r="I18" s="31" t="n"/>
      <c r="J18" s="380" t="n">
        <v>8873.690000000001</v>
      </c>
      <c r="K18" s="378">
        <f>SUM(J18*E18)</f>
        <v/>
      </c>
      <c r="L18" s="897" t="n">
        <v>0.6925339</v>
      </c>
      <c r="M18" s="311">
        <f>(K18/(1-L18))*(1+$D$9)</f>
        <v/>
      </c>
      <c r="N18" s="378">
        <f>(M18*VLOOKUP($C$9,'Base Costs'!$A$32:$B$37,2,FALSE))</f>
        <v/>
      </c>
      <c r="O18" s="379">
        <f>M18-K18</f>
        <v/>
      </c>
      <c r="U18" s="229" t="n"/>
      <c r="AA18" s="1070" t="n"/>
    </row>
    <row r="19" ht="15" customHeight="1" s="1085">
      <c r="C19" s="269" t="inlineStr">
        <is>
          <t>RA2.5 STANDARD (Prem Controls)</t>
        </is>
      </c>
      <c r="D19" s="460" t="inlineStr">
        <is>
          <t>VERTICAL  2.25M3/S</t>
        </is>
      </c>
      <c r="E19" s="448" t="n">
        <v>0</v>
      </c>
      <c r="F19" s="895" t="n">
        <v>1540</v>
      </c>
      <c r="G19" s="895" t="n">
        <v>1815</v>
      </c>
      <c r="H19" s="896" t="n">
        <v>1900</v>
      </c>
      <c r="I19" s="31" t="n"/>
      <c r="J19" s="380" t="n">
        <v>13636.4</v>
      </c>
      <c r="K19" s="378">
        <f>SUM(J19*E19)</f>
        <v/>
      </c>
      <c r="L19" s="897" t="n">
        <v>0.6883872</v>
      </c>
      <c r="M19" s="311">
        <f>(K19/(1-L19))*(1+$D$9)</f>
        <v/>
      </c>
      <c r="N19" s="378">
        <f>(M19*VLOOKUP($C$9,'Base Costs'!$A$32:$B$37,2,FALSE))</f>
        <v/>
      </c>
      <c r="O19" s="379">
        <f>M19-K19</f>
        <v/>
      </c>
      <c r="U19" s="229" t="n"/>
      <c r="AA19" s="1070" t="n"/>
    </row>
    <row r="20" ht="15" customHeight="1" s="1085">
      <c r="C20" s="270" t="inlineStr">
        <is>
          <t>RA3.0 STANDARD (Prem Controls)</t>
        </is>
      </c>
      <c r="D20" s="460" t="inlineStr">
        <is>
          <t>VERTICAL  2.7M3/S</t>
        </is>
      </c>
      <c r="E20" s="448" t="n">
        <v>0</v>
      </c>
      <c r="F20" s="895" t="n">
        <v>1540</v>
      </c>
      <c r="G20" s="895" t="n">
        <v>2115</v>
      </c>
      <c r="H20" s="896" t="n">
        <v>1900</v>
      </c>
      <c r="I20" s="31" t="n"/>
      <c r="J20" s="380" t="n">
        <v>14380.23</v>
      </c>
      <c r="K20" s="378">
        <f>SUM(J20*E20)</f>
        <v/>
      </c>
      <c r="L20" s="897" t="n">
        <v>0.7000995</v>
      </c>
      <c r="M20" s="311">
        <f>(K20/(1-L20))*(1+$D$9)</f>
        <v/>
      </c>
      <c r="N20" s="378">
        <f>(M20*VLOOKUP($C$9,'Base Costs'!$A$32:$B$37,2,FALSE))</f>
        <v/>
      </c>
      <c r="O20" s="379">
        <f>M20-K20</f>
        <v/>
      </c>
      <c r="U20" s="229" t="n"/>
      <c r="AA20" s="1070" t="n"/>
    </row>
    <row r="21" ht="15" customHeight="1" s="1085">
      <c r="A21" s="215" t="n">
        <v>289</v>
      </c>
      <c r="C21" s="791" t="inlineStr">
        <is>
          <t>RA3.5 STANDARD (Prem Controls)</t>
        </is>
      </c>
      <c r="D21" s="460" t="inlineStr">
        <is>
          <t>VERTICAL  3.15M3/S</t>
        </is>
      </c>
      <c r="E21" s="448" t="n">
        <v>0</v>
      </c>
      <c r="F21" s="895" t="n">
        <v>1540</v>
      </c>
      <c r="G21" s="895" t="n">
        <v>2500</v>
      </c>
      <c r="H21" s="896" t="n">
        <v>1900</v>
      </c>
      <c r="I21" s="31" t="n"/>
      <c r="J21" s="380" t="n">
        <v>15656.09</v>
      </c>
      <c r="K21" s="378">
        <f>SUM(J21*E21)</f>
        <v/>
      </c>
      <c r="L21" s="897" t="n">
        <v>0.7059889</v>
      </c>
      <c r="M21" s="311">
        <f>(K21/(1-L21))*(1+$D$9)</f>
        <v/>
      </c>
      <c r="N21" s="378">
        <f>(M21*VLOOKUP($C$9,'Base Costs'!$A$32:$B$37,2,FALSE))</f>
        <v/>
      </c>
      <c r="O21" s="379">
        <f>M21-K21</f>
        <v/>
      </c>
      <c r="U21" s="229" t="n"/>
      <c r="AA21" s="1070" t="n"/>
    </row>
    <row r="22" ht="15" customHeight="1" s="1085">
      <c r="A22" s="215" t="n">
        <v>242</v>
      </c>
      <c r="C22" s="791" t="inlineStr">
        <is>
          <t>RA4.0 STANDARD (Prem Controls)</t>
        </is>
      </c>
      <c r="D22" s="460" t="inlineStr">
        <is>
          <t>VERTICAL  3.6M3/S</t>
        </is>
      </c>
      <c r="E22" s="448" t="n">
        <v>0</v>
      </c>
      <c r="F22" s="895" t="n">
        <v>1540</v>
      </c>
      <c r="G22" s="895" t="n">
        <v>2800</v>
      </c>
      <c r="H22" s="896" t="n">
        <v>1900</v>
      </c>
      <c r="I22" s="31" t="n"/>
      <c r="J22" s="380" t="n">
        <v>16792.07</v>
      </c>
      <c r="K22" s="378">
        <f>SUM(J22*E22)</f>
        <v/>
      </c>
      <c r="L22" s="897" t="n">
        <v>0.71417755</v>
      </c>
      <c r="M22" s="311">
        <f>(K22/(1-L22))*(1+$D$9)</f>
        <v/>
      </c>
      <c r="N22" s="378">
        <f>(M22*VLOOKUP($C$9,'Base Costs'!$A$32:$B$37,2,FALSE))</f>
        <v/>
      </c>
      <c r="O22" s="379">
        <f>M22-K22</f>
        <v/>
      </c>
      <c r="U22" s="229" t="n"/>
      <c r="AA22" s="1070" t="n"/>
    </row>
    <row r="23" ht="15" customHeight="1" s="1085">
      <c r="A23" s="215" t="n">
        <v>220</v>
      </c>
      <c r="C23" s="855" t="inlineStr">
        <is>
          <t>RAH0.5 VOID (+10%)</t>
        </is>
      </c>
      <c r="D23" s="460" t="inlineStr">
        <is>
          <t>HORIZONTAL  0.5M3/S</t>
        </is>
      </c>
      <c r="E23" s="448" t="n">
        <v>0</v>
      </c>
      <c r="F23" s="837" t="n">
        <v>880</v>
      </c>
      <c r="G23" s="895" t="n">
        <v>2000</v>
      </c>
      <c r="H23" s="896" t="n">
        <v>700</v>
      </c>
      <c r="I23" s="31" t="n"/>
      <c r="J23" s="380" t="n">
        <v>5656.97</v>
      </c>
      <c r="K23" s="378">
        <f>SUM(J23*E23)</f>
        <v/>
      </c>
      <c r="L23" s="392" t="n">
        <v>0.6652043</v>
      </c>
      <c r="M23" s="311">
        <f>(K23/(1-L23))*(1+$D$9)</f>
        <v/>
      </c>
      <c r="N23" s="378">
        <f>(M23*VLOOKUP($C$9,'Base Costs'!$A$32:$B$37,2,FALSE))</f>
        <v/>
      </c>
      <c r="O23" s="379">
        <f>M23-K23</f>
        <v/>
      </c>
      <c r="U23" s="229" t="n"/>
      <c r="AA23" s="1070" t="n"/>
    </row>
    <row r="24" ht="15" customHeight="1" s="1085">
      <c r="A24" s="215" t="n">
        <v>103</v>
      </c>
      <c r="C24" s="855" t="inlineStr">
        <is>
          <t>RAH0.8 VOID (+10%)</t>
        </is>
      </c>
      <c r="D24" s="460" t="inlineStr">
        <is>
          <t>HORIZONTAL  0.8M3/S</t>
        </is>
      </c>
      <c r="E24" s="448" t="n">
        <v>0</v>
      </c>
      <c r="F24" s="837" t="n">
        <v>850</v>
      </c>
      <c r="G24" s="895" t="n">
        <v>2000</v>
      </c>
      <c r="H24" s="896" t="n">
        <v>1100</v>
      </c>
      <c r="I24" s="31" t="n"/>
      <c r="J24" s="380" t="n">
        <v>5999.6</v>
      </c>
      <c r="K24" s="378">
        <f>SUM(J24*E24)</f>
        <v/>
      </c>
      <c r="L24" s="392" t="n">
        <v>0.7108179999999999</v>
      </c>
      <c r="M24" s="311">
        <f>(K24/(1-L24))*(1+$D$9)</f>
        <v/>
      </c>
      <c r="N24" s="378">
        <f>(M24*VLOOKUP($C$9,'Base Costs'!$A$32:$B$37,2,FALSE))</f>
        <v/>
      </c>
      <c r="O24" s="379">
        <f>M24-K24</f>
        <v/>
      </c>
      <c r="U24" s="229" t="n"/>
      <c r="AA24" s="1070" t="n"/>
    </row>
    <row r="25" ht="15" customHeight="1" s="1085">
      <c r="A25" s="215" t="n">
        <v>103</v>
      </c>
      <c r="C25" s="855" t="inlineStr">
        <is>
          <t>RA1.0 VOID (+10%)</t>
        </is>
      </c>
      <c r="D25" s="460" t="inlineStr">
        <is>
          <t>HORIZONTAL  0.9M3/S</t>
        </is>
      </c>
      <c r="E25" s="448" t="n">
        <v>0</v>
      </c>
      <c r="F25" s="837" t="n">
        <v>750</v>
      </c>
      <c r="G25" s="895" t="n">
        <v>3480</v>
      </c>
      <c r="H25" s="896" t="n">
        <v>700</v>
      </c>
      <c r="I25" s="31" t="n"/>
      <c r="J25" s="380" t="n">
        <v>7516.78</v>
      </c>
      <c r="K25" s="378">
        <f>SUM(J25*E25)</f>
        <v/>
      </c>
      <c r="L25" s="897" t="n">
        <v>0.6930269</v>
      </c>
      <c r="M25" s="311">
        <f>(K25/(1-L25))*(1+$D$9)</f>
        <v/>
      </c>
      <c r="N25" s="378">
        <f>(M25*VLOOKUP($C$9,'Base Costs'!$A$32:$B$37,2,FALSE))</f>
        <v/>
      </c>
      <c r="O25" s="379">
        <f>M25-K25</f>
        <v/>
      </c>
      <c r="U25" s="229" t="n"/>
      <c r="AA25" s="1070" t="n"/>
    </row>
    <row r="26" ht="15" customHeight="1" s="1085">
      <c r="C26" s="855" t="inlineStr">
        <is>
          <t>RA1.5 VOID (+10%)</t>
        </is>
      </c>
      <c r="D26" s="460" t="inlineStr">
        <is>
          <t>HORIZONTAL  1.2M3/S</t>
        </is>
      </c>
      <c r="E26" s="448" t="n">
        <v>0</v>
      </c>
      <c r="F26" s="895" t="n">
        <v>1130</v>
      </c>
      <c r="G26" s="895" t="n">
        <v>3480</v>
      </c>
      <c r="H26" s="896" t="n">
        <v>770</v>
      </c>
      <c r="I26" s="31" t="n"/>
      <c r="J26" s="380" t="n">
        <v>8229.219999999999</v>
      </c>
      <c r="K26" s="378">
        <f>SUM(J26*E26)</f>
        <v/>
      </c>
      <c r="L26" s="897" t="n">
        <v>0.7275705</v>
      </c>
      <c r="M26" s="311">
        <f>(K26/(1-L26))*(1+$D$9)</f>
        <v/>
      </c>
      <c r="N26" s="378">
        <f>(M26*VLOOKUP($C$9,'Base Costs'!$A$32:$B$37,2,FALSE))</f>
        <v/>
      </c>
      <c r="O26" s="379">
        <f>M26-K26</f>
        <v/>
      </c>
      <c r="U26" s="229" t="n"/>
      <c r="AA26" s="1070" t="n"/>
    </row>
    <row r="27" ht="15" customHeight="1" s="1085">
      <c r="A27" s="215" t="n">
        <v>285</v>
      </c>
      <c r="C27" s="855" t="inlineStr">
        <is>
          <t>RA2.0 VOID (+10%)</t>
        </is>
      </c>
      <c r="D27" s="460" t="inlineStr">
        <is>
          <t>HORIZONTAL  1.8M3/S</t>
        </is>
      </c>
      <c r="E27" s="448" t="n">
        <v>0</v>
      </c>
      <c r="F27" s="898" t="n">
        <v>1430</v>
      </c>
      <c r="G27" s="898" t="n">
        <v>3480</v>
      </c>
      <c r="H27" s="899" t="n">
        <v>770</v>
      </c>
      <c r="I27" s="31" t="n"/>
      <c r="J27" s="380" t="n">
        <v>9761.059999999999</v>
      </c>
      <c r="K27" s="378">
        <f>SUM(J27*E27)</f>
        <v/>
      </c>
      <c r="L27" s="897" t="n">
        <v>0.6925339</v>
      </c>
      <c r="M27" s="311">
        <f>(K27/(1-L27))*(1+$D$9)</f>
        <v/>
      </c>
      <c r="N27" s="378">
        <f>(M27*VLOOKUP($C$9,'Base Costs'!$A$32:$B$37,2,FALSE))</f>
        <v/>
      </c>
      <c r="O27" s="379">
        <f>M27-K27</f>
        <v/>
      </c>
      <c r="U27" s="229" t="n"/>
      <c r="AA27" s="1070" t="n"/>
    </row>
    <row r="28" ht="15" customHeight="1" s="1085">
      <c r="C28" s="855" t="inlineStr">
        <is>
          <t>RA2.5 VOID (+10%) (Prem Controls)</t>
        </is>
      </c>
      <c r="D28" s="460" t="inlineStr">
        <is>
          <t>HORIZONTAL  2.25M3/S</t>
        </is>
      </c>
      <c r="E28" s="448" t="n">
        <v>0</v>
      </c>
      <c r="F28" s="898" t="n">
        <v>2030</v>
      </c>
      <c r="G28" s="898" t="n">
        <v>3480</v>
      </c>
      <c r="H28" s="899" t="n">
        <v>770</v>
      </c>
      <c r="I28" s="31" t="n"/>
      <c r="J28" s="380" t="n">
        <v>15000.04</v>
      </c>
      <c r="K28" s="378">
        <f>SUM(J28*E28)</f>
        <v/>
      </c>
      <c r="L28" s="897" t="n">
        <v>0.6883872</v>
      </c>
      <c r="M28" s="311">
        <f>(K28/(1-L28))*(1+$D$9)</f>
        <v/>
      </c>
      <c r="N28" s="378">
        <f>(M28*VLOOKUP($C$9,'Base Costs'!$A$32:$B$37,2,FALSE))</f>
        <v/>
      </c>
      <c r="O28" s="379">
        <f>M28-K28</f>
        <v/>
      </c>
      <c r="U28" s="229" t="n"/>
      <c r="AA28" s="1070" t="n"/>
    </row>
    <row r="29" ht="16" customHeight="1" s="1085">
      <c r="C29" s="938" t="inlineStr">
        <is>
          <t>BIM/REVIT PER UNIT</t>
        </is>
      </c>
      <c r="D29" s="1025" t="inlineStr">
        <is>
          <t>DESIGN</t>
        </is>
      </c>
      <c r="E29" s="1026" t="n">
        <v>1</v>
      </c>
      <c r="F29" s="1027" t="n"/>
      <c r="G29" s="1027" t="n"/>
      <c r="H29" s="1028" t="n"/>
      <c r="I29" s="1029" t="n"/>
      <c r="J29" s="995" t="n">
        <v>50</v>
      </c>
      <c r="K29" s="996">
        <f>SUM(J29*E29)</f>
        <v/>
      </c>
      <c r="L29" s="1030" t="n">
        <v>0.44</v>
      </c>
      <c r="M29" s="998">
        <f>(K29/(1-L29))*(1+$D$9)</f>
        <v/>
      </c>
      <c r="N29" s="996">
        <f>(M29*VLOOKUP($C$9,'Base Costs'!$A$32:$B$37,2,FALSE))</f>
        <v/>
      </c>
      <c r="O29" s="999">
        <f>M29-K29</f>
        <v/>
      </c>
      <c r="P29" s="1166" t="inlineStr">
        <is>
          <t>ALWAYS INCLUDE</t>
        </is>
      </c>
      <c r="U29" s="229" t="n"/>
      <c r="AA29" s="1070" t="n"/>
    </row>
    <row r="30" ht="16" customHeight="1" s="1085">
      <c r="C30" s="270" t="inlineStr">
        <is>
          <t>EXTERNAL CONTROLS (REQUIRED)</t>
        </is>
      </c>
      <c r="D30" s="956" t="inlineStr">
        <is>
          <t>PS-153 EDGE + PS-150 REMOTE TOUCH SCR</t>
        </is>
      </c>
      <c r="E30" s="448" t="n">
        <v>0</v>
      </c>
      <c r="F30" s="895" t="n"/>
      <c r="G30" s="895" t="n"/>
      <c r="H30" s="896" t="n"/>
      <c r="I30" s="31" t="n"/>
      <c r="J30" s="380" t="n">
        <v>988.9400000000001</v>
      </c>
      <c r="K30" s="378">
        <f>SUM(J30*E30)</f>
        <v/>
      </c>
      <c r="L30" s="392" t="n">
        <v>0.35</v>
      </c>
      <c r="M30" s="311">
        <f>(K30/(1-L30))*(1+$D$9)</f>
        <v/>
      </c>
      <c r="N30" s="378">
        <f>(M30*VLOOKUP($C$9,'Base Costs'!$A$32:$B$37,2,FALSE))</f>
        <v/>
      </c>
      <c r="O30" s="379">
        <f>M30-K30</f>
        <v/>
      </c>
      <c r="P30" s="1165" t="inlineStr">
        <is>
          <t>INCLUDED IN RA2.5/3.0/3.5/4.0 COST</t>
        </is>
      </c>
      <c r="U30" s="229" t="n"/>
      <c r="AA30" s="1070" t="n"/>
    </row>
    <row r="31" ht="15" customHeight="1" s="1085">
      <c r="A31" s="215" t="n">
        <v>286</v>
      </c>
      <c r="C31" s="270" t="inlineStr">
        <is>
          <t>CONNECTIVITY (REQUIRED)</t>
        </is>
      </c>
      <c r="D31" s="956" t="inlineStr">
        <is>
          <t>PS-070/PS-071/ELE-713</t>
        </is>
      </c>
      <c r="E31" s="448" t="n">
        <v>0</v>
      </c>
      <c r="F31" s="895" t="n"/>
      <c r="G31" s="895" t="n"/>
      <c r="H31" s="896" t="n"/>
      <c r="I31" s="31" t="n"/>
      <c r="J31" s="380" t="n">
        <v>388.67</v>
      </c>
      <c r="K31" s="378">
        <f>SUM(J31*E31)</f>
        <v/>
      </c>
      <c r="L31" s="392" t="n">
        <v>0.35</v>
      </c>
      <c r="M31" s="311">
        <f>(K31/(1-L31))*(1+$D$9)</f>
        <v/>
      </c>
      <c r="N31" s="378">
        <f>(M31*VLOOKUP($C$9,'Base Costs'!$A$32:$B$37,2,FALSE))</f>
        <v/>
      </c>
      <c r="O31" s="379">
        <f>M31-K31</f>
        <v/>
      </c>
      <c r="P31" s="1165" t="inlineStr">
        <is>
          <t>INCLUDED IN RA2.5/3.0/3.5/4.0 COST</t>
        </is>
      </c>
      <c r="U31" s="229" t="n"/>
      <c r="AA31" s="1070" t="n"/>
    </row>
    <row r="32" ht="15" customHeight="1" s="1085">
      <c r="C32" s="269" t="n"/>
      <c r="D32" s="460" t="n"/>
      <c r="E32" s="448" t="n">
        <v>0</v>
      </c>
      <c r="F32" s="462" t="n"/>
      <c r="G32" s="32" t="n"/>
      <c r="H32" s="30" t="n"/>
      <c r="I32" s="31" t="n"/>
      <c r="J32" s="933" t="n"/>
      <c r="K32" s="378">
        <f>SUM(J32*E32)</f>
        <v/>
      </c>
      <c r="L32" s="392" t="n">
        <v>0.435</v>
      </c>
      <c r="M32" s="311">
        <f>(K32/(1-L32))*(1+$D$9)</f>
        <v/>
      </c>
      <c r="N32" s="378">
        <f>(M32*VLOOKUP($C$9,'Base Costs'!$A$32:$B$37,2,FALSE))</f>
        <v/>
      </c>
      <c r="O32" s="379">
        <f>M32-K32</f>
        <v/>
      </c>
      <c r="U32" s="229" t="n"/>
      <c r="AA32" s="1070" t="n"/>
    </row>
    <row r="33" ht="15" customHeight="1" s="1085">
      <c r="C33" s="938" t="inlineStr">
        <is>
          <t>FLAT PACK (Inc. Pallets)</t>
        </is>
      </c>
      <c r="D33" s="460" t="inlineStr">
        <is>
          <t>FACTORY 25hrs x £35.00</t>
        </is>
      </c>
      <c r="E33" s="448" t="n">
        <v>0</v>
      </c>
      <c r="F33" s="462" t="n"/>
      <c r="G33" s="32" t="n"/>
      <c r="H33" s="30" t="n"/>
      <c r="I33" s="31" t="n"/>
      <c r="J33" s="882" t="n">
        <v>875</v>
      </c>
      <c r="K33" s="378">
        <f>SUM(J33*E33)</f>
        <v/>
      </c>
      <c r="L33" s="392" t="n">
        <v>0.35</v>
      </c>
      <c r="M33" s="311">
        <f>(K33/(1-L33))*(1+$D$9)</f>
        <v/>
      </c>
      <c r="N33" s="378">
        <f>(M33*VLOOKUP($C$9,'Base Costs'!$A$32:$B$37,2,FALSE))</f>
        <v/>
      </c>
      <c r="O33" s="379">
        <f>M33-K33</f>
        <v/>
      </c>
      <c r="U33" s="229" t="n"/>
      <c r="AA33" s="1070" t="n"/>
    </row>
    <row r="34" ht="15" customHeight="1" s="1085">
      <c r="H34" s="34" t="inlineStr">
        <is>
          <t>SECTION UNDER 1000mm</t>
        </is>
      </c>
    </row>
    <row r="35" ht="15" customHeight="1" s="1085">
      <c r="C35" s="239" t="n"/>
      <c r="D35" s="239" t="n"/>
      <c r="E35" s="239" t="n"/>
      <c r="F35" s="239" t="n"/>
      <c r="G35" s="239" t="n"/>
      <c r="H35" s="239" t="n"/>
      <c r="I35" s="9" t="n"/>
      <c r="J35" s="11" t="n"/>
      <c r="K35" s="353" t="n"/>
      <c r="L35" s="240" t="n"/>
      <c r="M35" s="353" t="n"/>
      <c r="N35" s="353" t="n"/>
      <c r="U35" s="229" t="n"/>
      <c r="AA35" s="1070" t="n"/>
    </row>
    <row r="36" ht="15" customHeight="1" s="1085">
      <c r="C36" s="1089" t="inlineStr">
        <is>
          <t xml:space="preserve">DELIVERY &amp; INSTALLATION </t>
        </is>
      </c>
      <c r="I36" s="236" t="n"/>
      <c r="J36" s="330" t="n"/>
      <c r="K36" s="154">
        <f>SUBTOTAL(9,K37:K47)</f>
        <v/>
      </c>
      <c r="L36" s="15">
        <f>IF(K37=0,"-",O36/M36)</f>
        <v/>
      </c>
      <c r="M36" s="154">
        <f>SUBTOTAL(9,M37:M47)</f>
        <v/>
      </c>
      <c r="N36" s="464">
        <f>SUBTOTAL(9,N37:N47)</f>
        <v/>
      </c>
      <c r="O36" s="154">
        <f>SUBTOTAL(9,O38:O47)</f>
        <v/>
      </c>
      <c r="U36" s="229" t="n"/>
    </row>
    <row r="37" ht="15" customHeight="1" s="1085">
      <c r="A37" s="215" t="n">
        <v>222</v>
      </c>
      <c r="C37" s="269" t="inlineStr">
        <is>
          <t xml:space="preserve">DELIVERIES </t>
        </is>
      </c>
      <c r="D37" s="242" t="n"/>
      <c r="E37" s="309" t="inlineStr">
        <is>
          <t>SELECT LOCATION…</t>
        </is>
      </c>
      <c r="F37" s="28" t="n"/>
      <c r="G37" s="30" t="n"/>
      <c r="H37" s="28" t="n"/>
      <c r="I37" s="28" t="n"/>
      <c r="J37" s="385">
        <f>VLOOKUP(E37,'Base Costs'!E4:G213,2,FALSE)</f>
        <v/>
      </c>
      <c r="K37" s="378">
        <f>D37*J37</f>
        <v/>
      </c>
      <c r="L37" s="392" t="n">
        <v>0.33</v>
      </c>
      <c r="M37" s="311">
        <f>(K37/(1-L37))*(1+$D$9)</f>
        <v/>
      </c>
      <c r="N37" s="378">
        <f>(M37*VLOOKUP($C$9,'Base Costs'!$A$32:$B$37,2,FALSE))</f>
        <v/>
      </c>
      <c r="O37" s="379">
        <f>M37-K37</f>
        <v/>
      </c>
      <c r="U37" s="229" t="n"/>
    </row>
    <row r="38" ht="16" customHeight="1" s="1085">
      <c r="A38" s="215" t="n">
        <v>257</v>
      </c>
      <c r="C38" s="269" t="inlineStr">
        <is>
          <t>PLANT HIRE</t>
        </is>
      </c>
      <c r="D38" s="242" t="n"/>
      <c r="E38" s="309" t="inlineStr">
        <is>
          <t>PLANT SELECTION (weekly)</t>
        </is>
      </c>
      <c r="F38" s="1164" t="inlineStr">
        <is>
          <t>2No Genies Req'd for Void Mounted units</t>
        </is>
      </c>
      <c r="H38" s="28" t="n"/>
      <c r="I38" s="28" t="n"/>
      <c r="J38" s="385">
        <f>VLOOKUP(E38,'Base Costs'!$A$4:$B$16,2,FALSE)</f>
        <v/>
      </c>
      <c r="K38" s="378">
        <f>D38*J38</f>
        <v/>
      </c>
      <c r="L38" s="392" t="n">
        <v>0.33</v>
      </c>
      <c r="M38" s="311">
        <f>(K38/(1-L38))*(1+$D$9)</f>
        <v/>
      </c>
      <c r="N38" s="378">
        <f>(M38*VLOOKUP($C$9,'Base Costs'!$A$32:$B$37,2,FALSE))</f>
        <v/>
      </c>
      <c r="O38" s="379">
        <f>M38-K38</f>
        <v/>
      </c>
      <c r="U38" s="229" t="n"/>
    </row>
    <row r="39" ht="16" customHeight="1" s="1085">
      <c r="A39" s="215" t="n">
        <v>257</v>
      </c>
      <c r="C39" s="269" t="inlineStr">
        <is>
          <t>PLANT HIRE</t>
        </is>
      </c>
      <c r="D39" s="242" t="n"/>
      <c r="E39" s="309" t="inlineStr">
        <is>
          <t>PLANT SELECTION (weekly)</t>
        </is>
      </c>
      <c r="F39" s="28" t="n"/>
      <c r="G39" s="28" t="n"/>
      <c r="H39" s="28" t="n"/>
      <c r="I39" s="28" t="n"/>
      <c r="J39" s="385">
        <f>VLOOKUP(E39,'Base Costs'!$A$4:$B$16,2,FALSE)</f>
        <v/>
      </c>
      <c r="K39" s="378">
        <f>D39*J39</f>
        <v/>
      </c>
      <c r="L39" s="392" t="n">
        <v>0.33</v>
      </c>
      <c r="M39" s="311">
        <f>(K39/(1-L39))*(1+$D$9)</f>
        <v/>
      </c>
      <c r="N39" s="378">
        <f>(M39*VLOOKUP($C$9,'Base Costs'!$A$32:$B$37,2,FALSE))</f>
        <v/>
      </c>
      <c r="O39" s="379">
        <f>M39-K39</f>
        <v/>
      </c>
      <c r="U39" s="229" t="n"/>
    </row>
    <row r="40" ht="15" customHeight="1" s="1085">
      <c r="A40" s="215" t="n">
        <v>400</v>
      </c>
      <c r="C40" s="269" t="inlineStr">
        <is>
          <t>FLAT PACK REASSEBLE ON SITE</t>
        </is>
      </c>
      <c r="D40" s="242" t="n"/>
      <c r="E40" s="28" t="inlineStr">
        <is>
          <t>PER DAY</t>
        </is>
      </c>
      <c r="F40" s="28" t="n"/>
      <c r="G40" s="28" t="n"/>
      <c r="H40" s="28" t="n"/>
      <c r="I40" s="28" t="n"/>
      <c r="J40" s="385" t="n">
        <v>610</v>
      </c>
      <c r="K40" s="378">
        <f>D40*J40</f>
        <v/>
      </c>
      <c r="L40" s="392" t="n">
        <v>0.33</v>
      </c>
      <c r="M40" s="311">
        <f>(K40/(1-L40))*(1+$D$9)</f>
        <v/>
      </c>
      <c r="N40" s="378">
        <f>(M40*VLOOKUP($C$9,'Base Costs'!$A$32:$B$37,2,FALSE))</f>
        <v/>
      </c>
      <c r="O40" s="379">
        <f>M40-K40</f>
        <v/>
      </c>
      <c r="U40" s="229" t="n"/>
    </row>
    <row r="41" ht="15" customHeight="1" s="1085">
      <c r="A41" s="215" t="n">
        <v>102</v>
      </c>
      <c r="C41" s="269" t="inlineStr">
        <is>
          <t xml:space="preserve">CONSUMABLES </t>
        </is>
      </c>
      <c r="D41" s="242" t="n"/>
      <c r="E41" s="28" t="inlineStr">
        <is>
          <t>PER METER OF CANOPY</t>
        </is>
      </c>
      <c r="F41" s="28" t="n"/>
      <c r="G41" s="28" t="n"/>
      <c r="H41" s="28" t="n"/>
      <c r="I41" s="28" t="n"/>
      <c r="J41" s="385" t="n">
        <v>15</v>
      </c>
      <c r="K41" s="378">
        <f>D41*J41</f>
        <v/>
      </c>
      <c r="L41" s="392" t="n">
        <v>0.33</v>
      </c>
      <c r="M41" s="311">
        <f>(K41/(1-L41))*(1+$D$9)</f>
        <v/>
      </c>
      <c r="N41" s="378">
        <f>(M41*VLOOKUP($C$9,'Base Costs'!$A$32:$B$37,2,FALSE))</f>
        <v/>
      </c>
      <c r="O41" s="379">
        <f>M41-K41</f>
        <v/>
      </c>
      <c r="U41" s="229" t="n"/>
    </row>
    <row r="42" ht="15" customHeight="1" s="1085">
      <c r="A42" s="215" t="n">
        <v>400</v>
      </c>
      <c r="C42" s="269" t="inlineStr">
        <is>
          <t>INSTALLATION NORMAL HOURS</t>
        </is>
      </c>
      <c r="D42" s="242" t="n"/>
      <c r="E42" s="28" t="inlineStr">
        <is>
          <t>PER UNIT PER TEAM PER DAY</t>
        </is>
      </c>
      <c r="F42" s="1164" t="inlineStr">
        <is>
          <t>2No Pairs Req'd for Void Mounted units</t>
        </is>
      </c>
      <c r="H42" s="28" t="n"/>
      <c r="I42" s="28" t="n"/>
      <c r="J42" s="385" t="n">
        <v>610</v>
      </c>
      <c r="K42" s="378">
        <f>D42*J42</f>
        <v/>
      </c>
      <c r="L42" s="392" t="n">
        <v>0.4</v>
      </c>
      <c r="M42" s="311">
        <f>(K42/(1-L42))*(1+$D$9)</f>
        <v/>
      </c>
      <c r="N42" s="378">
        <f>(M42*VLOOKUP($C$9,'Base Costs'!$A$32:$B$37,2,FALSE))</f>
        <v/>
      </c>
      <c r="O42" s="379">
        <f>M42-K42</f>
        <v/>
      </c>
      <c r="U42" s="229" t="n"/>
    </row>
    <row r="43" ht="15" customHeight="1" s="1085">
      <c r="A43" s="215" t="n">
        <v>400</v>
      </c>
      <c r="C43" s="269" t="inlineStr">
        <is>
          <t>INSTALLATION AFTER HOURS</t>
        </is>
      </c>
      <c r="D43" s="242" t="n"/>
      <c r="E43" s="28" t="inlineStr">
        <is>
          <t>PER UNIT PER TEAM PER DAY</t>
        </is>
      </c>
      <c r="F43" s="28" t="n"/>
      <c r="G43" s="28" t="n"/>
      <c r="H43" s="28" t="n"/>
      <c r="I43" s="28" t="n"/>
      <c r="J43" s="385" t="n">
        <v>1220</v>
      </c>
      <c r="K43" s="378">
        <f>D43*J43</f>
        <v/>
      </c>
      <c r="L43" s="392" t="n">
        <v>0.4</v>
      </c>
      <c r="M43" s="311">
        <f>(K43/(1-L43))*(1+$D$9)</f>
        <v/>
      </c>
      <c r="N43" s="378">
        <f>(M43*VLOOKUP($C$9,'Base Costs'!$A$32:$B$37,2,FALSE))</f>
        <v/>
      </c>
      <c r="O43" s="379">
        <f>M43-K43</f>
        <v/>
      </c>
      <c r="U43" s="229" t="n"/>
    </row>
    <row r="44" ht="15" customHeight="1" s="1085">
      <c r="A44" s="215" t="n">
        <v>253</v>
      </c>
      <c r="C44" s="269" t="inlineStr">
        <is>
          <t>TRAVEL EXPENSES</t>
        </is>
      </c>
      <c r="D44" s="242" t="n"/>
      <c r="E44" s="28" t="inlineStr">
        <is>
          <t>PER NIGHT PER TEAM</t>
        </is>
      </c>
      <c r="F44" s="28" t="n"/>
      <c r="G44" s="28" t="n"/>
      <c r="H44" s="28" t="n"/>
      <c r="I44" s="28" t="n"/>
      <c r="J44" s="385" t="n">
        <v>150</v>
      </c>
      <c r="K44" s="378">
        <f>D44*J44</f>
        <v/>
      </c>
      <c r="L44" s="392" t="n">
        <v>0.33</v>
      </c>
      <c r="M44" s="311">
        <f>(K44/(1-L44))*(1+$D$9)</f>
        <v/>
      </c>
      <c r="N44" s="378">
        <f>(M44*VLOOKUP($C$9,'Base Costs'!$A$32:$B$37,2,FALSE))</f>
        <v/>
      </c>
      <c r="O44" s="379">
        <f>M44-K44</f>
        <v/>
      </c>
      <c r="U44" s="229" t="n"/>
    </row>
    <row r="45" ht="15" customHeight="1" s="1085">
      <c r="A45" s="215" t="n">
        <v>253</v>
      </c>
      <c r="C45" s="269" t="inlineStr">
        <is>
          <t>OVERNIGHT</t>
        </is>
      </c>
      <c r="D45" s="242" t="n"/>
      <c r="E45" s="28" t="inlineStr">
        <is>
          <t>PER NIGHT PER TEAM</t>
        </is>
      </c>
      <c r="F45" s="28" t="n"/>
      <c r="G45" s="28" t="n"/>
      <c r="H45" s="28" t="n"/>
      <c r="I45" s="28" t="n"/>
      <c r="J45" s="385" t="n">
        <v>220</v>
      </c>
      <c r="K45" s="378">
        <f>D45*J45</f>
        <v/>
      </c>
      <c r="L45" s="392" t="n">
        <v>0.33</v>
      </c>
      <c r="M45" s="311">
        <f>(K45/(1-L45))*(1+$D$9)</f>
        <v/>
      </c>
      <c r="N45" s="378">
        <f>(M45*VLOOKUP($C$9,'Base Costs'!$A$32:$B$37,2,FALSE))</f>
        <v/>
      </c>
      <c r="O45" s="379">
        <f>M45-K45</f>
        <v/>
      </c>
      <c r="U45" s="229" t="n"/>
    </row>
    <row r="46" ht="15" customHeight="1" s="1085">
      <c r="A46" s="215" t="n">
        <v>280</v>
      </c>
      <c r="C46" s="269" t="inlineStr">
        <is>
          <t>TEST &amp; COMMISSION</t>
        </is>
      </c>
      <c r="D46" s="242" t="n"/>
      <c r="E46" s="1167" t="inlineStr">
        <is>
          <t>ONE DAY UNLESS FLATPACKED THEN ALLOW 1.5 DAYS</t>
        </is>
      </c>
      <c r="G46" s="28" t="n"/>
      <c r="H46" s="28" t="n"/>
      <c r="I46" s="28" t="n"/>
      <c r="J46" s="385" t="n">
        <v>604</v>
      </c>
      <c r="K46" s="378">
        <f>D46*J46</f>
        <v/>
      </c>
      <c r="L46" s="392" t="n">
        <v>0.33</v>
      </c>
      <c r="M46" s="311">
        <f>(K46/(1-L46))*(1+$D$9)</f>
        <v/>
      </c>
      <c r="N46" s="378">
        <f>(M46*VLOOKUP($C$9,'Base Costs'!$A$32:$B$37,2,FALSE))</f>
        <v/>
      </c>
      <c r="O46" s="379">
        <f>M46-K46</f>
        <v/>
      </c>
      <c r="U46" s="229" t="n"/>
    </row>
    <row r="47" ht="15" customHeight="1" s="1085">
      <c r="A47" s="215" t="n">
        <v>284</v>
      </c>
      <c r="C47" s="269" t="n"/>
      <c r="D47" s="242" t="n"/>
      <c r="E47" s="28" t="inlineStr">
        <is>
          <t>OPTIONAL ITEM</t>
        </is>
      </c>
      <c r="F47" s="28" t="n"/>
      <c r="G47" s="28" t="n"/>
      <c r="H47" s="28" t="n"/>
      <c r="I47" s="28" t="n"/>
      <c r="J47" s="385" t="n">
        <v>200</v>
      </c>
      <c r="K47" s="378">
        <f>D47*J47</f>
        <v/>
      </c>
      <c r="L47" s="392" t="n">
        <v>0.33</v>
      </c>
      <c r="M47" s="311">
        <f>(K47/(1-L47))*(1+$D$9)</f>
        <v/>
      </c>
      <c r="N47" s="378">
        <f>(M47*VLOOKUP($C$9,'Base Costs'!$A$32:$B$37,2,FALSE))</f>
        <v/>
      </c>
      <c r="O47" s="379">
        <f>M47-K47</f>
        <v/>
      </c>
      <c r="U47" s="229" t="n"/>
    </row>
    <row r="48" ht="15" customHeight="1" s="1085">
      <c r="C48" s="239" t="n"/>
      <c r="D48" s="239" t="n"/>
      <c r="E48" s="239" t="n"/>
      <c r="F48" s="239" t="n"/>
      <c r="G48" s="239" t="n"/>
      <c r="H48" s="243" t="n"/>
      <c r="I48" s="244" t="n"/>
      <c r="J48" s="354" t="n"/>
      <c r="K48" s="353" t="n"/>
      <c r="L48" s="355" t="n"/>
      <c r="M48" s="353" t="n"/>
      <c r="N48" s="353" t="n"/>
      <c r="U48" s="229" t="n"/>
    </row>
    <row r="49" ht="15" customHeight="1" s="1085">
      <c r="C49" s="197" t="inlineStr">
        <is>
          <t>Office Use Only</t>
        </is>
      </c>
      <c r="D49" s="198" t="n"/>
      <c r="E49" s="199" t="n"/>
      <c r="F49" s="199" t="n"/>
      <c r="G49" s="198" t="n"/>
      <c r="H49" s="200" t="n"/>
      <c r="I49" s="198" t="n"/>
      <c r="J49" s="198" t="n"/>
      <c r="K49" s="198" t="n"/>
      <c r="L49" s="198" t="n"/>
      <c r="M49" s="198" t="n"/>
      <c r="N49" s="198" t="n"/>
      <c r="O49" s="198" t="n"/>
      <c r="U49" s="229" t="n"/>
    </row>
    <row r="50" ht="15" customHeight="1" s="1085">
      <c r="C50" s="202" t="n"/>
      <c r="D50" s="203" t="n"/>
      <c r="E50" s="202" t="n"/>
      <c r="F50" s="204" t="n"/>
      <c r="G50" s="202" t="n"/>
      <c r="H50" s="209" t="n"/>
      <c r="I50" s="203" t="n"/>
      <c r="J50" s="203" t="n"/>
      <c r="K50" s="205" t="n"/>
      <c r="L50" s="205" t="n"/>
      <c r="M50" s="205" t="n"/>
      <c r="N50" s="205" t="n"/>
      <c r="O50" s="205" t="n"/>
      <c r="U50" s="229" t="n"/>
    </row>
    <row r="51" ht="15" customHeight="1" s="1085">
      <c r="C51" s="202" t="n"/>
      <c r="D51" s="203" t="n"/>
      <c r="E51" s="202" t="n"/>
      <c r="F51" s="204" t="n"/>
      <c r="G51" s="202" t="n"/>
      <c r="H51" s="209" t="n"/>
      <c r="I51" s="203" t="n"/>
      <c r="J51" s="203" t="n"/>
      <c r="K51" s="205" t="n"/>
      <c r="L51" s="205" t="n"/>
      <c r="M51" s="205" t="n"/>
      <c r="N51" s="205" t="n"/>
      <c r="O51" s="205" t="n"/>
      <c r="U51" s="229" t="n"/>
    </row>
    <row r="52" ht="15" customHeight="1" s="1085">
      <c r="C52" s="202" t="n"/>
      <c r="D52" s="203" t="n"/>
      <c r="E52" s="202" t="n"/>
      <c r="F52" s="204" t="n"/>
      <c r="G52" s="202" t="n"/>
      <c r="H52" s="209" t="n"/>
      <c r="I52" s="203" t="n"/>
      <c r="J52" s="203" t="n"/>
      <c r="K52" s="209" t="n"/>
      <c r="L52" s="209" t="n"/>
      <c r="M52" s="209" t="n"/>
      <c r="N52" s="209" t="n"/>
      <c r="O52" s="209" t="n"/>
      <c r="U52" s="229" t="n"/>
    </row>
    <row r="53" ht="15" customHeight="1" s="1085">
      <c r="C53" s="202" t="n"/>
      <c r="D53" s="203" t="n"/>
      <c r="E53" s="202" t="n"/>
      <c r="F53" s="204" t="n"/>
      <c r="G53" s="202" t="n"/>
      <c r="H53" s="209" t="n"/>
      <c r="I53" s="206" t="n"/>
      <c r="J53" s="203" t="n"/>
      <c r="K53" s="209" t="n"/>
      <c r="L53" s="209" t="n"/>
      <c r="M53" s="209" t="n"/>
      <c r="N53" s="209" t="n"/>
      <c r="O53" s="209" t="n"/>
      <c r="U53" s="229" t="n"/>
    </row>
    <row r="54" ht="15" customHeight="1" s="1085">
      <c r="C54" s="202" t="n"/>
      <c r="D54" s="203" t="n"/>
      <c r="E54" s="202" t="n"/>
      <c r="F54" s="202" t="n"/>
      <c r="G54" s="202" t="n"/>
      <c r="H54" s="207" t="n"/>
      <c r="I54" s="209" t="n"/>
      <c r="J54" s="203" t="n"/>
      <c r="K54" s="205" t="n"/>
      <c r="L54" s="205" t="n"/>
      <c r="M54" s="205" t="n"/>
      <c r="N54" s="205" t="n"/>
      <c r="O54" s="205" t="n"/>
      <c r="U54" s="229" t="n"/>
    </row>
    <row r="55" ht="15" customHeight="1" s="1085">
      <c r="C55" s="202" t="n"/>
      <c r="D55" s="202" t="n"/>
      <c r="E55" s="202" t="n"/>
      <c r="F55" s="202" t="n"/>
      <c r="G55" s="202" t="n"/>
      <c r="H55" s="207" t="n"/>
      <c r="I55" s="209" t="n"/>
      <c r="J55" s="203" t="n"/>
      <c r="K55" s="205" t="n"/>
      <c r="L55" s="205" t="n"/>
      <c r="M55" s="205" t="n"/>
      <c r="N55" s="205" t="n"/>
      <c r="O55" s="205" t="n"/>
      <c r="U55" s="229" t="n"/>
    </row>
    <row r="56" ht="15" customHeight="1" s="1085">
      <c r="J56" s="228" t="n"/>
      <c r="M56" s="228" t="n"/>
      <c r="O56" s="228" t="n"/>
      <c r="U56" s="229" t="n"/>
    </row>
    <row r="57" ht="15" customHeight="1" s="1085">
      <c r="J57" s="228" t="n"/>
      <c r="M57" s="228" t="n"/>
      <c r="O57" s="228" t="n"/>
      <c r="U57" s="229" t="n"/>
    </row>
    <row r="58" ht="15" customHeight="1" s="1085">
      <c r="H58" s="219" t="n"/>
      <c r="U58" s="229" t="n"/>
    </row>
    <row r="59" ht="15" customHeight="1" s="1085">
      <c r="H59" s="219" t="n"/>
      <c r="U59" s="229" t="n"/>
    </row>
    <row r="60" ht="15" customHeight="1" s="1085">
      <c r="H60" s="219" t="n"/>
      <c r="U60" s="229" t="n"/>
    </row>
    <row r="61" ht="15" customHeight="1" s="1085">
      <c r="H61" s="219" t="n"/>
      <c r="U61" s="229" t="n"/>
    </row>
    <row r="62" ht="15" customHeight="1" s="1085">
      <c r="H62" s="219" t="n"/>
      <c r="U62" s="229" t="n"/>
    </row>
    <row r="63" ht="15" customHeight="1" s="1085">
      <c r="H63" s="219" t="n"/>
      <c r="U63" s="229" t="n"/>
    </row>
    <row r="64" ht="15" customHeight="1" s="1085">
      <c r="H64" s="219" t="n"/>
      <c r="U64" s="229" t="n"/>
    </row>
    <row r="65" ht="15" customHeight="1" s="1085">
      <c r="H65" s="219" t="n"/>
      <c r="U65" s="229" t="n"/>
    </row>
    <row r="66" ht="15" customHeight="1" s="1085">
      <c r="H66" s="219" t="n"/>
      <c r="U66" s="229" t="n"/>
    </row>
    <row r="67" ht="15" customHeight="1" s="1085">
      <c r="C67" s="245" t="n"/>
      <c r="D67" s="245" t="n"/>
      <c r="E67" s="245" t="n"/>
      <c r="F67" s="245" t="n"/>
      <c r="G67" s="245" t="n"/>
      <c r="H67" s="245" t="n"/>
      <c r="U67" s="229" t="n"/>
    </row>
    <row r="68" ht="15" customHeight="1" s="1085"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3" ht="15" customHeight="1" s="1085">
      <c r="U103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2" ht="15" customHeight="1" s="1085">
      <c r="U112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1" ht="15" customHeight="1" s="1085">
      <c r="U121" s="229" t="n"/>
    </row>
    <row r="123" ht="15" customHeight="1" s="1085">
      <c r="U123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  <row r="142" ht="15" customHeight="1" s="1085">
      <c r="U142" s="229" t="n"/>
    </row>
    <row r="143" ht="15" customHeight="1" s="1085">
      <c r="U143" s="229" t="n"/>
    </row>
    <row r="144" ht="15" customHeight="1" s="1085">
      <c r="U144" s="229" t="n"/>
    </row>
    <row r="145" ht="15" customHeight="1" s="1085">
      <c r="U145" s="229" t="n"/>
    </row>
    <row r="146" ht="15" customHeight="1" s="1085">
      <c r="U146" s="229" t="n"/>
    </row>
    <row r="147" ht="15" customHeight="1" s="1085">
      <c r="U147" s="229" t="n"/>
    </row>
    <row r="148" ht="15" customHeight="1" s="1085">
      <c r="U148" s="229" t="n"/>
    </row>
    <row r="149" ht="15" customHeight="1" s="1085">
      <c r="U149" s="229" t="n"/>
    </row>
    <row r="150" ht="15" customHeight="1" s="1085">
      <c r="U150" s="229" t="n"/>
    </row>
    <row r="151" ht="15" customHeight="1" s="1085">
      <c r="U151" s="229" t="n"/>
    </row>
    <row r="152" ht="15" customHeight="1" s="1085">
      <c r="U152" s="229" t="n"/>
    </row>
    <row r="153" ht="15" customHeight="1" s="1085">
      <c r="U153" s="229" t="n"/>
    </row>
    <row r="154" ht="15" customHeight="1" s="1085">
      <c r="U154" s="229" t="n"/>
    </row>
    <row r="155" ht="15" customHeight="1" s="1085">
      <c r="U155" s="229" t="n"/>
    </row>
    <row r="156" ht="15" customHeight="1" s="1085">
      <c r="U156" s="229" t="n"/>
    </row>
    <row r="157" ht="15" customHeight="1" s="1085">
      <c r="U157" s="229" t="n"/>
    </row>
    <row r="158" ht="15" customHeight="1" s="1085">
      <c r="U158" s="229" t="n"/>
    </row>
    <row r="159" ht="15" customHeight="1" s="1085">
      <c r="U159" s="229" t="n"/>
    </row>
    <row r="160" ht="15" customHeight="1" s="1085">
      <c r="U160" s="229" t="n"/>
    </row>
  </sheetData>
  <mergeCells count="15">
    <mergeCell ref="P30:R30"/>
    <mergeCell ref="P7:R7"/>
    <mergeCell ref="D7:E7"/>
    <mergeCell ref="P29:Q29"/>
    <mergeCell ref="E46:F46"/>
    <mergeCell ref="C1:D1"/>
    <mergeCell ref="C36:H36"/>
    <mergeCell ref="F38:G38"/>
    <mergeCell ref="H5:J5"/>
    <mergeCell ref="D5:E5"/>
    <mergeCell ref="P31:R31"/>
    <mergeCell ref="F42:G42"/>
    <mergeCell ref="H3:J3"/>
    <mergeCell ref="D3:E3"/>
    <mergeCell ref="H7:J7"/>
  </mergeCells>
  <conditionalFormatting sqref="C9">
    <cfRule type="expression" priority="84" dxfId="680">
      <formula>C9="CURRENCY"</formula>
    </cfRule>
    <cfRule type="containsText" priority="83" operator="containsText" dxfId="680" text="SELECT">
      <formula>NOT(ISERROR(SEARCH("SELECT",C9)))</formula>
    </cfRule>
  </conditionalFormatting>
  <conditionalFormatting sqref="C14:C33">
    <cfRule type="expression" priority="1" dxfId="633">
      <formula>$J14&gt;0</formula>
    </cfRule>
  </conditionalFormatting>
  <conditionalFormatting sqref="C37:C47">
    <cfRule type="expression" priority="25" dxfId="633">
      <formula>$D37&gt;0</formula>
    </cfRule>
  </conditionalFormatting>
  <conditionalFormatting sqref="D37:D38 D40:D47">
    <cfRule type="cellIs" priority="86" operator="lessThan" dxfId="554">
      <formula>1</formula>
    </cfRule>
  </conditionalFormatting>
  <conditionalFormatting sqref="D39">
    <cfRule type="cellIs" priority="73" operator="lessThan" dxfId="164">
      <formula>1</formula>
    </cfRule>
  </conditionalFormatting>
  <conditionalFormatting sqref="D9:E9">
    <cfRule type="cellIs" priority="80" operator="greaterThan" dxfId="552">
      <formula>0</formula>
    </cfRule>
    <cfRule type="cellIs" priority="79" operator="lessThan" dxfId="207">
      <formula>0</formula>
    </cfRule>
  </conditionalFormatting>
  <conditionalFormatting sqref="F12">
    <cfRule type="cellIs" priority="97" operator="greaterThan" dxfId="204">
      <formula>2000</formula>
    </cfRule>
    <cfRule type="expression" priority="96" dxfId="387">
      <formula>ISNUMBER(SEARCH("I-MUAP",$E$14))</formula>
    </cfRule>
    <cfRule type="expression" priority="95" dxfId="386">
      <formula>AND((ISNUMBER(SEARCH("I-MUAP",$E$14))),F12&lt;2500)</formula>
    </cfRule>
  </conditionalFormatting>
  <conditionalFormatting sqref="F12:G12">
    <cfRule type="cellIs" priority="90" operator="lessThan" dxfId="204">
      <formula>1000</formula>
    </cfRule>
  </conditionalFormatting>
  <conditionalFormatting sqref="F14:G26">
    <cfRule type="cellIs" priority="17" operator="lessThan" dxfId="164">
      <formula>1000</formula>
    </cfRule>
  </conditionalFormatting>
  <conditionalFormatting sqref="F30:G31">
    <cfRule type="cellIs" priority="5" operator="lessThan" dxfId="164">
      <formula>1000</formula>
    </cfRule>
  </conditionalFormatting>
  <conditionalFormatting sqref="G12">
    <cfRule type="cellIs" priority="91" operator="greaterThan" dxfId="204">
      <formula>3001</formula>
    </cfRule>
  </conditionalFormatting>
  <conditionalFormatting sqref="H11">
    <cfRule type="expression" priority="93" dxfId="176">
      <formula>((G14-50)/I14)&lt;950</formula>
    </cfRule>
  </conditionalFormatting>
  <conditionalFormatting sqref="H12">
    <cfRule type="expression" priority="92" dxfId="175">
      <formula>((G14-50)/I14)&lt;950</formula>
    </cfRule>
  </conditionalFormatting>
  <conditionalFormatting sqref="H14:H26">
    <cfRule type="cellIs" priority="19" operator="lessThan" dxfId="164">
      <formula>400</formula>
    </cfRule>
  </conditionalFormatting>
  <conditionalFormatting sqref="H30:H31">
    <cfRule type="cellIs" priority="7" operator="lessThan" dxfId="164">
      <formula>400</formula>
    </cfRule>
  </conditionalFormatting>
  <conditionalFormatting sqref="H34">
    <cfRule type="expression" priority="104" dxfId="176">
      <formula>((#REF!-50)/#REF!)&lt;950</formula>
    </cfRule>
  </conditionalFormatting>
  <conditionalFormatting sqref="J14:J31">
    <cfRule type="cellIs" priority="32" operator="greaterThan" dxfId="153">
      <formula>0</formula>
    </cfRule>
  </conditionalFormatting>
  <conditionalFormatting sqref="J37:J47">
    <cfRule type="expression" priority="65" dxfId="153">
      <formula>D37&gt;0</formula>
    </cfRule>
  </conditionalFormatting>
  <conditionalFormatting sqref="J49:J55">
    <cfRule type="expression" priority="70" dxfId="2">
      <formula>#REF!="EURO"</formula>
    </cfRule>
  </conditionalFormatting>
  <conditionalFormatting sqref="K14:K33">
    <cfRule type="cellIs" priority="15" operator="greaterThan" dxfId="141">
      <formula>0</formula>
    </cfRule>
  </conditionalFormatting>
  <conditionalFormatting sqref="K37:K47">
    <cfRule type="cellIs" priority="72" operator="greaterThan" dxfId="141">
      <formula>0</formula>
    </cfRule>
  </conditionalFormatting>
  <conditionalFormatting sqref="K49:K55">
    <cfRule type="expression" priority="66" dxfId="4">
      <formula>$C$9="PLN"</formula>
    </cfRule>
    <cfRule type="expression" priority="67" dxfId="0">
      <formula>$C$9="CZK"</formula>
    </cfRule>
    <cfRule type="expression" priority="68" dxfId="3">
      <formula>$C$9="USD"</formula>
    </cfRule>
    <cfRule type="expression" priority="69" dxfId="2">
      <formula>$C$9="EURO"</formula>
    </cfRule>
  </conditionalFormatting>
  <conditionalFormatting sqref="L14:L33">
    <cfRule type="expression" priority="31" dxfId="115">
      <formula>$D$9&gt;0</formula>
    </cfRule>
    <cfRule type="expression" priority="30" dxfId="116">
      <formula>$D$9&lt;0</formula>
    </cfRule>
  </conditionalFormatting>
  <conditionalFormatting sqref="L37:L47">
    <cfRule type="expression" priority="29" dxfId="115">
      <formula>$D$9&gt;0</formula>
    </cfRule>
    <cfRule type="expression" priority="28" dxfId="116">
      <formula>$D$9&lt;0</formula>
    </cfRule>
  </conditionalFormatting>
  <conditionalFormatting sqref="N9 N12">
    <cfRule type="expression" priority="98" dxfId="4">
      <formula>$C$9="PLN"</formula>
    </cfRule>
    <cfRule type="expression" priority="99" dxfId="0">
      <formula>$C$9="CZK"</formula>
    </cfRule>
    <cfRule type="expression" priority="100" dxfId="3">
      <formula>$C$9="USD"</formula>
    </cfRule>
    <cfRule type="expression" priority="101" dxfId="2">
      <formula>$C$9="EURO"</formula>
    </cfRule>
  </conditionalFormatting>
  <conditionalFormatting sqref="N14:N33">
    <cfRule type="expression" priority="37" dxfId="0">
      <formula>$C$9="CZK"</formula>
    </cfRule>
    <cfRule type="expression" priority="36" dxfId="4">
      <formula>$C$9="PLN"</formula>
    </cfRule>
    <cfRule type="expression" priority="39" dxfId="2">
      <formula>$C$9="EURO"</formula>
    </cfRule>
    <cfRule type="expression" priority="38" dxfId="3">
      <formula>$C$9="USD"</formula>
    </cfRule>
  </conditionalFormatting>
  <conditionalFormatting sqref="N18:N20">
    <cfRule type="cellIs" priority="47" operator="greaterThan" dxfId="5">
      <formula>0</formula>
    </cfRule>
  </conditionalFormatting>
  <conditionalFormatting sqref="N36:N47">
    <cfRule type="expression" priority="24" dxfId="2">
      <formula>$C$9="EURO"</formula>
    </cfRule>
    <cfRule type="expression" priority="23" dxfId="3">
      <formula>$C$9="USD"</formula>
    </cfRule>
    <cfRule type="expression" priority="22" dxfId="0">
      <formula>$C$9="CZK"</formula>
    </cfRule>
    <cfRule type="expression" priority="21" dxfId="4">
      <formula>$C$9="PLN"</formula>
    </cfRule>
  </conditionalFormatting>
  <conditionalFormatting sqref="N14:O33">
    <cfRule type="cellIs" priority="35" operator="greaterThan" dxfId="5">
      <formula>0</formula>
    </cfRule>
  </conditionalFormatting>
  <conditionalFormatting sqref="N37:O47">
    <cfRule type="cellIs" priority="20" operator="greaterThan" dxfId="141">
      <formula>0</formula>
    </cfRule>
  </conditionalFormatting>
  <conditionalFormatting sqref="O14:O20">
    <cfRule type="cellIs" priority="52" operator="greaterThan" dxfId="5">
      <formula>0</formula>
    </cfRule>
  </conditionalFormatting>
  <dataValidations count="3">
    <dataValidation sqref="E14:E33" showDropDown="0" showInputMessage="1" showErrorMessage="1" allowBlank="1" type="list">
      <formula1>"0,1,2,3,4,5,6,7,8,9,10,11,12,13,14,15,16,17,18,19,20"</formula1>
    </dataValidation>
    <dataValidation sqref="F14:F26 F30:F31" showDropDown="0" showInputMessage="1" showErrorMessage="1" allowBlank="1" operator="greaterThan"/>
    <dataValidation sqref="H35" showDropDown="0" showInputMessage="1" showErrorMessage="1" allowBlank="1" type="list">
      <formula1>#REF!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59"/>
  <drawing xmlns:r="http://schemas.openxmlformats.org/officeDocument/2006/relationships" r:id="rId1"/>
</worksheet>
</file>

<file path=xl/worksheets/sheet53.xml><?xml version="1.0" encoding="utf-8"?>
<worksheet xmlns="http://schemas.openxmlformats.org/spreadsheetml/2006/main">
  <sheetPr codeName="Sheet26">
    <tabColor theme="8" tint="0.7999816888943144"/>
    <outlinePr summaryBelow="1" summaryRight="1"/>
    <pageSetUpPr fitToPage="1"/>
  </sheetPr>
  <dimension ref="A1:AB159"/>
  <sheetViews>
    <sheetView showGridLines="0" zoomScale="80" zoomScaleNormal="80" zoomScaleSheetLayoutView="50" workbookViewId="0">
      <selection activeCell="D4" sqref="D4"/>
    </sheetView>
  </sheetViews>
  <sheetFormatPr baseColWidth="10" defaultColWidth="8.83203125" defaultRowHeight="15" customHeight="1"/>
  <cols>
    <col width="2" customWidth="1" style="215" min="1" max="2"/>
    <col width="32.33203125" customWidth="1" style="1070" min="3" max="3"/>
    <col width="39.83203125" customWidth="1" style="1070" min="4" max="4"/>
    <col width="27.1640625" customWidth="1" style="1070" min="5" max="5"/>
    <col width="26.6640625" customWidth="1" style="1070" min="6" max="6"/>
    <col width="18.83203125" customWidth="1" style="1070" min="7" max="7"/>
    <col width="25" bestFit="1" customWidth="1" style="1070" min="8" max="8"/>
    <col width="10" bestFit="1" customWidth="1" style="1072" min="9" max="9"/>
    <col width="14.83203125" bestFit="1" customWidth="1" style="1073" min="10" max="10"/>
    <col width="17.5" customWidth="1" style="228" min="11" max="11"/>
    <col width="7.6640625" bestFit="1" customWidth="1" style="228" min="12" max="12"/>
    <col hidden="1" width="15.5" customWidth="1" style="346" min="13" max="13"/>
    <col width="14.5" bestFit="1" customWidth="1" style="1073" min="14" max="14"/>
    <col width="13.6640625" bestFit="1" customWidth="1" style="14" min="15" max="15"/>
    <col width="15.6640625" customWidth="1" style="1070" min="16" max="16"/>
    <col width="8.83203125" customWidth="1" style="1070" min="17" max="17"/>
    <col width="18.6640625" customWidth="1" style="1070" min="18" max="18"/>
    <col width="8.83203125" customWidth="1" style="1070" min="19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0"/>
    <col width="8.83203125" customWidth="1" style="1070" min="101" max="16384"/>
  </cols>
  <sheetData>
    <row r="1" ht="15" customHeight="1" s="1085">
      <c r="C1" s="1148" t="inlineStr">
        <is>
          <t xml:space="preserve">F24-19   REACTAWAY COST SHEET </t>
        </is>
      </c>
      <c r="E1" s="216" t="n"/>
      <c r="F1" s="216" t="n"/>
      <c r="G1" s="216" t="n"/>
      <c r="H1" s="216" t="n"/>
      <c r="I1" s="29" t="n"/>
      <c r="J1" s="336" t="n"/>
      <c r="K1" s="337" t="n"/>
      <c r="L1" s="338" t="n"/>
      <c r="M1" s="339" t="n"/>
      <c r="N1" s="336" t="n"/>
      <c r="O1" s="975" t="inlineStr">
        <is>
          <t>JAN25-19</t>
        </is>
      </c>
      <c r="S1" s="80" t="n"/>
      <c r="T1" s="218" t="n"/>
    </row>
    <row r="2" ht="15" customHeight="1" s="1085">
      <c r="C2" s="79" t="n"/>
      <c r="D2" s="221" t="n"/>
      <c r="E2" s="221" t="n"/>
      <c r="G2" s="79" t="n"/>
      <c r="H2" s="77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C3" s="78" t="inlineStr">
        <is>
          <t>Job No.</t>
        </is>
      </c>
      <c r="D3" s="1130">
        <f>IF(CANOPY!C3="","",CANOPY!C3)</f>
        <v/>
      </c>
      <c r="G3" s="76" t="inlineStr">
        <is>
          <t>Project Name</t>
        </is>
      </c>
      <c r="H3" s="1071">
        <f>IF(CANOPY!G3="","",CANOPY!G3)</f>
        <v/>
      </c>
      <c r="L3" s="342" t="n"/>
      <c r="M3" s="343" t="n"/>
      <c r="N3" s="344" t="n"/>
      <c r="T3" s="225" t="n"/>
    </row>
    <row r="4" ht="15" customHeight="1" s="1085">
      <c r="C4" s="79" t="n"/>
      <c r="D4" s="223" t="n"/>
      <c r="E4" s="223" t="n"/>
      <c r="G4" s="77" t="n"/>
      <c r="H4" s="222" t="n"/>
      <c r="I4" s="227" t="n"/>
      <c r="J4" s="341" t="n"/>
      <c r="L4" s="342" t="n"/>
      <c r="M4" s="343" t="n"/>
      <c r="N4" s="344" t="n"/>
      <c r="T4" s="225" t="n"/>
    </row>
    <row r="5" ht="15" customHeight="1" s="1085">
      <c r="C5" s="78" t="inlineStr">
        <is>
          <t>Customer</t>
        </is>
      </c>
      <c r="D5" s="1074">
        <f>IF(CANOPY!C5="","",CANOPY!C5)</f>
        <v/>
      </c>
      <c r="G5" s="76" t="inlineStr">
        <is>
          <t>Location</t>
        </is>
      </c>
      <c r="H5" s="1071">
        <f>IF(CANOPY!G5="","",CANOPY!G5)</f>
        <v/>
      </c>
      <c r="M5" s="343" t="n"/>
      <c r="N5" s="344" t="n"/>
      <c r="Q5" s="229" t="n"/>
      <c r="R5" s="229" t="n"/>
      <c r="T5" s="225" t="n"/>
      <c r="U5" s="226" t="n"/>
    </row>
    <row r="6" ht="15" customHeight="1" s="1085">
      <c r="C6" s="78" t="n"/>
      <c r="D6" s="230" t="n"/>
      <c r="E6" s="230" t="n"/>
      <c r="G6" s="76" t="n"/>
      <c r="H6" s="222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C7" s="80" t="inlineStr">
        <is>
          <t>Sales Manager / Estimator initials</t>
        </is>
      </c>
      <c r="D7" s="1074">
        <f>IF(CANOPY!C7="","",CANOPY!C7)</f>
        <v/>
      </c>
      <c r="G7" s="76" t="inlineStr">
        <is>
          <t>Date</t>
        </is>
      </c>
      <c r="H7" s="1075">
        <f>IF(CANOPY!G7="","",CANOPY!G7)</f>
        <v/>
      </c>
      <c r="N7" s="347" t="inlineStr">
        <is>
          <t>Revision No</t>
        </is>
      </c>
      <c r="O7" s="900">
        <f>IF(CANOPY!O7="","",CANOPY!O7)</f>
        <v/>
      </c>
      <c r="P7" s="1091" t="inlineStr">
        <is>
          <t>GP SHOULD BE MINIMUM 44%</t>
        </is>
      </c>
      <c r="T7" s="225" t="n"/>
      <c r="U7" s="226" t="n"/>
      <c r="AA7" s="231" t="n"/>
    </row>
    <row r="8" ht="15" customHeight="1" s="1085">
      <c r="E8" s="219" t="n"/>
      <c r="F8" s="219" t="n"/>
      <c r="H8" s="219" t="n"/>
      <c r="J8" s="346" t="n"/>
      <c r="K8" s="14" t="n"/>
      <c r="T8" s="225" t="n"/>
      <c r="AA8" s="231" t="n"/>
    </row>
    <row r="9" ht="15" customFormat="1" customHeight="1" s="80">
      <c r="A9" s="215" t="n"/>
      <c r="B9" s="215" t="n"/>
      <c r="C9" s="38" t="inlineStr">
        <is>
          <t>CURRENCY</t>
        </is>
      </c>
      <c r="D9" s="948" t="n">
        <v>0</v>
      </c>
      <c r="E9" s="377">
        <f>IF(D9=0,0,(SUBTOTAL(9,M14:M46)/(1-D9))-M9)</f>
        <v/>
      </c>
      <c r="I9" s="234" t="n"/>
      <c r="K9" s="25">
        <f>SUBTOTAL(9,K12:K46)</f>
        <v/>
      </c>
      <c r="L9" s="967">
        <f>IF(O9=0,"-",O9/M9)</f>
        <v/>
      </c>
      <c r="M9" s="25">
        <f>SUBTOTAL(9,M12:M46)</f>
        <v/>
      </c>
      <c r="N9" s="464">
        <f>SUBTOTAL(9,N12:N46)</f>
        <v/>
      </c>
      <c r="O9" s="25">
        <f>SUBTOTAL(9,O12:O46)</f>
        <v/>
      </c>
      <c r="P9" s="1070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215" t="n"/>
      <c r="C12" s="1089" t="inlineStr">
        <is>
          <t xml:space="preserve">ITEM </t>
        </is>
      </c>
      <c r="D12" s="236" t="n"/>
      <c r="E12" s="237">
        <f>E14</f>
        <v/>
      </c>
      <c r="F12" s="838" t="n">
        <v>0</v>
      </c>
      <c r="G12" s="838">
        <f>IF(I12&lt;1,0,CEILING((G14-100)/I14,250))</f>
        <v/>
      </c>
      <c r="H12" s="237">
        <f>E12&amp;G12&amp;F12</f>
        <v/>
      </c>
      <c r="I12" s="236">
        <f>IF(F14=0,0,IF(G14=0,0,(F14/(IF(D14="WALL",F14,(F14/2)))*I14)))</f>
        <v/>
      </c>
      <c r="J12" s="238" t="n"/>
      <c r="K12" s="154">
        <f>SUBTOTAL(9,K14:K32)</f>
        <v/>
      </c>
      <c r="L12" s="15">
        <f>IF(K14=0,"-",O12/M12)</f>
        <v/>
      </c>
      <c r="M12" s="154">
        <f>SUBTOTAL(9,M14:M30)</f>
        <v/>
      </c>
      <c r="N12" s="464">
        <f>SUBTOTAL(9,N14:N32)</f>
        <v/>
      </c>
      <c r="O12" s="154">
        <f>SUBTOTAL(9,O14:O32)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WIDTH</t>
        </is>
      </c>
      <c r="G13" s="10" t="inlineStr">
        <is>
          <t>LENGTH</t>
        </is>
      </c>
      <c r="H13" s="10" t="inlineStr">
        <is>
          <t>HEIGHT</t>
        </is>
      </c>
      <c r="I13" s="10" t="inlineStr">
        <is>
          <t>SECTIONS</t>
        </is>
      </c>
      <c r="J13" s="349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A14" s="215" t="n">
        <v>210</v>
      </c>
      <c r="C14" s="269" t="inlineStr">
        <is>
          <t>HEAVY DUTY 0.80 M3/S</t>
        </is>
      </c>
      <c r="D14" s="460" t="inlineStr">
        <is>
          <t>2 x 4-TUBE SHORT RACK</t>
        </is>
      </c>
      <c r="E14" s="448" t="n">
        <v>0</v>
      </c>
      <c r="F14" s="837" t="n">
        <v>800</v>
      </c>
      <c r="G14" s="835" t="n">
        <v>1400</v>
      </c>
      <c r="H14" s="836" t="n">
        <v>500</v>
      </c>
      <c r="I14" s="31" t="n"/>
      <c r="J14" s="380" t="n">
        <v>2055</v>
      </c>
      <c r="K14" s="378">
        <f>SUM(J14*E14)</f>
        <v/>
      </c>
      <c r="L14" s="392" t="n">
        <v>0.435</v>
      </c>
      <c r="M14" s="311">
        <f>(K14/(1-L14))*(1+$D$9)</f>
        <v/>
      </c>
      <c r="N14" s="378">
        <f>(M14*VLOOKUP($C$9,'Base Costs'!$A$32:$B$37,2,FALSE))</f>
        <v/>
      </c>
      <c r="O14" s="379">
        <f>M14-K14</f>
        <v/>
      </c>
      <c r="U14" s="229" t="n"/>
      <c r="AA14" s="1070" t="n"/>
    </row>
    <row r="15" ht="15" customHeight="1" s="1085">
      <c r="A15" s="215" t="n">
        <v>104</v>
      </c>
      <c r="C15" s="269" t="inlineStr">
        <is>
          <t>HEAVY DUTY 1.20 M3/S</t>
        </is>
      </c>
      <c r="D15" s="460" t="inlineStr">
        <is>
          <t>2 x 6-TUBE SHORT RACKS</t>
        </is>
      </c>
      <c r="E15" s="448" t="n">
        <v>0</v>
      </c>
      <c r="F15" s="837" t="n">
        <v>800</v>
      </c>
      <c r="G15" s="835" t="n">
        <v>1400</v>
      </c>
      <c r="H15" s="836" t="n">
        <v>500</v>
      </c>
      <c r="I15" s="31" t="n"/>
      <c r="J15" s="380" t="n">
        <v>2188</v>
      </c>
      <c r="K15" s="378">
        <f>SUM(J15*E15)</f>
        <v/>
      </c>
      <c r="L15" s="392" t="n">
        <v>0.435</v>
      </c>
      <c r="M15" s="311">
        <f>(K15/(1-L15))*(1+$D$9)</f>
        <v/>
      </c>
      <c r="N15" s="378">
        <f>(M15*VLOOKUP($C$9,'Base Costs'!$A$32:$B$37,2,FALSE))</f>
        <v/>
      </c>
      <c r="O15" s="379">
        <f>M15-K15</f>
        <v/>
      </c>
      <c r="U15" s="229" t="n"/>
      <c r="AA15" s="1070" t="n"/>
    </row>
    <row r="16" ht="15" customHeight="1" s="1085">
      <c r="A16" s="215" t="n">
        <v>234</v>
      </c>
      <c r="C16" s="269" t="inlineStr">
        <is>
          <t>HEAVY DUTY 1.60 M3/S</t>
        </is>
      </c>
      <c r="D16" s="460" t="inlineStr">
        <is>
          <t>2 x 8-TUBE SHORT RACKS</t>
        </is>
      </c>
      <c r="E16" s="461" t="n">
        <v>0</v>
      </c>
      <c r="F16" s="837" t="n">
        <v>800</v>
      </c>
      <c r="G16" s="835" t="n">
        <v>1400</v>
      </c>
      <c r="H16" s="836" t="n">
        <v>500</v>
      </c>
      <c r="I16" s="31" t="n"/>
      <c r="J16" s="380" t="n">
        <v>2304</v>
      </c>
      <c r="K16" s="378">
        <f>SUM(J16*E16)</f>
        <v/>
      </c>
      <c r="L16" s="392" t="n">
        <v>0.44</v>
      </c>
      <c r="M16" s="311">
        <f>(K16/(1-L16))*(1+$D$9)</f>
        <v/>
      </c>
      <c r="N16" s="378">
        <f>(M16*VLOOKUP($C$9,'Base Costs'!$A$32:$B$37,2,FALSE))</f>
        <v/>
      </c>
      <c r="O16" s="379">
        <f>M16-K16</f>
        <v/>
      </c>
      <c r="U16" s="229" t="n"/>
      <c r="AA16" s="1070" t="n"/>
    </row>
    <row r="17" ht="15" customHeight="1" s="1085">
      <c r="C17" s="269" t="inlineStr">
        <is>
          <t>HEAVY DUTY 1.60 M3/S</t>
        </is>
      </c>
      <c r="D17" s="460" t="inlineStr">
        <is>
          <t>2 x 4-TUBE LONG RACKS</t>
        </is>
      </c>
      <c r="E17" s="448" t="n">
        <v>0</v>
      </c>
      <c r="F17" s="837" t="n">
        <v>800</v>
      </c>
      <c r="G17" s="835" t="n">
        <v>1900</v>
      </c>
      <c r="H17" s="836" t="n">
        <v>600</v>
      </c>
      <c r="I17" s="31" t="n"/>
      <c r="J17" s="380" t="n">
        <v>2150</v>
      </c>
      <c r="K17" s="378">
        <f>SUM(J17*E17)</f>
        <v/>
      </c>
      <c r="L17" s="392" t="n">
        <v>0.435</v>
      </c>
      <c r="M17" s="311">
        <f>(K17/(1-L17))*(1+$D$9)</f>
        <v/>
      </c>
      <c r="N17" s="378">
        <f>(M17*VLOOKUP($C$9,'Base Costs'!$A$32:$B$37,2,FALSE))</f>
        <v/>
      </c>
      <c r="O17" s="379">
        <f>M17-K17</f>
        <v/>
      </c>
      <c r="U17" s="229" t="n"/>
      <c r="AA17" s="1070" t="n"/>
    </row>
    <row r="18" ht="15" customHeight="1" s="1085">
      <c r="C18" s="269" t="inlineStr">
        <is>
          <t>HEAVY DUTY 2.40 M3/S</t>
        </is>
      </c>
      <c r="D18" s="460" t="inlineStr">
        <is>
          <t>2 x 6-TUBE LONG RACKS</t>
        </is>
      </c>
      <c r="E18" s="448" t="n">
        <v>0</v>
      </c>
      <c r="F18" s="837" t="n">
        <v>800</v>
      </c>
      <c r="G18" s="835" t="n">
        <v>1900</v>
      </c>
      <c r="H18" s="836" t="n">
        <v>600</v>
      </c>
      <c r="I18" s="31" t="n"/>
      <c r="J18" s="380" t="n">
        <v>2240</v>
      </c>
      <c r="K18" s="378">
        <f>SUM(J18*E18)</f>
        <v/>
      </c>
      <c r="L18" s="392" t="n">
        <v>0.435</v>
      </c>
      <c r="M18" s="311">
        <f>(K18/(1-L18))*(1+$D$9)</f>
        <v/>
      </c>
      <c r="N18" s="378">
        <f>(M18*VLOOKUP($C$9,'Base Costs'!$A$32:$B$37,2,FALSE))</f>
        <v/>
      </c>
      <c r="O18" s="379">
        <f>M18-K18</f>
        <v/>
      </c>
      <c r="U18" s="229" t="n"/>
      <c r="AA18" s="1070" t="n"/>
    </row>
    <row r="19" ht="15" customHeight="1" s="1085">
      <c r="C19" s="269" t="inlineStr">
        <is>
          <t>HEAVY DUTY 3.20 M3/S</t>
        </is>
      </c>
      <c r="D19" s="460" t="inlineStr">
        <is>
          <t>2 x 8-TUBE LONG RACKS</t>
        </is>
      </c>
      <c r="E19" s="448" t="n">
        <v>0</v>
      </c>
      <c r="F19" s="837" t="n">
        <v>800</v>
      </c>
      <c r="G19" s="835" t="n">
        <v>1900</v>
      </c>
      <c r="H19" s="836" t="n">
        <v>600</v>
      </c>
      <c r="I19" s="31" t="n"/>
      <c r="J19" s="380" t="n">
        <v>2481</v>
      </c>
      <c r="K19" s="378">
        <f>SUM(J19*E19)</f>
        <v/>
      </c>
      <c r="L19" s="392" t="n">
        <v>0.435</v>
      </c>
      <c r="M19" s="311">
        <f>(K19/(1-L19))*(1+$D$9)</f>
        <v/>
      </c>
      <c r="N19" s="378">
        <f>(M19*VLOOKUP($C$9,'Base Costs'!$A$32:$B$37,2,FALSE))</f>
        <v/>
      </c>
      <c r="O19" s="379">
        <f>M19-K19</f>
        <v/>
      </c>
      <c r="U19" s="229" t="n"/>
      <c r="AA19" s="1070" t="n"/>
    </row>
    <row r="20" ht="15" customHeight="1" s="1085">
      <c r="C20" s="269" t="inlineStr">
        <is>
          <t>HEAVY DUTY 3.60 M3/S</t>
        </is>
      </c>
      <c r="D20" s="460" t="inlineStr">
        <is>
          <t>3 x 6-TUBE LONG RACKS</t>
        </is>
      </c>
      <c r="E20" s="448" t="n">
        <v>0</v>
      </c>
      <c r="F20" s="837" t="n">
        <v>800</v>
      </c>
      <c r="G20" s="835" t="n">
        <v>1900</v>
      </c>
      <c r="H20" s="836" t="n">
        <v>600</v>
      </c>
      <c r="I20" s="31" t="n"/>
      <c r="J20" s="380" t="n">
        <v>2783</v>
      </c>
      <c r="K20" s="378">
        <f>SUM(J20*E20)</f>
        <v/>
      </c>
      <c r="L20" s="392" t="n">
        <v>0.435</v>
      </c>
      <c r="M20" s="311">
        <f>(K20/(1-L20))*(1+$D$9)</f>
        <v/>
      </c>
      <c r="N20" s="378">
        <f>(M20*VLOOKUP($C$9,'Base Costs'!$A$32:$B$37,2,FALSE))</f>
        <v/>
      </c>
      <c r="O20" s="379">
        <f>M20-K20</f>
        <v/>
      </c>
      <c r="U20" s="229" t="n"/>
      <c r="AA20" s="1070" t="n"/>
    </row>
    <row r="21" ht="15" customHeight="1" s="1085">
      <c r="A21" s="215" t="n">
        <v>289</v>
      </c>
      <c r="C21" s="269" t="inlineStr">
        <is>
          <t>LIGH/MEDIUM DUTY 0.40 M3/S</t>
        </is>
      </c>
      <c r="D21" s="460" t="inlineStr">
        <is>
          <t>1 x 4-TUBE SHORT RACK</t>
        </is>
      </c>
      <c r="E21" s="448" t="n">
        <v>0</v>
      </c>
      <c r="F21" s="837" t="n">
        <v>500</v>
      </c>
      <c r="G21" s="835" t="n">
        <v>1400</v>
      </c>
      <c r="H21" s="836" t="n">
        <v>500</v>
      </c>
      <c r="I21" s="31" t="n"/>
      <c r="J21" s="380" t="n">
        <v>1453</v>
      </c>
      <c r="K21" s="378">
        <f>SUM(J21*E21)</f>
        <v/>
      </c>
      <c r="L21" s="392" t="n">
        <v>0.435</v>
      </c>
      <c r="M21" s="311">
        <f>(K21/(1-L21))*(1+$D$9)</f>
        <v/>
      </c>
      <c r="N21" s="378">
        <f>(M21*VLOOKUP($C$9,'Base Costs'!$A$32:$B$37,2,FALSE))</f>
        <v/>
      </c>
      <c r="O21" s="379">
        <f>M21-K21</f>
        <v/>
      </c>
      <c r="U21" s="229" t="n"/>
      <c r="AA21" s="1070" t="n"/>
    </row>
    <row r="22" ht="15" customHeight="1" s="1085">
      <c r="A22" s="215" t="n">
        <v>242</v>
      </c>
      <c r="C22" s="269" t="inlineStr">
        <is>
          <t>LIGH/MEDIUM DUTY 0.60 M3/S</t>
        </is>
      </c>
      <c r="D22" s="460" t="inlineStr">
        <is>
          <t>1 x 6-TUBE SHORT RACK</t>
        </is>
      </c>
      <c r="E22" s="448" t="n">
        <v>0</v>
      </c>
      <c r="F22" s="837" t="n">
        <v>500</v>
      </c>
      <c r="G22" s="835" t="n">
        <v>1400</v>
      </c>
      <c r="H22" s="836" t="n">
        <v>500</v>
      </c>
      <c r="I22" s="31" t="n"/>
      <c r="J22" s="380" t="n">
        <v>1519</v>
      </c>
      <c r="K22" s="378">
        <f>SUM(J22*E22)</f>
        <v/>
      </c>
      <c r="L22" s="392" t="n">
        <v>0.435</v>
      </c>
      <c r="M22" s="311">
        <f>(K22/(1-L22))*(1+$D$9)</f>
        <v/>
      </c>
      <c r="N22" s="378">
        <f>(M22*VLOOKUP($C$9,'Base Costs'!$A$32:$B$37,2,FALSE))</f>
        <v/>
      </c>
      <c r="O22" s="379">
        <f>M22-K22</f>
        <v/>
      </c>
      <c r="U22" s="229" t="n"/>
      <c r="AA22" s="1070" t="n"/>
    </row>
    <row r="23" ht="15" customHeight="1" s="1085">
      <c r="A23" s="215" t="n">
        <v>220</v>
      </c>
      <c r="C23" s="269" t="inlineStr">
        <is>
          <t>LIGH/MEDIUM DUTY 0.480M3/S</t>
        </is>
      </c>
      <c r="D23" s="460" t="inlineStr">
        <is>
          <t>1 x 8-TUBE SHORT RACK</t>
        </is>
      </c>
      <c r="E23" s="448" t="n">
        <v>0</v>
      </c>
      <c r="F23" s="837" t="n">
        <v>500</v>
      </c>
      <c r="G23" s="835" t="n">
        <v>1400</v>
      </c>
      <c r="H23" s="836" t="n">
        <v>500</v>
      </c>
      <c r="I23" s="31" t="n"/>
      <c r="J23" s="380" t="n">
        <v>1584</v>
      </c>
      <c r="K23" s="378">
        <f>SUM(J23*E23)</f>
        <v/>
      </c>
      <c r="L23" s="392" t="n">
        <v>0.435</v>
      </c>
      <c r="M23" s="311">
        <f>(K23/(1-L23))*(1+$D$9)</f>
        <v/>
      </c>
      <c r="N23" s="378">
        <f>(M23*VLOOKUP($C$9,'Base Costs'!$A$32:$B$37,2,FALSE))</f>
        <v/>
      </c>
      <c r="O23" s="379">
        <f>M23-K23</f>
        <v/>
      </c>
      <c r="U23" s="229" t="n"/>
      <c r="AA23" s="1070" t="n"/>
    </row>
    <row r="24" ht="15" customHeight="1" s="1085">
      <c r="A24" s="215" t="n">
        <v>103</v>
      </c>
      <c r="C24" s="269" t="inlineStr">
        <is>
          <t>LIGH/MEDIUM DUTY 0.80 M3/S</t>
        </is>
      </c>
      <c r="D24" s="460" t="inlineStr">
        <is>
          <t>1 x 4-TUBE LONG RACK</t>
        </is>
      </c>
      <c r="E24" s="448" t="n">
        <v>0</v>
      </c>
      <c r="F24" s="837" t="n">
        <v>600</v>
      </c>
      <c r="G24" s="835" t="n">
        <v>1900</v>
      </c>
      <c r="H24" s="836" t="n">
        <v>600</v>
      </c>
      <c r="I24" s="31" t="n"/>
      <c r="J24" s="380" t="n">
        <v>1712</v>
      </c>
      <c r="K24" s="378">
        <f>SUM(J24*E24)</f>
        <v/>
      </c>
      <c r="L24" s="392" t="n">
        <v>0.435</v>
      </c>
      <c r="M24" s="311">
        <f>(K24/(1-L24))*(1+$D$9)</f>
        <v/>
      </c>
      <c r="N24" s="378">
        <f>(M24*VLOOKUP($C$9,'Base Costs'!$A$32:$B$37,2,FALSE))</f>
        <v/>
      </c>
      <c r="O24" s="379">
        <f>M24-K24</f>
        <v/>
      </c>
      <c r="U24" s="229" t="n"/>
      <c r="AA24" s="1070" t="n"/>
    </row>
    <row r="25" ht="15" customHeight="1" s="1085">
      <c r="A25" s="215" t="n">
        <v>103</v>
      </c>
      <c r="C25" s="269" t="inlineStr">
        <is>
          <t>LIGH/MEDIUM DUTY 1.20 M3/S</t>
        </is>
      </c>
      <c r="D25" s="460" t="inlineStr">
        <is>
          <t>1 x 6-TUBE LONG RACK</t>
        </is>
      </c>
      <c r="E25" s="448" t="n">
        <v>0</v>
      </c>
      <c r="F25" s="837" t="n">
        <v>600</v>
      </c>
      <c r="G25" s="835" t="n">
        <v>1900</v>
      </c>
      <c r="H25" s="836" t="n">
        <v>600</v>
      </c>
      <c r="I25" s="31" t="n"/>
      <c r="J25" s="380" t="n">
        <v>1777</v>
      </c>
      <c r="K25" s="378">
        <f>SUM(J25*E25)</f>
        <v/>
      </c>
      <c r="L25" s="392" t="n">
        <v>0.435</v>
      </c>
      <c r="M25" s="311">
        <f>(K25/(1-L25))*(1+$D$9)</f>
        <v/>
      </c>
      <c r="N25" s="378">
        <f>(M25*VLOOKUP($C$9,'Base Costs'!$A$32:$B$37,2,FALSE))</f>
        <v/>
      </c>
      <c r="O25" s="379">
        <f>M25-K25</f>
        <v/>
      </c>
      <c r="U25" s="229" t="n"/>
      <c r="AA25" s="1070" t="n"/>
    </row>
    <row r="26" ht="15" customHeight="1" s="1085">
      <c r="C26" s="269" t="inlineStr">
        <is>
          <t>LIGH/MEDIUM DUTY 1.60 M3/S</t>
        </is>
      </c>
      <c r="D26" s="460" t="inlineStr">
        <is>
          <t>1 x 8-TUBE LONG RACK</t>
        </is>
      </c>
      <c r="E26" s="448" t="n">
        <v>0</v>
      </c>
      <c r="F26" s="837" t="n">
        <v>600</v>
      </c>
      <c r="G26" s="835" t="n">
        <v>1900</v>
      </c>
      <c r="H26" s="836" t="n">
        <v>600</v>
      </c>
      <c r="I26" s="31" t="n"/>
      <c r="J26" s="380" t="n">
        <v>1904</v>
      </c>
      <c r="K26" s="378">
        <f>SUM(J26*E26)</f>
        <v/>
      </c>
      <c r="L26" s="392" t="n">
        <v>0.435</v>
      </c>
      <c r="M26" s="311">
        <f>(K26/(1-L26))*(1+$D$9)</f>
        <v/>
      </c>
      <c r="N26" s="378">
        <f>(M26*VLOOKUP($C$9,'Base Costs'!$A$32:$B$37,2,FALSE))</f>
        <v/>
      </c>
      <c r="O26" s="379">
        <f>M26-K26</f>
        <v/>
      </c>
      <c r="U26" s="229" t="n"/>
      <c r="AA26" s="1070" t="n"/>
    </row>
    <row r="27" ht="15" customHeight="1" s="1085">
      <c r="A27" s="215" t="n">
        <v>285</v>
      </c>
      <c r="C27" s="269" t="n"/>
      <c r="D27" s="460" t="inlineStr">
        <is>
          <t>OPEN ITEM</t>
        </is>
      </c>
      <c r="E27" s="448" t="n">
        <v>0</v>
      </c>
      <c r="F27" s="28" t="n"/>
      <c r="G27" s="28" t="n"/>
      <c r="H27" s="32" t="n"/>
      <c r="I27" s="31" t="n"/>
      <c r="J27" s="380" t="n"/>
      <c r="K27" s="378">
        <f>SUM(J27*E27)</f>
        <v/>
      </c>
      <c r="L27" s="392" t="n">
        <v>0.435</v>
      </c>
      <c r="M27" s="311">
        <f>(K27/(1-L27))*(1+$D$9)</f>
        <v/>
      </c>
      <c r="N27" s="378">
        <f>(M27*VLOOKUP($C$9,'Base Costs'!$A$32:$B$37,2,FALSE))</f>
        <v/>
      </c>
      <c r="O27" s="379">
        <f>M27-K27</f>
        <v/>
      </c>
      <c r="U27" s="229" t="n"/>
      <c r="AA27" s="1070" t="n"/>
    </row>
    <row r="28" ht="15" customHeight="1" s="1085">
      <c r="C28" s="269" t="n"/>
      <c r="D28" s="460" t="inlineStr">
        <is>
          <t>OPEN ITEM</t>
        </is>
      </c>
      <c r="E28" s="448" t="n">
        <v>0</v>
      </c>
      <c r="F28" s="28" t="n"/>
      <c r="G28" s="28" t="n"/>
      <c r="H28" s="32" t="n"/>
      <c r="I28" s="31" t="n"/>
      <c r="J28" s="380">
        <f>IF(E28=0,0,36)</f>
        <v/>
      </c>
      <c r="K28" s="378">
        <f>SUM(J28*E28)</f>
        <v/>
      </c>
      <c r="L28" s="392" t="n">
        <v>0.435</v>
      </c>
      <c r="M28" s="311">
        <f>(K28/(1-L28))*(1+$D$9)</f>
        <v/>
      </c>
      <c r="N28" s="378">
        <f>(M28*VLOOKUP($C$9,'Base Costs'!$A$32:$B$37,2,FALSE))</f>
        <v/>
      </c>
      <c r="O28" s="379">
        <f>M28-K28</f>
        <v/>
      </c>
      <c r="U28" s="229" t="n"/>
      <c r="AA28" s="1070" t="n"/>
    </row>
    <row r="29" ht="15" customHeight="1" s="1085">
      <c r="C29" s="269" t="n"/>
      <c r="D29" s="460" t="inlineStr">
        <is>
          <t>OPEN ITEM</t>
        </is>
      </c>
      <c r="E29" s="448" t="n">
        <v>0</v>
      </c>
      <c r="F29" s="28" t="n"/>
      <c r="G29" s="28" t="n"/>
      <c r="H29" s="32" t="n"/>
      <c r="I29" s="31" t="n"/>
      <c r="J29" s="380" t="n"/>
      <c r="K29" s="378">
        <f>SUM(J29*E29)</f>
        <v/>
      </c>
      <c r="L29" s="392" t="n">
        <v>0.435</v>
      </c>
      <c r="M29" s="311">
        <f>(K29/(1-L29))*(1+$D$9)</f>
        <v/>
      </c>
      <c r="N29" s="378">
        <f>(M29*VLOOKUP($C$9,'Base Costs'!$A$32:$B$37,2,FALSE))</f>
        <v/>
      </c>
      <c r="O29" s="379">
        <f>M29-K29</f>
        <v/>
      </c>
      <c r="U29" s="229" t="n"/>
      <c r="AA29" s="1070" t="n"/>
    </row>
    <row r="30" ht="15" customHeight="1" s="1085">
      <c r="A30" s="215" t="n">
        <v>286</v>
      </c>
      <c r="C30" s="269" t="n"/>
      <c r="D30" s="460" t="inlineStr">
        <is>
          <t>OPEN ITEM</t>
        </is>
      </c>
      <c r="E30" s="448" t="n">
        <v>0</v>
      </c>
      <c r="F30" s="28" t="n"/>
      <c r="G30" s="28" t="n"/>
      <c r="H30" s="30" t="n"/>
      <c r="I30" s="31" t="n"/>
      <c r="J30" s="380">
        <f>IF(E30=0,0,100)</f>
        <v/>
      </c>
      <c r="K30" s="378">
        <f>SUM(J30*E30)</f>
        <v/>
      </c>
      <c r="L30" s="392" t="n">
        <v>0.435</v>
      </c>
      <c r="M30" s="311">
        <f>(K30/(1-L30))*(1+$D$9)</f>
        <v/>
      </c>
      <c r="N30" s="378">
        <f>(M30*VLOOKUP($C$9,'Base Costs'!$A$32:$B$37,2,FALSE))</f>
        <v/>
      </c>
      <c r="O30" s="379">
        <f>M30-K30</f>
        <v/>
      </c>
      <c r="U30" s="229" t="n"/>
      <c r="AA30" s="1070" t="n"/>
    </row>
    <row r="31" ht="15" customHeight="1" s="1085">
      <c r="C31" s="269" t="n"/>
      <c r="D31" s="460" t="inlineStr">
        <is>
          <t>OPEN ITEM</t>
        </is>
      </c>
      <c r="E31" s="448" t="n">
        <v>0</v>
      </c>
      <c r="F31" s="462" t="n"/>
      <c r="G31" s="32" t="n"/>
      <c r="H31" s="30" t="n"/>
      <c r="I31" s="31" t="n"/>
      <c r="J31" s="834" t="n"/>
      <c r="K31" s="378">
        <f>SUM(J31*E31)</f>
        <v/>
      </c>
      <c r="L31" s="392" t="n">
        <v>0.435</v>
      </c>
      <c r="M31" s="311">
        <f>(K31/(1-L31))*(1+$D$9)</f>
        <v/>
      </c>
      <c r="N31" s="378">
        <f>(M31*VLOOKUP($C$9,'Base Costs'!$A$32:$B$37,2,FALSE))</f>
        <v/>
      </c>
      <c r="O31" s="379">
        <f>M31-K31</f>
        <v/>
      </c>
      <c r="U31" s="229" t="n"/>
      <c r="AA31" s="1070" t="n"/>
    </row>
    <row r="32" ht="15" customHeight="1" s="1085">
      <c r="C32" s="978" t="inlineStr">
        <is>
          <t>BIM/REVIT PER UNIT</t>
        </is>
      </c>
      <c r="D32" s="1025" t="inlineStr">
        <is>
          <t>DESIGN</t>
        </is>
      </c>
      <c r="E32" s="1026" t="n">
        <v>1</v>
      </c>
      <c r="F32" s="1031" t="n"/>
      <c r="G32" s="990" t="n"/>
      <c r="H32" s="1032" t="n"/>
      <c r="I32" s="1029" t="n"/>
      <c r="J32" s="1033" t="n">
        <v>50</v>
      </c>
      <c r="K32" s="996">
        <f>SUM(J32*E32)</f>
        <v/>
      </c>
      <c r="L32" s="1030" t="n">
        <v>0.44</v>
      </c>
      <c r="M32" s="998">
        <f>(K32/(1-L32))*(1+$D$9)</f>
        <v/>
      </c>
      <c r="N32" s="996">
        <f>(M32*VLOOKUP($C$9,'Base Costs'!$A$32:$B$37,2,FALSE))</f>
        <v/>
      </c>
      <c r="O32" s="999">
        <f>M32-K32</f>
        <v/>
      </c>
      <c r="P32" s="990" t="inlineStr">
        <is>
          <t>always include</t>
        </is>
      </c>
      <c r="U32" s="229" t="n"/>
      <c r="AA32" s="1070" t="n"/>
    </row>
    <row r="33" ht="15" customHeight="1" s="1085">
      <c r="H33" s="34" t="inlineStr">
        <is>
          <t>SECTION UNDER 1000mm</t>
        </is>
      </c>
    </row>
    <row r="34" ht="15" customHeight="1" s="1085">
      <c r="C34" s="239" t="n"/>
      <c r="D34" s="239" t="n"/>
      <c r="E34" s="239" t="n"/>
      <c r="F34" s="239" t="n"/>
      <c r="G34" s="239" t="n"/>
      <c r="H34" s="239" t="n"/>
      <c r="I34" s="9" t="n"/>
      <c r="J34" s="11" t="n"/>
      <c r="K34" s="353" t="n"/>
      <c r="L34" s="240" t="n"/>
      <c r="M34" s="353" t="n"/>
      <c r="N34" s="353" t="n"/>
      <c r="U34" s="229" t="n"/>
      <c r="AA34" s="1070" t="n"/>
    </row>
    <row r="35" ht="15" customHeight="1" s="1085">
      <c r="C35" s="1089" t="inlineStr">
        <is>
          <t xml:space="preserve">DELIVERY &amp; INSTALLATION </t>
        </is>
      </c>
      <c r="I35" s="236" t="n"/>
      <c r="J35" s="330" t="n"/>
      <c r="K35" s="154">
        <f>SUBTOTAL(9,K36:K46)</f>
        <v/>
      </c>
      <c r="L35" s="15">
        <f>IF(K36=0,"-",O35/M35)</f>
        <v/>
      </c>
      <c r="M35" s="154">
        <f>SUBTOTAL(9,M36:M46)</f>
        <v/>
      </c>
      <c r="N35" s="464">
        <f>SUBTOTAL(9,N36:N46)</f>
        <v/>
      </c>
      <c r="O35" s="154">
        <f>SUBTOTAL(9,O37:O46)</f>
        <v/>
      </c>
      <c r="U35" s="229" t="n"/>
    </row>
    <row r="36" ht="15" customHeight="1" s="1085">
      <c r="A36" s="215" t="n">
        <v>222</v>
      </c>
      <c r="C36" s="269" t="inlineStr">
        <is>
          <t xml:space="preserve">DELIVERIES </t>
        </is>
      </c>
      <c r="D36" s="242" t="n"/>
      <c r="E36" s="309" t="inlineStr">
        <is>
          <t>SELECT LOCATION…</t>
        </is>
      </c>
      <c r="F36" s="28" t="n"/>
      <c r="G36" s="30" t="n"/>
      <c r="H36" s="28" t="n"/>
      <c r="I36" s="28" t="n"/>
      <c r="J36" s="385">
        <f>VLOOKUP(E36,'Base Costs'!E4:G213,2,FALSE)</f>
        <v/>
      </c>
      <c r="K36" s="378">
        <f>D36*J36</f>
        <v/>
      </c>
      <c r="L36" s="392" t="n">
        <v>0.33</v>
      </c>
      <c r="M36" s="311">
        <f>(K36/(1-L36))*(1+$D$9)</f>
        <v/>
      </c>
      <c r="N36" s="378">
        <f>(M36*VLOOKUP($C$9,'Base Costs'!$A$32:$B$37,2,FALSE))</f>
        <v/>
      </c>
      <c r="O36" s="379">
        <f>M36-K36</f>
        <v/>
      </c>
      <c r="U36" s="229" t="n"/>
    </row>
    <row r="37" ht="15" customHeight="1" s="1085">
      <c r="A37" s="215" t="n">
        <v>257</v>
      </c>
      <c r="C37" s="269" t="inlineStr">
        <is>
          <t>PLANT HIRE</t>
        </is>
      </c>
      <c r="D37" s="242" t="n"/>
      <c r="E37" s="309" t="inlineStr">
        <is>
          <t>PLANT SELECTION (weekly)</t>
        </is>
      </c>
      <c r="F37" s="28" t="n"/>
      <c r="G37" s="28" t="n"/>
      <c r="H37" s="28" t="n"/>
      <c r="I37" s="28" t="n"/>
      <c r="J37" s="385">
        <f>VLOOKUP(E37,'Base Costs'!$A$4:$B$16,2,FALSE)</f>
        <v/>
      </c>
      <c r="K37" s="378">
        <f>D37*J37</f>
        <v/>
      </c>
      <c r="L37" s="392" t="n">
        <v>0.33</v>
      </c>
      <c r="M37" s="311">
        <f>(K37/(1-L37))*(1+$D$9)</f>
        <v/>
      </c>
      <c r="N37" s="378">
        <f>(M37*VLOOKUP($C$9,'Base Costs'!$A$32:$B$37,2,FALSE))</f>
        <v/>
      </c>
      <c r="O37" s="379">
        <f>M37-K37</f>
        <v/>
      </c>
      <c r="U37" s="229" t="n"/>
    </row>
    <row r="38" ht="15" customHeight="1" s="1085">
      <c r="A38" s="215" t="n">
        <v>257</v>
      </c>
      <c r="C38" s="269" t="inlineStr">
        <is>
          <t>PLANT HIRE</t>
        </is>
      </c>
      <c r="D38" s="242" t="n"/>
      <c r="E38" s="309" t="inlineStr">
        <is>
          <t>PLANT SELECTION (weekly)</t>
        </is>
      </c>
      <c r="F38" s="28" t="n"/>
      <c r="G38" s="28" t="n"/>
      <c r="H38" s="28" t="n"/>
      <c r="I38" s="28" t="n"/>
      <c r="J38" s="385">
        <f>VLOOKUP(E38,'Base Costs'!$A$4:$B$16,2,FALSE)</f>
        <v/>
      </c>
      <c r="K38" s="378">
        <f>D38*J38</f>
        <v/>
      </c>
      <c r="L38" s="392" t="n">
        <v>0.33</v>
      </c>
      <c r="M38" s="311">
        <f>(K38/(1-L38))*(1+$D$9)</f>
        <v/>
      </c>
      <c r="N38" s="378">
        <f>(M38*VLOOKUP($C$9,'Base Costs'!$A$32:$B$37,2,FALSE))</f>
        <v/>
      </c>
      <c r="O38" s="379">
        <f>M38-K38</f>
        <v/>
      </c>
      <c r="U38" s="229" t="n"/>
    </row>
    <row r="39" ht="15" customHeight="1" s="1085">
      <c r="A39" s="215" t="n">
        <v>400</v>
      </c>
      <c r="C39" s="269" t="inlineStr">
        <is>
          <t>STRIP OUT</t>
        </is>
      </c>
      <c r="D39" s="242" t="n"/>
      <c r="E39" s="28" t="inlineStr">
        <is>
          <t>PER DAY</t>
        </is>
      </c>
      <c r="F39" s="28" t="n"/>
      <c r="G39" s="28" t="n"/>
      <c r="H39" s="28" t="n"/>
      <c r="I39" s="28" t="n"/>
      <c r="J39" s="385" t="n">
        <v>610</v>
      </c>
      <c r="K39" s="378">
        <f>D39*J39</f>
        <v/>
      </c>
      <c r="L39" s="392" t="n">
        <v>0.33</v>
      </c>
      <c r="M39" s="311">
        <f>(K39/(1-L39))*(1+$D$9)</f>
        <v/>
      </c>
      <c r="N39" s="378">
        <f>(M39*VLOOKUP($C$9,'Base Costs'!$A$32:$B$37,2,FALSE))</f>
        <v/>
      </c>
      <c r="O39" s="379">
        <f>M39-K39</f>
        <v/>
      </c>
      <c r="U39" s="229" t="n"/>
    </row>
    <row r="40" ht="15" customHeight="1" s="1085">
      <c r="A40" s="215" t="n">
        <v>102</v>
      </c>
      <c r="C40" s="269" t="inlineStr">
        <is>
          <t xml:space="preserve">CONSUMABLES </t>
        </is>
      </c>
      <c r="D40" s="242" t="n"/>
      <c r="E40" s="28" t="inlineStr">
        <is>
          <t>PER METER OF CANOPY</t>
        </is>
      </c>
      <c r="F40" s="28" t="n"/>
      <c r="G40" s="28" t="n"/>
      <c r="H40" s="28" t="n"/>
      <c r="I40" s="28" t="n"/>
      <c r="J40" s="385" t="n">
        <v>15</v>
      </c>
      <c r="K40" s="378">
        <f>D40*J40</f>
        <v/>
      </c>
      <c r="L40" s="392" t="n">
        <v>0.33</v>
      </c>
      <c r="M40" s="311">
        <f>(K40/(1-L40))*(1+$D$9)</f>
        <v/>
      </c>
      <c r="N40" s="378">
        <f>(M40*VLOOKUP($C$9,'Base Costs'!$A$32:$B$37,2,FALSE))</f>
        <v/>
      </c>
      <c r="O40" s="379">
        <f>M40-K40</f>
        <v/>
      </c>
      <c r="U40" s="229" t="n"/>
    </row>
    <row r="41" ht="15" customHeight="1" s="1085">
      <c r="A41" s="215" t="n">
        <v>400</v>
      </c>
      <c r="C41" s="269" t="inlineStr">
        <is>
          <t>INSTALLATION NORMAL HOURS</t>
        </is>
      </c>
      <c r="D41" s="242" t="n"/>
      <c r="E41" s="28" t="inlineStr">
        <is>
          <t>4M PER TEAM PER DAY</t>
        </is>
      </c>
      <c r="F41" s="28" t="n"/>
      <c r="G41" s="28" t="n"/>
      <c r="H41" s="28" t="n"/>
      <c r="I41" s="28" t="n"/>
      <c r="J41" s="385" t="n">
        <v>610</v>
      </c>
      <c r="K41" s="378">
        <f>D41*J41</f>
        <v/>
      </c>
      <c r="L41" s="392" t="n">
        <v>0.4</v>
      </c>
      <c r="M41" s="311">
        <f>(K41/(1-L41))*(1+$D$9)</f>
        <v/>
      </c>
      <c r="N41" s="378">
        <f>(M41*VLOOKUP($C$9,'Base Costs'!$A$32:$B$37,2,FALSE))</f>
        <v/>
      </c>
      <c r="O41" s="379">
        <f>M41-K41</f>
        <v/>
      </c>
      <c r="U41" s="229" t="n"/>
    </row>
    <row r="42" ht="15" customHeight="1" s="1085">
      <c r="A42" s="215" t="n">
        <v>400</v>
      </c>
      <c r="C42" s="269" t="inlineStr">
        <is>
          <t>INSTALLATION AFTER HOURS</t>
        </is>
      </c>
      <c r="D42" s="242" t="n"/>
      <c r="E42" s="28" t="inlineStr">
        <is>
          <t>4M PER TEAM PER DAY</t>
        </is>
      </c>
      <c r="F42" s="28" t="n"/>
      <c r="G42" s="28" t="n"/>
      <c r="H42" s="28" t="n"/>
      <c r="I42" s="28" t="n"/>
      <c r="J42" s="385" t="n">
        <v>1220</v>
      </c>
      <c r="K42" s="378">
        <f>D42*J42</f>
        <v/>
      </c>
      <c r="L42" s="392" t="n">
        <v>0.4</v>
      </c>
      <c r="M42" s="311">
        <f>(K42/(1-L42))*(1+$D$9)</f>
        <v/>
      </c>
      <c r="N42" s="378">
        <f>(M42*VLOOKUP($C$9,'Base Costs'!$A$32:$B$37,2,FALSE))</f>
        <v/>
      </c>
      <c r="O42" s="379">
        <f>M42-K42</f>
        <v/>
      </c>
      <c r="U42" s="229" t="n"/>
    </row>
    <row r="43" ht="15" customHeight="1" s="1085">
      <c r="A43" s="215" t="n">
        <v>253</v>
      </c>
      <c r="C43" s="269" t="inlineStr">
        <is>
          <t>TRAVEL EXPENSES</t>
        </is>
      </c>
      <c r="D43" s="242" t="n"/>
      <c r="E43" s="28" t="inlineStr">
        <is>
          <t>PER NIGHT PER TEAM</t>
        </is>
      </c>
      <c r="F43" s="28" t="n"/>
      <c r="G43" s="28" t="n"/>
      <c r="H43" s="28" t="n"/>
      <c r="I43" s="28" t="n"/>
      <c r="J43" s="385" t="n">
        <v>150</v>
      </c>
      <c r="K43" s="378">
        <f>D43*J43</f>
        <v/>
      </c>
      <c r="L43" s="392" t="n">
        <v>0.33</v>
      </c>
      <c r="M43" s="311">
        <f>(K43/(1-L43))*(1+$D$9)</f>
        <v/>
      </c>
      <c r="N43" s="378">
        <f>(M43*VLOOKUP($C$9,'Base Costs'!$A$32:$B$37,2,FALSE))</f>
        <v/>
      </c>
      <c r="O43" s="379">
        <f>M43-K43</f>
        <v/>
      </c>
      <c r="U43" s="229" t="n"/>
    </row>
    <row r="44" ht="15" customHeight="1" s="1085">
      <c r="A44" s="215" t="n">
        <v>253</v>
      </c>
      <c r="C44" s="269" t="inlineStr">
        <is>
          <t>OVERNIGHT</t>
        </is>
      </c>
      <c r="D44" s="242" t="n"/>
      <c r="E44" s="28" t="inlineStr">
        <is>
          <t>PER NIGHT PER TEAM</t>
        </is>
      </c>
      <c r="F44" s="28" t="n"/>
      <c r="G44" s="28" t="n"/>
      <c r="H44" s="28" t="n"/>
      <c r="I44" s="28" t="n"/>
      <c r="J44" s="385" t="n">
        <v>220</v>
      </c>
      <c r="K44" s="378">
        <f>D44*J44</f>
        <v/>
      </c>
      <c r="L44" s="392" t="n">
        <v>0.33</v>
      </c>
      <c r="M44" s="311">
        <f>(K44/(1-L44))*(1+$D$9)</f>
        <v/>
      </c>
      <c r="N44" s="378">
        <f>(M44*VLOOKUP($C$9,'Base Costs'!$A$32:$B$37,2,FALSE))</f>
        <v/>
      </c>
      <c r="O44" s="379">
        <f>M44-K44</f>
        <v/>
      </c>
      <c r="U44" s="229" t="n"/>
    </row>
    <row r="45" ht="15" customHeight="1" s="1085">
      <c r="A45" s="215" t="n">
        <v>280</v>
      </c>
      <c r="C45" s="269" t="inlineStr">
        <is>
          <t>TEST &amp; COMMISSION</t>
        </is>
      </c>
      <c r="D45" s="242" t="n"/>
      <c r="E45" s="28" t="inlineStr">
        <is>
          <t>ONE ENGINEER</t>
        </is>
      </c>
      <c r="F45" s="28" t="n"/>
      <c r="G45" s="28" t="n"/>
      <c r="H45" s="28" t="n"/>
      <c r="I45" s="28" t="n"/>
      <c r="J45" s="385" t="n">
        <v>604</v>
      </c>
      <c r="K45" s="378">
        <f>D45*J45</f>
        <v/>
      </c>
      <c r="L45" s="392" t="n">
        <v>0.33</v>
      </c>
      <c r="M45" s="311">
        <f>(K45/(1-L45))*(1+$D$9)</f>
        <v/>
      </c>
      <c r="N45" s="378">
        <f>(M45*VLOOKUP($C$9,'Base Costs'!$A$32:$B$37,2,FALSE))</f>
        <v/>
      </c>
      <c r="O45" s="379">
        <f>M45-K45</f>
        <v/>
      </c>
      <c r="U45" s="229" t="n"/>
    </row>
    <row r="46" ht="15" customHeight="1" s="1085">
      <c r="A46" s="215" t="n">
        <v>284</v>
      </c>
      <c r="C46" s="269" t="inlineStr">
        <is>
          <t>BMS FAULT INTERFACE</t>
        </is>
      </c>
      <c r="D46" s="242" t="n"/>
      <c r="E46" s="28" t="inlineStr">
        <is>
          <t>OPTIONAL ITEM</t>
        </is>
      </c>
      <c r="F46" s="28" t="n"/>
      <c r="G46" s="28" t="n"/>
      <c r="H46" s="28" t="n"/>
      <c r="I46" s="28" t="n"/>
      <c r="J46" s="385" t="n">
        <v>350</v>
      </c>
      <c r="K46" s="378">
        <f>D46*J46</f>
        <v/>
      </c>
      <c r="L46" s="392" t="n">
        <v>0.33</v>
      </c>
      <c r="M46" s="311">
        <f>(K46/(1-L46))*(1+$D$9)</f>
        <v/>
      </c>
      <c r="N46" s="378">
        <f>(M46*VLOOKUP($C$9,'Base Costs'!$A$32:$B$37,2,FALSE))</f>
        <v/>
      </c>
      <c r="O46" s="379">
        <f>M46-K46</f>
        <v/>
      </c>
      <c r="U46" s="229" t="n"/>
    </row>
    <row r="47" ht="15" customHeight="1" s="1085">
      <c r="C47" s="239" t="n"/>
      <c r="D47" s="239" t="n"/>
      <c r="E47" s="239" t="n"/>
      <c r="F47" s="239" t="n"/>
      <c r="G47" s="239" t="n"/>
      <c r="H47" s="243" t="n"/>
      <c r="I47" s="244" t="n"/>
      <c r="J47" s="354" t="n"/>
      <c r="K47" s="353" t="n"/>
      <c r="L47" s="355" t="n"/>
      <c r="M47" s="353" t="n"/>
      <c r="N47" s="353" t="n"/>
      <c r="U47" s="229" t="n"/>
    </row>
    <row r="48" ht="15" customHeight="1" s="1085">
      <c r="C48" s="197" t="inlineStr">
        <is>
          <t>Office Use Only</t>
        </is>
      </c>
      <c r="D48" s="198" t="n"/>
      <c r="E48" s="199" t="n"/>
      <c r="F48" s="199" t="n"/>
      <c r="G48" s="198" t="n"/>
      <c r="H48" s="200" t="n"/>
      <c r="I48" s="198" t="n"/>
      <c r="J48" s="198" t="n"/>
      <c r="K48" s="198" t="n"/>
      <c r="L48" s="198" t="n"/>
      <c r="M48" s="198" t="n"/>
      <c r="N48" s="198" t="n"/>
      <c r="O48" s="198" t="n"/>
      <c r="U48" s="229" t="n"/>
    </row>
    <row r="49" ht="15" customHeight="1" s="1085">
      <c r="C49" s="202" t="n"/>
      <c r="D49" s="203" t="n"/>
      <c r="E49" s="202" t="n"/>
      <c r="F49" s="204" t="n"/>
      <c r="G49" s="202" t="n"/>
      <c r="H49" s="209" t="n"/>
      <c r="I49" s="203" t="n"/>
      <c r="J49" s="203" t="n"/>
      <c r="K49" s="205" t="n"/>
      <c r="L49" s="205" t="n"/>
      <c r="M49" s="205" t="n"/>
      <c r="N49" s="205" t="n"/>
      <c r="O49" s="205" t="n"/>
      <c r="U49" s="229" t="n"/>
    </row>
    <row r="50" ht="15" customHeight="1" s="1085">
      <c r="C50" s="202" t="n"/>
      <c r="D50" s="203" t="n"/>
      <c r="E50" s="202" t="n"/>
      <c r="F50" s="204" t="n"/>
      <c r="G50" s="202" t="n"/>
      <c r="H50" s="209" t="n"/>
      <c r="I50" s="203" t="n"/>
      <c r="J50" s="203" t="n"/>
      <c r="K50" s="205" t="n"/>
      <c r="L50" s="205" t="n"/>
      <c r="M50" s="205" t="n"/>
      <c r="N50" s="205" t="n"/>
      <c r="O50" s="205" t="n"/>
      <c r="U50" s="229" t="n"/>
    </row>
    <row r="51" ht="15" customHeight="1" s="1085">
      <c r="C51" s="202" t="n"/>
      <c r="D51" s="203" t="n"/>
      <c r="E51" s="202" t="n"/>
      <c r="F51" s="204" t="n"/>
      <c r="G51" s="202" t="n"/>
      <c r="H51" s="209" t="n"/>
      <c r="I51" s="203" t="n"/>
      <c r="J51" s="203" t="n"/>
      <c r="K51" s="209" t="n"/>
      <c r="L51" s="209" t="n"/>
      <c r="M51" s="209" t="n"/>
      <c r="N51" s="209" t="n"/>
      <c r="O51" s="209" t="n"/>
      <c r="U51" s="229" t="n"/>
    </row>
    <row r="52" ht="15" customHeight="1" s="1085">
      <c r="C52" s="202" t="n"/>
      <c r="D52" s="203" t="n"/>
      <c r="E52" s="202" t="n"/>
      <c r="F52" s="204" t="n"/>
      <c r="G52" s="202" t="n"/>
      <c r="H52" s="209" t="n"/>
      <c r="I52" s="206" t="n"/>
      <c r="J52" s="203" t="n"/>
      <c r="K52" s="209" t="n"/>
      <c r="L52" s="209" t="n"/>
      <c r="M52" s="209" t="n"/>
      <c r="N52" s="209" t="n"/>
      <c r="O52" s="209" t="n"/>
      <c r="U52" s="229" t="n"/>
    </row>
    <row r="53" ht="15" customHeight="1" s="1085">
      <c r="C53" s="202" t="n"/>
      <c r="D53" s="203" t="n"/>
      <c r="E53" s="202" t="n"/>
      <c r="F53" s="202" t="n"/>
      <c r="G53" s="202" t="n"/>
      <c r="H53" s="207" t="n"/>
      <c r="I53" s="209" t="n"/>
      <c r="J53" s="203" t="n"/>
      <c r="K53" s="205" t="n"/>
      <c r="L53" s="205" t="n"/>
      <c r="M53" s="205" t="n"/>
      <c r="N53" s="205" t="n"/>
      <c r="O53" s="205" t="n"/>
      <c r="U53" s="229" t="n"/>
    </row>
    <row r="54" ht="15" customHeight="1" s="1085">
      <c r="C54" s="202" t="n"/>
      <c r="D54" s="202" t="n"/>
      <c r="E54" s="202" t="n"/>
      <c r="F54" s="202" t="n"/>
      <c r="G54" s="202" t="n"/>
      <c r="H54" s="207" t="n"/>
      <c r="I54" s="209" t="n"/>
      <c r="J54" s="203" t="n"/>
      <c r="K54" s="205" t="n"/>
      <c r="L54" s="205" t="n"/>
      <c r="M54" s="205" t="n"/>
      <c r="N54" s="205" t="n"/>
      <c r="O54" s="205" t="n"/>
      <c r="U54" s="229" t="n"/>
    </row>
    <row r="55" ht="15" customHeight="1" s="1085">
      <c r="J55" s="228" t="n"/>
      <c r="M55" s="228" t="n"/>
      <c r="O55" s="228" t="n"/>
      <c r="U55" s="229" t="n"/>
    </row>
    <row r="56" ht="15" customHeight="1" s="1085">
      <c r="J56" s="228" t="n"/>
      <c r="M56" s="228" t="n"/>
      <c r="O56" s="228" t="n"/>
      <c r="U56" s="229" t="n"/>
    </row>
    <row r="57" ht="15" customHeight="1" s="1085">
      <c r="H57" s="219" t="n"/>
      <c r="U57" s="229" t="n"/>
    </row>
    <row r="58" ht="15" customHeight="1" s="1085">
      <c r="H58" s="219" t="n"/>
      <c r="U58" s="229" t="n"/>
    </row>
    <row r="59" ht="15" customHeight="1" s="1085">
      <c r="H59" s="219" t="n"/>
      <c r="U59" s="229" t="n"/>
    </row>
    <row r="60" ht="15" customHeight="1" s="1085">
      <c r="H60" s="219" t="n"/>
      <c r="U60" s="229" t="n"/>
    </row>
    <row r="61" ht="15" customHeight="1" s="1085">
      <c r="H61" s="219" t="n"/>
      <c r="U61" s="229" t="n"/>
    </row>
    <row r="62" ht="15" customHeight="1" s="1085">
      <c r="H62" s="219" t="n"/>
      <c r="U62" s="229" t="n"/>
    </row>
    <row r="63" ht="15" customHeight="1" s="1085">
      <c r="H63" s="219" t="n"/>
      <c r="U63" s="229" t="n"/>
    </row>
    <row r="64" ht="15" customHeight="1" s="1085">
      <c r="H64" s="219" t="n"/>
      <c r="U64" s="229" t="n"/>
    </row>
    <row r="65" ht="15" customHeight="1" s="1085">
      <c r="H65" s="219" t="n"/>
      <c r="U65" s="229" t="n"/>
    </row>
    <row r="66" ht="15" customHeight="1" s="1085">
      <c r="C66" s="245" t="n"/>
      <c r="D66" s="245" t="n"/>
      <c r="E66" s="245" t="n"/>
      <c r="F66" s="245" t="n"/>
      <c r="G66" s="245" t="n"/>
      <c r="H66" s="245" t="n"/>
      <c r="U66" s="229" t="n"/>
    </row>
    <row r="67" ht="15" customHeight="1" s="1085">
      <c r="U67" s="229" t="n"/>
    </row>
    <row r="68" ht="15" customHeight="1" s="1085"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3" ht="15" customHeight="1" s="1085">
      <c r="U103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2" ht="15" customHeight="1" s="1085">
      <c r="U112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2" ht="15" customHeight="1" s="1085">
      <c r="U122" s="229" t="n"/>
    </row>
    <row r="123" ht="15" customHeight="1" s="1085">
      <c r="U123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  <row r="142" ht="15" customHeight="1" s="1085">
      <c r="U142" s="229" t="n"/>
    </row>
    <row r="143" ht="15" customHeight="1" s="1085">
      <c r="U143" s="229" t="n"/>
    </row>
    <row r="144" ht="15" customHeight="1" s="1085">
      <c r="U144" s="229" t="n"/>
    </row>
    <row r="145" ht="15" customHeight="1" s="1085">
      <c r="U145" s="229" t="n"/>
    </row>
    <row r="146" ht="15" customHeight="1" s="1085">
      <c r="U146" s="229" t="n"/>
    </row>
    <row r="147" ht="15" customHeight="1" s="1085">
      <c r="U147" s="229" t="n"/>
    </row>
    <row r="148" ht="15" customHeight="1" s="1085">
      <c r="U148" s="229" t="n"/>
    </row>
    <row r="149" ht="15" customHeight="1" s="1085">
      <c r="U149" s="229" t="n"/>
    </row>
    <row r="150" ht="15" customHeight="1" s="1085">
      <c r="U150" s="229" t="n"/>
    </row>
    <row r="151" ht="15" customHeight="1" s="1085">
      <c r="U151" s="229" t="n"/>
    </row>
    <row r="152" ht="15" customHeight="1" s="1085">
      <c r="U152" s="229" t="n"/>
    </row>
    <row r="153" ht="15" customHeight="1" s="1085">
      <c r="U153" s="229" t="n"/>
    </row>
    <row r="154" ht="15" customHeight="1" s="1085">
      <c r="U154" s="229" t="n"/>
    </row>
    <row r="155" ht="15" customHeight="1" s="1085">
      <c r="U155" s="229" t="n"/>
    </row>
    <row r="156" ht="15" customHeight="1" s="1085">
      <c r="U156" s="229" t="n"/>
    </row>
    <row r="157" ht="15" customHeight="1" s="1085">
      <c r="U157" s="229" t="n"/>
    </row>
    <row r="158" ht="15" customHeight="1" s="1085">
      <c r="U158" s="229" t="n"/>
    </row>
    <row r="159" ht="15" customHeight="1" s="1085">
      <c r="U159" s="229" t="n"/>
    </row>
  </sheetData>
  <mergeCells count="9">
    <mergeCell ref="P7:R7"/>
    <mergeCell ref="D7:E7"/>
    <mergeCell ref="C1:D1"/>
    <mergeCell ref="H5:J5"/>
    <mergeCell ref="D5:E5"/>
    <mergeCell ref="C35:H35"/>
    <mergeCell ref="H3:J3"/>
    <mergeCell ref="D3:E3"/>
    <mergeCell ref="H7:J7"/>
  </mergeCells>
  <conditionalFormatting sqref="C9">
    <cfRule type="expression" priority="70" dxfId="680">
      <formula>C9="CURRENCY"</formula>
    </cfRule>
    <cfRule type="containsText" priority="69" operator="containsText" dxfId="680" text="SELECT">
      <formula>NOT(ISERROR(SEARCH("SELECT",C9)))</formula>
    </cfRule>
  </conditionalFormatting>
  <conditionalFormatting sqref="C14:C32">
    <cfRule type="expression" priority="12" dxfId="633">
      <formula>$J14&gt;0</formula>
    </cfRule>
  </conditionalFormatting>
  <conditionalFormatting sqref="C36:C46">
    <cfRule type="expression" priority="11" dxfId="633">
      <formula>$D36&gt;0</formula>
    </cfRule>
  </conditionalFormatting>
  <conditionalFormatting sqref="D36:D37 D39:D46">
    <cfRule type="cellIs" priority="72" operator="lessThan" dxfId="554">
      <formula>1</formula>
    </cfRule>
  </conditionalFormatting>
  <conditionalFormatting sqref="D38">
    <cfRule type="cellIs" priority="59" operator="lessThan" dxfId="164">
      <formula>1</formula>
    </cfRule>
  </conditionalFormatting>
  <conditionalFormatting sqref="D9:E9">
    <cfRule type="cellIs" priority="66" operator="greaterThan" dxfId="552">
      <formula>0</formula>
    </cfRule>
    <cfRule type="cellIs" priority="65" operator="lessThan" dxfId="207">
      <formula>0</formula>
    </cfRule>
  </conditionalFormatting>
  <conditionalFormatting sqref="F12">
    <cfRule type="cellIs" priority="83" operator="greaterThan" dxfId="204">
      <formula>2000</formula>
    </cfRule>
    <cfRule type="expression" priority="82" dxfId="387">
      <formula>ISNUMBER(SEARCH("I-MUAP",$E$14))</formula>
    </cfRule>
    <cfRule type="expression" priority="81" dxfId="386">
      <formula>AND((ISNUMBER(SEARCH("I-MUAP",$E$14))),F12&lt;2500)</formula>
    </cfRule>
  </conditionalFormatting>
  <conditionalFormatting sqref="F12:G12">
    <cfRule type="cellIs" priority="76" operator="lessThan" dxfId="204">
      <formula>1000</formula>
    </cfRule>
  </conditionalFormatting>
  <conditionalFormatting sqref="F14:G26">
    <cfRule type="cellIs" priority="3" operator="lessThan" dxfId="164">
      <formula>1000</formula>
    </cfRule>
  </conditionalFormatting>
  <conditionalFormatting sqref="G12">
    <cfRule type="cellIs" priority="77" operator="greaterThan" dxfId="204">
      <formula>3001</formula>
    </cfRule>
  </conditionalFormatting>
  <conditionalFormatting sqref="H11">
    <cfRule type="expression" priority="79" dxfId="176">
      <formula>((G14-50)/I14)&lt;950</formula>
    </cfRule>
  </conditionalFormatting>
  <conditionalFormatting sqref="H12">
    <cfRule type="expression" priority="78" dxfId="175">
      <formula>((G14-50)/I14)&lt;950</formula>
    </cfRule>
  </conditionalFormatting>
  <conditionalFormatting sqref="H14:H26">
    <cfRule type="cellIs" priority="5" operator="lessThan" dxfId="164">
      <formula>400</formula>
    </cfRule>
  </conditionalFormatting>
  <conditionalFormatting sqref="H33">
    <cfRule type="expression" priority="90" dxfId="176">
      <formula>((#REF!-50)/#REF!)&lt;950</formula>
    </cfRule>
  </conditionalFormatting>
  <conditionalFormatting sqref="J14:J30">
    <cfRule type="cellIs" priority="18" operator="greaterThan" dxfId="153">
      <formula>0</formula>
    </cfRule>
  </conditionalFormatting>
  <conditionalFormatting sqref="J36:J46">
    <cfRule type="expression" priority="51" dxfId="153">
      <formula>D36&gt;0</formula>
    </cfRule>
  </conditionalFormatting>
  <conditionalFormatting sqref="J48:J54">
    <cfRule type="expression" priority="56" dxfId="2">
      <formula>#REF!="EURO"</formula>
    </cfRule>
  </conditionalFormatting>
  <conditionalFormatting sqref="K14:K32">
    <cfRule type="cellIs" priority="1" operator="greaterThan" dxfId="141">
      <formula>0</formula>
    </cfRule>
  </conditionalFormatting>
  <conditionalFormatting sqref="K36:K46">
    <cfRule type="cellIs" priority="58" operator="greaterThan" dxfId="141">
      <formula>0</formula>
    </cfRule>
  </conditionalFormatting>
  <conditionalFormatting sqref="K48:K54">
    <cfRule type="expression" priority="52" dxfId="4">
      <formula>$C$9="PLN"</formula>
    </cfRule>
    <cfRule type="expression" priority="53" dxfId="0">
      <formula>$C$9="CZK"</formula>
    </cfRule>
    <cfRule type="expression" priority="54" dxfId="3">
      <formula>$C$9="USD"</formula>
    </cfRule>
    <cfRule type="expression" priority="55" dxfId="2">
      <formula>$C$9="EURO"</formula>
    </cfRule>
  </conditionalFormatting>
  <conditionalFormatting sqref="L14:L32">
    <cfRule type="expression" priority="16" dxfId="116">
      <formula>$D$9&lt;0</formula>
    </cfRule>
    <cfRule type="expression" priority="17" dxfId="115">
      <formula>$D$9&gt;0</formula>
    </cfRule>
  </conditionalFormatting>
  <conditionalFormatting sqref="L36:L46">
    <cfRule type="expression" priority="15" dxfId="115">
      <formula>$D$9&gt;0</formula>
    </cfRule>
    <cfRule type="expression" priority="14" dxfId="116">
      <formula>$D$9&lt;0</formula>
    </cfRule>
  </conditionalFormatting>
  <conditionalFormatting sqref="N9 N12">
    <cfRule type="expression" priority="84" dxfId="4">
      <formula>$C$9="PLN"</formula>
    </cfRule>
    <cfRule type="expression" priority="85" dxfId="0">
      <formula>$C$9="CZK"</formula>
    </cfRule>
    <cfRule type="expression" priority="86" dxfId="3">
      <formula>$C$9="USD"</formula>
    </cfRule>
    <cfRule type="expression" priority="87" dxfId="2">
      <formula>$C$9="EURO"</formula>
    </cfRule>
  </conditionalFormatting>
  <conditionalFormatting sqref="N14:N32">
    <cfRule type="expression" priority="25" dxfId="2">
      <formula>$C$9="EURO"</formula>
    </cfRule>
    <cfRule type="expression" priority="24" dxfId="3">
      <formula>$C$9="USD"</formula>
    </cfRule>
    <cfRule type="expression" priority="23" dxfId="0">
      <formula>$C$9="CZK"</formula>
    </cfRule>
    <cfRule type="expression" priority="22" dxfId="4">
      <formula>$C$9="PLN"</formula>
    </cfRule>
  </conditionalFormatting>
  <conditionalFormatting sqref="N18:N20">
    <cfRule type="cellIs" priority="33" operator="greaterThan" dxfId="5">
      <formula>0</formula>
    </cfRule>
  </conditionalFormatting>
  <conditionalFormatting sqref="N35:N46">
    <cfRule type="expression" priority="10" dxfId="2">
      <formula>$C$9="EURO"</formula>
    </cfRule>
    <cfRule type="expression" priority="9" dxfId="3">
      <formula>$C$9="USD"</formula>
    </cfRule>
    <cfRule type="expression" priority="8" dxfId="0">
      <formula>$C$9="CZK"</formula>
    </cfRule>
    <cfRule type="expression" priority="7" dxfId="4">
      <formula>$C$9="PLN"</formula>
    </cfRule>
  </conditionalFormatting>
  <conditionalFormatting sqref="N14:O32">
    <cfRule type="cellIs" priority="21" operator="greaterThan" dxfId="5">
      <formula>0</formula>
    </cfRule>
  </conditionalFormatting>
  <conditionalFormatting sqref="N36:O46">
    <cfRule type="cellIs" priority="6" operator="greaterThan" dxfId="141">
      <formula>0</formula>
    </cfRule>
  </conditionalFormatting>
  <conditionalFormatting sqref="O14:O20">
    <cfRule type="cellIs" priority="38" operator="greaterThan" dxfId="5">
      <formula>0</formula>
    </cfRule>
  </conditionalFormatting>
  <dataValidations count="3">
    <dataValidation sqref="H34" showDropDown="0" showInputMessage="1" showErrorMessage="1" allowBlank="1" type="list">
      <formula1>#REF!</formula1>
    </dataValidation>
    <dataValidation sqref="F14:F26" showDropDown="0" showInputMessage="1" showErrorMessage="1" allowBlank="1" operator="greaterThan"/>
    <dataValidation sqref="E14:E32" showDropDown="0" showInputMessage="1" showErrorMessage="1" allowBlank="1" type="list">
      <formula1>"0,1,2,3,4,5,6,7,8,9,10,11,12,13,14,15,16,17,18,19,20"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59"/>
  <drawing xmlns:r="http://schemas.openxmlformats.org/officeDocument/2006/relationships" r:id="rId1"/>
</worksheet>
</file>

<file path=xl/worksheets/sheet54.xml><?xml version="1.0" encoding="utf-8"?>
<worksheet xmlns="http://schemas.openxmlformats.org/spreadsheetml/2006/main">
  <sheetPr codeName="Sheet3">
    <tabColor theme="8" tint="0.7999816888943144"/>
    <outlinePr summaryBelow="1" summaryRight="1"/>
    <pageSetUpPr fitToPage="1"/>
  </sheetPr>
  <dimension ref="A1:AC159"/>
  <sheetViews>
    <sheetView showGridLines="0" zoomScale="80" zoomScaleNormal="80" zoomScaleSheetLayoutView="50" workbookViewId="0">
      <selection activeCell="P1" sqref="P1"/>
    </sheetView>
  </sheetViews>
  <sheetFormatPr baseColWidth="10" defaultColWidth="8.83203125" defaultRowHeight="15" customHeight="1"/>
  <cols>
    <col width="2" customWidth="1" style="215" min="1" max="3"/>
    <col width="32.33203125" customWidth="1" style="1070" min="4" max="4"/>
    <col width="39.83203125" customWidth="1" style="1070" min="5" max="5"/>
    <col width="27.1640625" customWidth="1" style="1070" min="6" max="6"/>
    <col width="26.6640625" customWidth="1" style="1070" min="7" max="7"/>
    <col width="18.83203125" customWidth="1" style="1070" min="8" max="8"/>
    <col width="25" bestFit="1" customWidth="1" style="1070" min="9" max="9"/>
    <col width="10" bestFit="1" customWidth="1" style="1072" min="10" max="10"/>
    <col width="14.83203125" bestFit="1" customWidth="1" style="1073" min="11" max="11"/>
    <col width="17.5" customWidth="1" style="228" min="12" max="12"/>
    <col width="6.6640625" customWidth="1" style="228" min="13" max="13"/>
    <col hidden="1" width="15.5" customWidth="1" style="346" min="14" max="14"/>
    <col width="14.5" bestFit="1" customWidth="1" style="1073" min="15" max="15"/>
    <col width="13.6640625" bestFit="1" customWidth="1" style="14" min="16" max="16"/>
    <col width="8.83203125" customWidth="1" style="1070" min="17" max="18"/>
    <col width="18.6640625" customWidth="1" style="1070" min="19" max="19"/>
    <col width="8.83203125" customWidth="1" style="1070" min="20" max="27"/>
    <col width="8.83203125" customWidth="1" style="219" min="28" max="28"/>
    <col width="8.83203125" customWidth="1" style="1070" min="29" max="30"/>
    <col width="8.83203125" customWidth="1" style="220" min="31" max="31"/>
    <col width="8.83203125" customWidth="1" style="1070" min="32" max="101"/>
    <col width="8.83203125" customWidth="1" style="1070" min="102" max="16384"/>
  </cols>
  <sheetData>
    <row r="1" ht="15" customHeight="1" s="1085">
      <c r="D1" s="1148" t="inlineStr">
        <is>
          <t xml:space="preserve">F24-09    UVGI COST SHEET </t>
        </is>
      </c>
      <c r="F1" s="216" t="n"/>
      <c r="G1" s="216" t="n"/>
      <c r="H1" s="216" t="n"/>
      <c r="I1" s="216" t="n"/>
      <c r="J1" s="29" t="n"/>
      <c r="K1" s="336" t="n"/>
      <c r="L1" s="337" t="n"/>
      <c r="M1" s="338" t="n"/>
      <c r="N1" s="339" t="n"/>
      <c r="O1" s="336" t="n"/>
      <c r="P1" s="586" t="n">
        <v>44409</v>
      </c>
      <c r="T1" s="80" t="n"/>
      <c r="U1" s="218" t="n"/>
    </row>
    <row r="2" ht="15" customHeight="1" s="1085">
      <c r="D2" s="79" t="n"/>
      <c r="E2" s="221" t="n"/>
      <c r="F2" s="221" t="n"/>
      <c r="H2" s="79" t="n"/>
      <c r="I2" s="77" t="n"/>
      <c r="J2" s="222" t="n"/>
      <c r="K2" s="340" t="n"/>
      <c r="L2" s="341" t="n"/>
      <c r="M2" s="342" t="n"/>
      <c r="N2" s="343" t="n"/>
      <c r="O2" s="344" t="n"/>
      <c r="U2" s="225" t="n"/>
      <c r="Z2" s="226" t="n"/>
    </row>
    <row r="3" ht="15" customHeight="1" s="1085">
      <c r="D3" s="78" t="inlineStr">
        <is>
          <t>Job No.</t>
        </is>
      </c>
      <c r="E3" s="1130">
        <f>IF(CANOPY!C3="","",CANOPY!C3)</f>
        <v/>
      </c>
      <c r="H3" s="76" t="inlineStr">
        <is>
          <t>Project Name</t>
        </is>
      </c>
      <c r="I3" s="1071">
        <f>IF(CANOPY!G3="","",CANOPY!G3)</f>
        <v/>
      </c>
      <c r="M3" s="342" t="n"/>
      <c r="N3" s="343" t="n"/>
      <c r="O3" s="344" t="n"/>
      <c r="U3" s="225" t="n"/>
    </row>
    <row r="4" ht="15" customHeight="1" s="1085">
      <c r="D4" s="79" t="n"/>
      <c r="E4" s="223" t="n"/>
      <c r="F4" s="223" t="n"/>
      <c r="H4" s="77" t="n"/>
      <c r="I4" s="222" t="n"/>
      <c r="J4" s="227" t="n"/>
      <c r="K4" s="341" t="n"/>
      <c r="M4" s="342" t="n"/>
      <c r="N4" s="343" t="n"/>
      <c r="O4" s="344" t="n"/>
      <c r="U4" s="225" t="n"/>
    </row>
    <row r="5" ht="15" customHeight="1" s="1085">
      <c r="D5" s="78" t="inlineStr">
        <is>
          <t>Customer</t>
        </is>
      </c>
      <c r="E5" s="1074">
        <f>IF(CANOPY!C5="","",CANOPY!C5)</f>
        <v/>
      </c>
      <c r="H5" s="76" t="inlineStr">
        <is>
          <t>Location</t>
        </is>
      </c>
      <c r="I5" s="1071">
        <f>IF(CANOPY!G5="","",CANOPY!G5)</f>
        <v/>
      </c>
      <c r="N5" s="343" t="n"/>
      <c r="O5" s="344" t="n"/>
      <c r="R5" s="229" t="n"/>
      <c r="S5" s="229" t="n"/>
      <c r="U5" s="225" t="n"/>
      <c r="V5" s="226" t="n"/>
    </row>
    <row r="6" ht="15" customHeight="1" s="1085">
      <c r="D6" s="78" t="n"/>
      <c r="E6" s="230" t="n"/>
      <c r="F6" s="230" t="n"/>
      <c r="H6" s="76" t="n"/>
      <c r="I6" s="222" t="n"/>
      <c r="J6" s="79" t="n"/>
      <c r="K6" s="345" t="n"/>
      <c r="M6" s="342" t="n"/>
      <c r="N6" s="343" t="n"/>
      <c r="O6" s="344" t="n"/>
      <c r="R6" s="229" t="n"/>
      <c r="S6" s="229" t="n"/>
      <c r="U6" s="225" t="n"/>
      <c r="V6" s="226" t="n"/>
      <c r="AB6" s="231" t="n"/>
    </row>
    <row r="7" ht="15" customHeight="1" s="1085">
      <c r="D7" s="80" t="inlineStr">
        <is>
          <t>Sales Manager / Estimator initials</t>
        </is>
      </c>
      <c r="E7" s="1168" t="n"/>
      <c r="H7" s="76" t="inlineStr">
        <is>
          <t>Date</t>
        </is>
      </c>
      <c r="I7" s="1075">
        <f>IF(CANOPY!G7="","",CANOPY!G7)</f>
        <v/>
      </c>
      <c r="O7" s="347" t="inlineStr">
        <is>
          <t>Revision No</t>
        </is>
      </c>
      <c r="P7" s="1147" t="n"/>
      <c r="Q7" s="232" t="n"/>
      <c r="S7" s="224" t="n"/>
      <c r="U7" s="225" t="n"/>
      <c r="V7" s="226" t="n"/>
      <c r="AB7" s="231" t="n"/>
    </row>
    <row r="8" ht="15" customHeight="1" s="1085">
      <c r="F8" s="219" t="n"/>
      <c r="G8" s="219" t="n"/>
      <c r="I8" s="219" t="n"/>
      <c r="K8" s="346" t="n"/>
      <c r="L8" s="14" t="n"/>
      <c r="U8" s="225" t="n"/>
      <c r="AB8" s="231" t="n"/>
    </row>
    <row r="9" ht="15" customFormat="1" customHeight="1" s="80">
      <c r="A9" s="215" t="n"/>
      <c r="B9" s="215" t="n"/>
      <c r="C9" s="215" t="n"/>
      <c r="D9" s="38" t="inlineStr">
        <is>
          <t>CURRENCY</t>
        </is>
      </c>
      <c r="E9" s="373" t="n">
        <v>0.03</v>
      </c>
      <c r="F9" s="377">
        <f>IF(E9=0,0,(SUBTOTAL(9,N14:N46)/(1-E9))-N9)</f>
        <v/>
      </c>
      <c r="J9" s="234" t="n"/>
      <c r="L9" s="25">
        <f>SUBTOTAL(9,L12:L46)</f>
        <v/>
      </c>
      <c r="M9" s="15">
        <f>IF(P9=0,"-",P9/N9)</f>
        <v/>
      </c>
      <c r="N9" s="25">
        <f>SUBTOTAL(9,N12:N46)</f>
        <v/>
      </c>
      <c r="O9" s="464">
        <f>SUBTOTAL(9,O12:O46)</f>
        <v/>
      </c>
      <c r="P9" s="25">
        <f>SUBTOTAL(9,P12:P46)</f>
        <v/>
      </c>
      <c r="Q9" s="1070" t="n"/>
      <c r="R9" s="1070" t="n"/>
      <c r="S9" s="1070" t="n"/>
      <c r="T9" s="1070" t="n"/>
      <c r="U9" s="1070" t="n"/>
      <c r="V9" s="1070" t="n"/>
      <c r="W9" s="1070" t="n"/>
      <c r="AA9" s="1070" t="n"/>
      <c r="AB9" s="1070" t="n"/>
      <c r="AC9" s="1070" t="n"/>
    </row>
    <row r="10" ht="15" customFormat="1" customHeight="1" s="80">
      <c r="A10" s="215" t="n"/>
      <c r="B10" s="215" t="n"/>
      <c r="C10" s="215" t="n"/>
      <c r="D10" s="6" t="inlineStr">
        <is>
          <t>CURRENCY</t>
        </is>
      </c>
      <c r="E10" s="6" t="inlineStr">
        <is>
          <t>%</t>
        </is>
      </c>
      <c r="F10" s="6" t="inlineStr">
        <is>
          <t>COMMISSION</t>
        </is>
      </c>
      <c r="G10" s="6" t="n"/>
      <c r="H10" s="6" t="n"/>
      <c r="I10" s="6" t="n"/>
      <c r="J10" s="6" t="n"/>
      <c r="K10" s="1" t="inlineStr">
        <is>
          <t>COST</t>
        </is>
      </c>
      <c r="L10" s="2" t="inlineStr">
        <is>
          <t>TOTAL COST</t>
        </is>
      </c>
      <c r="M10" s="3" t="inlineStr">
        <is>
          <t>GP</t>
        </is>
      </c>
      <c r="N10" s="4" t="inlineStr">
        <is>
          <t>Sell</t>
        </is>
      </c>
      <c r="O10" s="1" t="inlineStr">
        <is>
          <t>SELL</t>
        </is>
      </c>
      <c r="P10" s="5" t="inlineStr">
        <is>
          <t>PROFIT</t>
        </is>
      </c>
      <c r="Q10" s="1070" t="n"/>
      <c r="R10" s="1070" t="n"/>
      <c r="S10" s="1070" t="n"/>
      <c r="T10" s="1070" t="n"/>
      <c r="U10" s="1070" t="n"/>
      <c r="V10" s="235" t="n"/>
      <c r="W10" s="1070" t="n"/>
      <c r="AA10" s="1070" t="n"/>
      <c r="AB10" s="1070" t="n"/>
      <c r="AC10" s="1070" t="n"/>
    </row>
    <row r="11" ht="15" customFormat="1" customHeight="1" s="80">
      <c r="A11" s="215" t="n"/>
      <c r="B11" s="215" t="n"/>
      <c r="C11" s="215" t="n"/>
      <c r="D11" s="9" t="n"/>
      <c r="E11" s="9" t="n"/>
      <c r="F11" s="9" t="n"/>
      <c r="G11" s="9" t="n"/>
      <c r="H11" s="9" t="n"/>
      <c r="I11" s="34" t="inlineStr">
        <is>
          <t>SECTION UNDER 1000mm</t>
        </is>
      </c>
      <c r="J11" s="9" t="n"/>
      <c r="K11" s="11" t="n"/>
      <c r="L11" s="8" t="n"/>
      <c r="M11" s="12" t="n"/>
      <c r="N11" s="13" t="n"/>
      <c r="O11" s="11" t="n"/>
      <c r="P11" s="14" t="n"/>
      <c r="Q11" s="1070" t="n"/>
      <c r="R11" s="1070" t="n"/>
      <c r="S11" s="1070" t="n"/>
      <c r="T11" s="1070" t="n"/>
      <c r="U11" s="1070" t="n"/>
      <c r="V11" s="235" t="n"/>
      <c r="W11" s="1070" t="n"/>
      <c r="AA11" s="1070" t="n"/>
      <c r="AB11" s="1070" t="n"/>
      <c r="AC11" s="1070" t="n"/>
    </row>
    <row r="12" ht="15" customFormat="1" customHeight="1" s="80">
      <c r="A12" s="215" t="n"/>
      <c r="B12" s="215" t="n"/>
      <c r="C12" s="215" t="n"/>
      <c r="D12" s="1089" t="inlineStr">
        <is>
          <t xml:space="preserve">ITEM </t>
        </is>
      </c>
      <c r="E12" s="236" t="n"/>
      <c r="F12" s="237">
        <f>F14</f>
        <v/>
      </c>
      <c r="G12" s="838" t="n">
        <v>0</v>
      </c>
      <c r="H12" s="838">
        <f>IF(J12&lt;1,0,CEILING((H14-100)/J14,250))</f>
        <v/>
      </c>
      <c r="I12" s="237">
        <f>F12&amp;H12&amp;G12</f>
        <v/>
      </c>
      <c r="J12" s="236">
        <f>IF(G14=0,0,IF(H14=0,0,(G14/(IF(E14="WALL",G14,(G14/2)))*J14)))</f>
        <v/>
      </c>
      <c r="K12" s="238" t="n"/>
      <c r="L12" s="154">
        <f>SUBTOTAL(9,L14:L32)</f>
        <v/>
      </c>
      <c r="M12" s="15">
        <f>IF(L14=0,"-",P12/N12)</f>
        <v/>
      </c>
      <c r="N12" s="154">
        <f>SUBTOTAL(9,N14:N30)</f>
        <v/>
      </c>
      <c r="O12" s="464">
        <f>SUBTOTAL(9,O14:O32)</f>
        <v/>
      </c>
      <c r="P12" s="154">
        <f>SUBTOTAL(9,P14:P32)</f>
        <v/>
      </c>
      <c r="Q12" s="1070" t="n"/>
      <c r="R12" s="1070" t="n"/>
      <c r="S12" s="1070" t="n"/>
      <c r="T12" s="1070" t="n"/>
      <c r="U12" s="1070" t="n"/>
      <c r="V12" s="235" t="n"/>
      <c r="W12" s="1070" t="n"/>
      <c r="AA12" s="1070" t="n"/>
      <c r="AB12" s="1070" t="n"/>
      <c r="AC12" s="1070" t="n"/>
    </row>
    <row r="13" ht="15" customHeight="1" s="1085">
      <c r="D13" s="7" t="n"/>
      <c r="E13" s="10" t="inlineStr">
        <is>
          <t>TYPE</t>
        </is>
      </c>
      <c r="F13" s="27" t="inlineStr">
        <is>
          <t>NO. OFF</t>
        </is>
      </c>
      <c r="G13" s="10" t="inlineStr">
        <is>
          <t>WIDTH</t>
        </is>
      </c>
      <c r="H13" s="10" t="inlineStr">
        <is>
          <t>LENGTH</t>
        </is>
      </c>
      <c r="I13" s="10" t="inlineStr">
        <is>
          <t>HEIGHT</t>
        </is>
      </c>
      <c r="J13" s="10" t="inlineStr">
        <is>
          <t>SECTIONS</t>
        </is>
      </c>
      <c r="K13" s="349" t="n"/>
      <c r="L13" s="350" t="n"/>
      <c r="M13" s="350" t="n"/>
      <c r="N13" s="351" t="n"/>
      <c r="O13" s="352" t="n"/>
      <c r="P13" s="5" t="n"/>
      <c r="V13" s="229" t="n"/>
      <c r="AB13" s="1070" t="n"/>
    </row>
    <row r="14" ht="15" customHeight="1" s="1085">
      <c r="A14" s="215" t="n">
        <v>210</v>
      </c>
      <c r="D14" s="269" t="inlineStr">
        <is>
          <t>ICT-8S1  0.90M3/S</t>
        </is>
      </c>
      <c r="E14" s="460" t="inlineStr">
        <is>
          <t>1 x 8-TUBE SHORT RACK</t>
        </is>
      </c>
      <c r="F14" s="448" t="n">
        <v>0</v>
      </c>
      <c r="G14" s="872" t="n">
        <v>350</v>
      </c>
      <c r="H14" s="835" t="n">
        <v>1400</v>
      </c>
      <c r="I14" s="874" t="n">
        <v>350</v>
      </c>
      <c r="J14" s="31" t="n"/>
      <c r="K14" s="380" t="n">
        <v>1357</v>
      </c>
      <c r="L14" s="378">
        <f>SUM(K14*F14)</f>
        <v/>
      </c>
      <c r="M14" s="392" t="n">
        <v>0.435</v>
      </c>
      <c r="N14" s="311">
        <f>(L14/(1-M14))*(1+$E$9)</f>
        <v/>
      </c>
      <c r="O14" s="378">
        <f>(N14*VLOOKUP($D$9,'Base Costs'!$A$32:$B$37,2,FALSE))</f>
        <v/>
      </c>
      <c r="P14" s="379">
        <f>N14-L14</f>
        <v/>
      </c>
      <c r="V14" s="229" t="n"/>
      <c r="AB14" s="1070" t="n"/>
    </row>
    <row r="15" ht="15" customHeight="1" s="1085">
      <c r="A15" s="215" t="n">
        <v>104</v>
      </c>
      <c r="D15" s="269" t="inlineStr">
        <is>
          <t>ICT-8S2  1.80M3/S</t>
        </is>
      </c>
      <c r="E15" s="460" t="inlineStr">
        <is>
          <t>2 x 8-TUBE SHORT RACKS</t>
        </is>
      </c>
      <c r="F15" s="448" t="n">
        <v>0</v>
      </c>
      <c r="G15" s="872" t="n">
        <v>500</v>
      </c>
      <c r="H15" s="835" t="n">
        <v>1400</v>
      </c>
      <c r="I15" s="836" t="n">
        <v>500</v>
      </c>
      <c r="J15" s="31" t="n"/>
      <c r="K15" s="380" t="n">
        <v>2006</v>
      </c>
      <c r="L15" s="378">
        <f>SUM(K15*F15)</f>
        <v/>
      </c>
      <c r="M15" s="392" t="n">
        <v>0.435</v>
      </c>
      <c r="N15" s="311">
        <f>(L15/(1-M15))*(1+$E$9)</f>
        <v/>
      </c>
      <c r="O15" s="378">
        <f>(N15*VLOOKUP($D$9,'Base Costs'!$A$32:$B$37,2,FALSE))</f>
        <v/>
      </c>
      <c r="P15" s="379">
        <f>N15-L15</f>
        <v/>
      </c>
      <c r="V15" s="229" t="n"/>
      <c r="AB15" s="1070" t="n"/>
    </row>
    <row r="16" ht="15" customHeight="1" s="1085">
      <c r="A16" s="215" t="n">
        <v>234</v>
      </c>
      <c r="D16" s="269" t="inlineStr">
        <is>
          <t>ICT-8S3  2.70M3/S</t>
        </is>
      </c>
      <c r="E16" s="460" t="inlineStr">
        <is>
          <t>3 x 8-TUBE SHORT RACKS</t>
        </is>
      </c>
      <c r="F16" s="461" t="n">
        <v>0</v>
      </c>
      <c r="G16" s="872" t="n">
        <v>600</v>
      </c>
      <c r="H16" s="835" t="n">
        <v>1400</v>
      </c>
      <c r="I16" s="836" t="n">
        <v>600</v>
      </c>
      <c r="J16" s="31" t="n"/>
      <c r="K16" s="380" t="n">
        <v>2610</v>
      </c>
      <c r="L16" s="378">
        <f>SUM(K16*F16)</f>
        <v/>
      </c>
      <c r="M16" s="392" t="n">
        <v>0.2</v>
      </c>
      <c r="N16" s="311">
        <f>(L16/(1-M16))*(1+$E$9)</f>
        <v/>
      </c>
      <c r="O16" s="378">
        <f>(N16*VLOOKUP($D$9,'Base Costs'!$A$32:$B$37,2,FALSE))</f>
        <v/>
      </c>
      <c r="P16" s="379">
        <f>N16-L16</f>
        <v/>
      </c>
      <c r="V16" s="229" t="n"/>
      <c r="AB16" s="1070" t="n"/>
    </row>
    <row r="17" ht="15" customHeight="1" s="1085">
      <c r="D17" s="269" t="inlineStr">
        <is>
          <t>ICT-8S4  3.60M3/S</t>
        </is>
      </c>
      <c r="E17" s="460" t="inlineStr">
        <is>
          <t>4 x 8-TUBE SHORT RACKS</t>
        </is>
      </c>
      <c r="F17" s="448" t="n">
        <v>0</v>
      </c>
      <c r="G17" s="872" t="n">
        <v>700</v>
      </c>
      <c r="H17" s="835" t="n">
        <v>1900</v>
      </c>
      <c r="I17" s="836" t="n">
        <v>700</v>
      </c>
      <c r="J17" s="31" t="n"/>
      <c r="K17" s="380" t="n">
        <v>3232</v>
      </c>
      <c r="L17" s="378">
        <f>SUM(K17*F17)</f>
        <v/>
      </c>
      <c r="M17" s="392" t="n">
        <v>0.435</v>
      </c>
      <c r="N17" s="311">
        <f>(L17/(1-M17))*(1+$E$9)</f>
        <v/>
      </c>
      <c r="O17" s="378">
        <f>(N17*VLOOKUP($D$9,'Base Costs'!$A$32:$B$37,2,FALSE))</f>
        <v/>
      </c>
      <c r="P17" s="379">
        <f>N17-L17</f>
        <v/>
      </c>
      <c r="V17" s="229" t="n"/>
      <c r="AB17" s="1070" t="n"/>
    </row>
    <row r="18" ht="15" customHeight="1" s="1085">
      <c r="D18" s="269" t="inlineStr">
        <is>
          <t>ICT-8S5  4.50M3/S</t>
        </is>
      </c>
      <c r="E18" s="460" t="inlineStr">
        <is>
          <t>5 x 8-TUBE SHORT RACKS</t>
        </is>
      </c>
      <c r="F18" s="448" t="n">
        <v>0</v>
      </c>
      <c r="G18" s="872" t="n">
        <v>750</v>
      </c>
      <c r="H18" s="835" t="n">
        <v>1900</v>
      </c>
      <c r="I18" s="836" t="n">
        <v>750</v>
      </c>
      <c r="J18" s="31" t="n"/>
      <c r="K18" s="380" t="n">
        <v>3850</v>
      </c>
      <c r="L18" s="378">
        <f>SUM(K18*F18)</f>
        <v/>
      </c>
      <c r="M18" s="392" t="n">
        <v>0.435</v>
      </c>
      <c r="N18" s="311">
        <f>(L18/(1-M18))*(1+$E$9)</f>
        <v/>
      </c>
      <c r="O18" s="378">
        <f>(N18*VLOOKUP($D$9,'Base Costs'!$A$32:$B$37,2,FALSE))</f>
        <v/>
      </c>
      <c r="P18" s="379">
        <f>N18-L18</f>
        <v/>
      </c>
      <c r="V18" s="229" t="n"/>
      <c r="AB18" s="1070" t="n"/>
    </row>
    <row r="19" ht="15" customHeight="1" s="1085">
      <c r="D19" s="269" t="inlineStr">
        <is>
          <t>ICT-8S6  5.40M3/S</t>
        </is>
      </c>
      <c r="E19" s="460" t="inlineStr">
        <is>
          <t>6 x 8-TUBE SHORT RACKS</t>
        </is>
      </c>
      <c r="F19" s="448" t="n">
        <v>0</v>
      </c>
      <c r="G19" s="872" t="n">
        <v>850</v>
      </c>
      <c r="H19" s="835" t="n">
        <v>1900</v>
      </c>
      <c r="I19" s="836" t="n">
        <v>850</v>
      </c>
      <c r="J19" s="31" t="n"/>
      <c r="K19" s="380" t="n">
        <v>4495</v>
      </c>
      <c r="L19" s="378">
        <f>SUM(K19*F19)</f>
        <v/>
      </c>
      <c r="M19" s="392" t="n">
        <v>0.435</v>
      </c>
      <c r="N19" s="311">
        <f>(L19/(1-M19))*(1+$E$9)</f>
        <v/>
      </c>
      <c r="O19" s="378">
        <f>(N19*VLOOKUP($D$9,'Base Costs'!$A$32:$B$37,2,FALSE))</f>
        <v/>
      </c>
      <c r="P19" s="379">
        <f>N19-L19</f>
        <v/>
      </c>
      <c r="V19" s="229" t="n"/>
      <c r="AB19" s="1070" t="n"/>
    </row>
    <row r="20" ht="15" customHeight="1" s="1085">
      <c r="D20" s="269" t="inlineStr">
        <is>
          <t>ICT-8S7  6.75M3/S</t>
        </is>
      </c>
      <c r="E20" s="460" t="inlineStr">
        <is>
          <t>7 x 8-TUBE SHORT RACKS</t>
        </is>
      </c>
      <c r="F20" s="448" t="n">
        <v>0</v>
      </c>
      <c r="G20" s="872" t="n">
        <v>925</v>
      </c>
      <c r="H20" s="835" t="n">
        <v>1900</v>
      </c>
      <c r="I20" s="836" t="n">
        <v>925</v>
      </c>
      <c r="J20" s="31" t="n"/>
      <c r="K20" s="380" t="n">
        <v>5052</v>
      </c>
      <c r="L20" s="378">
        <f>SUM(K20*F20)</f>
        <v/>
      </c>
      <c r="M20" s="392" t="n">
        <v>0.435</v>
      </c>
      <c r="N20" s="311">
        <f>(L20/(1-M20))*(1+$E$9)</f>
        <v/>
      </c>
      <c r="O20" s="378">
        <f>(N20*VLOOKUP($D$9,'Base Costs'!$A$32:$B$37,2,FALSE))</f>
        <v/>
      </c>
      <c r="P20" s="379">
        <f>N20-L20</f>
        <v/>
      </c>
      <c r="V20" s="229" t="n"/>
      <c r="AB20" s="1070" t="n"/>
    </row>
    <row r="21" ht="15" customHeight="1" s="1085">
      <c r="A21" s="215" t="n">
        <v>289</v>
      </c>
      <c r="D21" s="269" t="inlineStr">
        <is>
          <t>ICT-8S8  8.10M3/S</t>
        </is>
      </c>
      <c r="E21" s="460" t="inlineStr">
        <is>
          <t>8 x 8-TUBE SHORT RACKS</t>
        </is>
      </c>
      <c r="F21" s="448" t="n">
        <v>0</v>
      </c>
      <c r="G21" s="873" t="n">
        <v>1000</v>
      </c>
      <c r="H21" s="835" t="n">
        <v>1400</v>
      </c>
      <c r="I21" s="836" t="n">
        <v>1000</v>
      </c>
      <c r="J21" s="31" t="n"/>
      <c r="K21" s="380" t="n">
        <v>7496</v>
      </c>
      <c r="L21" s="378">
        <f>SUM(K21*F21)</f>
        <v/>
      </c>
      <c r="M21" s="392" t="n">
        <v>0.435</v>
      </c>
      <c r="N21" s="311">
        <f>(L21/(1-M21))*(1+$E$9)</f>
        <v/>
      </c>
      <c r="O21" s="378">
        <f>(N21*VLOOKUP($D$9,'Base Costs'!$A$32:$B$37,2,FALSE))</f>
        <v/>
      </c>
      <c r="P21" s="379">
        <f>N21-L21</f>
        <v/>
      </c>
      <c r="V21" s="229" t="n"/>
      <c r="AB21" s="1070" t="n"/>
    </row>
    <row r="22" ht="15" customHeight="1" s="1085">
      <c r="A22" s="215" t="n">
        <v>242</v>
      </c>
      <c r="D22" s="883" t="inlineStr">
        <is>
          <t>ICT-4L1  0.90M3/S</t>
        </is>
      </c>
      <c r="E22" s="460" t="inlineStr">
        <is>
          <t>1 x 4-TUBE LONG RACK</t>
        </is>
      </c>
      <c r="F22" s="448" t="n">
        <v>0</v>
      </c>
      <c r="G22" s="872" t="n">
        <v>350</v>
      </c>
      <c r="H22" s="835" t="n">
        <v>2000</v>
      </c>
      <c r="I22" s="836" t="n">
        <v>350</v>
      </c>
      <c r="J22" s="31" t="n"/>
      <c r="K22" s="380" t="n">
        <v>1281</v>
      </c>
      <c r="L22" s="378">
        <f>SUM(K22*F22)</f>
        <v/>
      </c>
      <c r="M22" s="392" t="n">
        <v>0.435</v>
      </c>
      <c r="N22" s="311">
        <f>(L22/(1-M22))*(1+$E$9)</f>
        <v/>
      </c>
      <c r="O22" s="378">
        <f>(N22*VLOOKUP($D$9,'Base Costs'!$A$32:$B$37,2,FALSE))</f>
        <v/>
      </c>
      <c r="P22" s="379">
        <f>N22-L22</f>
        <v/>
      </c>
      <c r="V22" s="229" t="n"/>
      <c r="AB22" s="1070" t="n"/>
    </row>
    <row r="23" ht="15" customHeight="1" s="1085">
      <c r="A23" s="215" t="n">
        <v>220</v>
      </c>
      <c r="D23" s="884" t="inlineStr">
        <is>
          <t>ICT-6L1  1.80M3/S</t>
        </is>
      </c>
      <c r="E23" s="460" t="inlineStr">
        <is>
          <t>1 x 6-TUBE LONG RACK</t>
        </is>
      </c>
      <c r="F23" s="448" t="n">
        <v>0</v>
      </c>
      <c r="G23" s="872" t="n">
        <v>500</v>
      </c>
      <c r="H23" s="835" t="n">
        <v>2000</v>
      </c>
      <c r="I23" s="836" t="n">
        <v>500</v>
      </c>
      <c r="J23" s="31" t="n"/>
      <c r="K23" s="380" t="n">
        <v>1420</v>
      </c>
      <c r="L23" s="378">
        <f>SUM(K23*F23)</f>
        <v/>
      </c>
      <c r="M23" s="392" t="n">
        <v>0.435</v>
      </c>
      <c r="N23" s="311">
        <f>(L23/(1-M23))*(1+$E$9)</f>
        <v/>
      </c>
      <c r="O23" s="378">
        <f>(N23*VLOOKUP($D$9,'Base Costs'!$A$32:$B$37,2,FALSE))</f>
        <v/>
      </c>
      <c r="P23" s="379">
        <f>N23-L23</f>
        <v/>
      </c>
      <c r="V23" s="229" t="n"/>
      <c r="AB23" s="1070" t="n"/>
    </row>
    <row r="24" ht="15" customHeight="1" s="1085">
      <c r="A24" s="215" t="n">
        <v>103</v>
      </c>
      <c r="C24" s="215" t="inlineStr">
        <is>
          <t>T</t>
        </is>
      </c>
      <c r="D24" s="884" t="inlineStr">
        <is>
          <t>ICT-6L2  2.70M3/S</t>
        </is>
      </c>
      <c r="E24" s="460" t="inlineStr">
        <is>
          <t>2 x 6-TUBE LONG RACK</t>
        </is>
      </c>
      <c r="F24" s="448" t="n">
        <v>0</v>
      </c>
      <c r="G24" s="872" t="n">
        <v>600</v>
      </c>
      <c r="H24" s="835" t="n">
        <v>2000</v>
      </c>
      <c r="I24" s="836" t="n">
        <v>600</v>
      </c>
      <c r="J24" s="31" t="n"/>
      <c r="K24" s="380" t="n">
        <v>2012</v>
      </c>
      <c r="L24" s="378">
        <f>SUM(K24*F24)</f>
        <v/>
      </c>
      <c r="M24" s="392" t="n">
        <v>0.435</v>
      </c>
      <c r="N24" s="311">
        <f>(L24/(1-M24))*(1+$E$9)</f>
        <v/>
      </c>
      <c r="O24" s="378">
        <f>(N24*VLOOKUP($D$9,'Base Costs'!$A$32:$B$37,2,FALSE))</f>
        <v/>
      </c>
      <c r="P24" s="379">
        <f>N24-L24</f>
        <v/>
      </c>
      <c r="V24" s="229" t="n"/>
      <c r="AB24" s="1070" t="n"/>
    </row>
    <row r="25" ht="15" customHeight="1" s="1085">
      <c r="A25" s="215" t="n">
        <v>103</v>
      </c>
      <c r="D25" s="884" t="inlineStr">
        <is>
          <t xml:space="preserve">ICT-6L2  3.60M3/S </t>
        </is>
      </c>
      <c r="E25" s="460" t="inlineStr">
        <is>
          <t>2 x 6-TUBE LONG RACK</t>
        </is>
      </c>
      <c r="F25" s="448" t="n">
        <v>0</v>
      </c>
      <c r="G25" s="872" t="n">
        <v>700</v>
      </c>
      <c r="H25" s="835" t="n">
        <v>2000</v>
      </c>
      <c r="I25" s="836" t="n">
        <v>600</v>
      </c>
      <c r="J25" s="31" t="n"/>
      <c r="K25" s="380" t="n">
        <v>2053</v>
      </c>
      <c r="L25" s="378">
        <f>SUM(K25*F25)</f>
        <v/>
      </c>
      <c r="M25" s="392" t="n">
        <v>0.435</v>
      </c>
      <c r="N25" s="311">
        <f>(L25/(1-M25))*(1+$E$9)</f>
        <v/>
      </c>
      <c r="O25" s="378">
        <f>(N25*VLOOKUP($D$9,'Base Costs'!$A$32:$B$37,2,FALSE))</f>
        <v/>
      </c>
      <c r="P25" s="379">
        <f>N25-L25</f>
        <v/>
      </c>
      <c r="V25" s="229" t="n"/>
      <c r="AB25" s="1070" t="n"/>
    </row>
    <row r="26" ht="15" customHeight="1" s="1085">
      <c r="D26" s="884" t="inlineStr">
        <is>
          <t>ICT-8L2  4.50M3/S</t>
        </is>
      </c>
      <c r="E26" s="460" t="inlineStr">
        <is>
          <t>2 x 8-TUBE LONG RACK</t>
        </is>
      </c>
      <c r="F26" s="448" t="n">
        <v>0</v>
      </c>
      <c r="G26" s="872" t="n">
        <v>750</v>
      </c>
      <c r="H26" s="835" t="n">
        <v>2000</v>
      </c>
      <c r="I26" s="836" t="n">
        <v>600</v>
      </c>
      <c r="J26" s="31" t="n"/>
      <c r="K26" s="380" t="n">
        <v>2272</v>
      </c>
      <c r="L26" s="378">
        <f>SUM(K26*F26)</f>
        <v/>
      </c>
      <c r="M26" s="392" t="n">
        <v>0.435</v>
      </c>
      <c r="N26" s="311">
        <f>(L26/(1-M26))*(1+$E$9)</f>
        <v/>
      </c>
      <c r="O26" s="378">
        <f>(N26*VLOOKUP($D$9,'Base Costs'!$A$32:$B$37,2,FALSE))</f>
        <v/>
      </c>
      <c r="P26" s="379">
        <f>N26-L26</f>
        <v/>
      </c>
      <c r="V26" s="229" t="n"/>
      <c r="AB26" s="1070" t="n"/>
    </row>
    <row r="27" ht="15" customHeight="1" s="1085">
      <c r="A27" s="215" t="n">
        <v>285</v>
      </c>
      <c r="D27" s="884" t="inlineStr">
        <is>
          <t>ICT-8L3  5.40M3/S</t>
        </is>
      </c>
      <c r="E27" s="460" t="inlineStr">
        <is>
          <t>3 x 8-TUBE LONG RACK</t>
        </is>
      </c>
      <c r="F27" s="448" t="n">
        <v>0</v>
      </c>
      <c r="G27" s="878" t="n">
        <v>850</v>
      </c>
      <c r="H27" s="877" t="n">
        <v>2000</v>
      </c>
      <c r="I27" s="881" t="n">
        <v>850</v>
      </c>
      <c r="J27" s="31" t="n"/>
      <c r="K27" s="380" t="n">
        <v>2946</v>
      </c>
      <c r="L27" s="378">
        <f>SUM(K27*F27)</f>
        <v/>
      </c>
      <c r="M27" s="392" t="n">
        <v>0.435</v>
      </c>
      <c r="N27" s="311">
        <f>(L27/(1-M27))*(1+$E$9)</f>
        <v/>
      </c>
      <c r="O27" s="378">
        <f>(N27*VLOOKUP($D$9,'Base Costs'!$A$32:$B$37,2,FALSE))</f>
        <v/>
      </c>
      <c r="P27" s="379">
        <f>N27-L27</f>
        <v/>
      </c>
      <c r="V27" s="229" t="n"/>
      <c r="AB27" s="1070" t="n"/>
    </row>
    <row r="28" ht="15" customHeight="1" s="1085">
      <c r="D28" s="884" t="inlineStr">
        <is>
          <t>ICT-8L3  6.75M3/S</t>
        </is>
      </c>
      <c r="E28" s="460" t="inlineStr">
        <is>
          <t>3 x 8-TUBE LONG RACK</t>
        </is>
      </c>
      <c r="F28" s="448" t="n">
        <v>0</v>
      </c>
      <c r="G28" s="878" t="n">
        <v>925</v>
      </c>
      <c r="H28" s="878" t="n">
        <v>2000</v>
      </c>
      <c r="I28" s="881" t="n">
        <v>925</v>
      </c>
      <c r="J28" s="31" t="n"/>
      <c r="K28" s="380" t="n">
        <v>2344</v>
      </c>
      <c r="L28" s="378">
        <f>SUM(K28*F28)</f>
        <v/>
      </c>
      <c r="M28" s="392" t="n">
        <v>0.435</v>
      </c>
      <c r="N28" s="311">
        <f>(L28/(1-M28))*(1+$E$9)</f>
        <v/>
      </c>
      <c r="O28" s="378">
        <f>(N28*VLOOKUP($D$9,'Base Costs'!$A$32:$B$37,2,FALSE))</f>
        <v/>
      </c>
      <c r="P28" s="379">
        <f>N28-L28</f>
        <v/>
      </c>
      <c r="V28" s="229" t="n"/>
      <c r="AB28" s="1070" t="n"/>
    </row>
    <row r="29" ht="15" customHeight="1" s="1085">
      <c r="D29" s="884" t="inlineStr">
        <is>
          <t>ICT-8L4  8.10M3/S</t>
        </is>
      </c>
      <c r="E29" s="460" t="inlineStr">
        <is>
          <t>4 x 8-TUBE LONG RACK</t>
        </is>
      </c>
      <c r="F29" s="448" t="n">
        <v>0</v>
      </c>
      <c r="G29" s="878" t="n">
        <v>1000</v>
      </c>
      <c r="H29" s="878" t="n">
        <v>2000</v>
      </c>
      <c r="I29" s="881" t="n">
        <v>1000</v>
      </c>
      <c r="J29" s="31" t="n"/>
      <c r="K29" s="380" t="n">
        <v>3598</v>
      </c>
      <c r="L29" s="378">
        <f>SUM(K29*F29)</f>
        <v/>
      </c>
      <c r="M29" s="392" t="n">
        <v>0.435</v>
      </c>
      <c r="N29" s="311">
        <f>(L29/(1-M29))*(1+$E$9)</f>
        <v/>
      </c>
      <c r="O29" s="378">
        <f>(N29*VLOOKUP($D$9,'Base Costs'!$A$32:$B$37,2,FALSE))</f>
        <v/>
      </c>
      <c r="P29" s="379">
        <f>N29-L29</f>
        <v/>
      </c>
      <c r="V29" s="229" t="n"/>
      <c r="AB29" s="1070" t="n"/>
    </row>
    <row r="30" ht="15" customHeight="1" s="1085">
      <c r="A30" s="215" t="n">
        <v>286</v>
      </c>
      <c r="D30" s="884" t="inlineStr">
        <is>
          <t>ICT-8L4  9.45M3/S</t>
        </is>
      </c>
      <c r="E30" s="460" t="inlineStr">
        <is>
          <t>4 x 8-TUBE LONG RACK</t>
        </is>
      </c>
      <c r="F30" s="448" t="n">
        <v>0</v>
      </c>
      <c r="G30" s="878" t="n">
        <v>1400</v>
      </c>
      <c r="H30" s="878" t="n">
        <v>2000</v>
      </c>
      <c r="I30" s="877" t="n">
        <v>800</v>
      </c>
      <c r="J30" s="31" t="n"/>
      <c r="K30" s="380" t="n">
        <v>3675</v>
      </c>
      <c r="L30" s="378">
        <f>SUM(K30*F30)</f>
        <v/>
      </c>
      <c r="M30" s="392" t="n">
        <v>0.435</v>
      </c>
      <c r="N30" s="311">
        <f>(L30/(1-M30))*(1+$E$9)</f>
        <v/>
      </c>
      <c r="O30" s="378">
        <f>(N30*VLOOKUP($D$9,'Base Costs'!$A$32:$B$37,2,FALSE))</f>
        <v/>
      </c>
      <c r="P30" s="379">
        <f>N30-L30</f>
        <v/>
      </c>
      <c r="V30" s="229" t="n"/>
      <c r="AB30" s="1070" t="n"/>
    </row>
    <row r="31" ht="15" customHeight="1" s="1085">
      <c r="D31" s="884" t="inlineStr">
        <is>
          <t>ICT-8L5  10.80M3/S</t>
        </is>
      </c>
      <c r="E31" s="460" t="inlineStr">
        <is>
          <t>5 x 8-TUBE LONG RACK</t>
        </is>
      </c>
      <c r="F31" s="448" t="n">
        <v>0</v>
      </c>
      <c r="G31" s="880" t="n">
        <v>1500</v>
      </c>
      <c r="H31" s="879" t="n">
        <v>2000</v>
      </c>
      <c r="I31" s="877" t="n">
        <v>800</v>
      </c>
      <c r="J31" s="31" t="n"/>
      <c r="K31" s="882" t="n">
        <v>4302</v>
      </c>
      <c r="L31" s="378">
        <f>SUM(K31*F31)</f>
        <v/>
      </c>
      <c r="M31" s="392" t="n">
        <v>0.435</v>
      </c>
      <c r="N31" s="311">
        <f>(L31/(1-M31))*(1+$E$9)</f>
        <v/>
      </c>
      <c r="O31" s="378">
        <f>(N31*VLOOKUP($D$9,'Base Costs'!$A$32:$B$37,2,FALSE))</f>
        <v/>
      </c>
      <c r="P31" s="379">
        <f>N31-L31</f>
        <v/>
      </c>
      <c r="V31" s="229" t="n"/>
      <c r="AB31" s="1070" t="n"/>
    </row>
    <row r="32" ht="15" customHeight="1" s="1085">
      <c r="D32" s="269" t="n"/>
      <c r="E32" s="460" t="inlineStr">
        <is>
          <t>OPEN ITEM</t>
        </is>
      </c>
      <c r="F32" s="448" t="n">
        <v>0</v>
      </c>
      <c r="G32" s="876" t="n"/>
      <c r="H32" s="879" t="n"/>
      <c r="I32" s="875" t="n"/>
      <c r="J32" s="31" t="n"/>
      <c r="K32" s="834" t="n"/>
      <c r="L32" s="378">
        <f>SUM(K32*F32)</f>
        <v/>
      </c>
      <c r="M32" s="392" t="n">
        <v>0.435</v>
      </c>
      <c r="N32" s="311">
        <f>(L32/(1-M32))*(1+$E$9)</f>
        <v/>
      </c>
      <c r="O32" s="378">
        <f>(N32*VLOOKUP($D$9,'Base Costs'!$A$32:$B$37,2,FALSE))</f>
        <v/>
      </c>
      <c r="P32" s="379">
        <f>N32-L32</f>
        <v/>
      </c>
      <c r="V32" s="229" t="n"/>
      <c r="AB32" s="1070" t="n"/>
    </row>
    <row r="33" ht="15" customHeight="1" s="1085">
      <c r="I33" s="34" t="inlineStr">
        <is>
          <t>SECTION UNDER 1000mm</t>
        </is>
      </c>
    </row>
    <row r="34" ht="15" customHeight="1" s="1085">
      <c r="D34" s="239" t="n"/>
      <c r="E34" s="239" t="n"/>
      <c r="F34" s="239" t="n"/>
      <c r="G34" s="239" t="n"/>
      <c r="H34" s="239" t="n"/>
      <c r="I34" s="239" t="n"/>
      <c r="J34" s="9" t="n"/>
      <c r="K34" s="11" t="n"/>
      <c r="L34" s="353" t="n"/>
      <c r="M34" s="240" t="n"/>
      <c r="N34" s="353" t="n"/>
      <c r="O34" s="353" t="n"/>
      <c r="V34" s="229" t="n"/>
      <c r="AB34" s="1070" t="n"/>
    </row>
    <row r="35" ht="15" customHeight="1" s="1085">
      <c r="D35" s="1089" t="inlineStr">
        <is>
          <t xml:space="preserve">DELIVERY &amp; INSTALLATION </t>
        </is>
      </c>
      <c r="J35" s="236" t="n"/>
      <c r="K35" s="330" t="n"/>
      <c r="L35" s="154">
        <f>SUBTOTAL(9,L36:L46)</f>
        <v/>
      </c>
      <c r="M35" s="15">
        <f>IF(L36=0,"-",P35/N35)</f>
        <v/>
      </c>
      <c r="N35" s="154">
        <f>SUBTOTAL(9,N36:N46)</f>
        <v/>
      </c>
      <c r="O35" s="464">
        <f>SUBTOTAL(9,O36:O46)</f>
        <v/>
      </c>
      <c r="P35" s="154">
        <f>SUBTOTAL(9,P37:P46)</f>
        <v/>
      </c>
      <c r="V35" s="229" t="n"/>
    </row>
    <row r="36" ht="15" customHeight="1" s="1085">
      <c r="A36" s="215" t="n">
        <v>222</v>
      </c>
      <c r="D36" s="269" t="inlineStr">
        <is>
          <t xml:space="preserve">DELIVERIES </t>
        </is>
      </c>
      <c r="E36" s="242" t="n"/>
      <c r="F36" s="309" t="inlineStr">
        <is>
          <t>LONDON</t>
        </is>
      </c>
      <c r="G36" s="28" t="n"/>
      <c r="H36" s="30" t="n"/>
      <c r="I36" s="28" t="n"/>
      <c r="J36" s="28" t="n"/>
      <c r="K36" s="385">
        <f>VLOOKUP(F36,'Base Costs'!E4:G213,2,FALSE)</f>
        <v/>
      </c>
      <c r="L36" s="378">
        <f>E36*K36</f>
        <v/>
      </c>
      <c r="M36" s="392" t="n">
        <v>0.1</v>
      </c>
      <c r="N36" s="311">
        <f>(L36/(1-M36))*(1+$E$9)</f>
        <v/>
      </c>
      <c r="O36" s="378">
        <f>(N36*VLOOKUP($D$9,'Base Costs'!$A$32:$B$37,2,FALSE))</f>
        <v/>
      </c>
      <c r="P36" s="379">
        <f>N36-L36</f>
        <v/>
      </c>
      <c r="V36" s="229" t="n"/>
    </row>
    <row r="37" ht="15" customHeight="1" s="1085">
      <c r="A37" s="215" t="n">
        <v>257</v>
      </c>
      <c r="D37" s="269" t="inlineStr">
        <is>
          <t>PLANT HIRE</t>
        </is>
      </c>
      <c r="E37" s="242" t="n"/>
      <c r="F37" s="309" t="inlineStr">
        <is>
          <t>PLANT SELECTION (weekly)</t>
        </is>
      </c>
      <c r="G37" s="28" t="n"/>
      <c r="H37" s="28" t="n"/>
      <c r="I37" s="28" t="n"/>
      <c r="J37" s="28" t="n"/>
      <c r="K37" s="385">
        <f>VLOOKUP(F37,'Base Costs'!$A$4:$B$16,2,FALSE)</f>
        <v/>
      </c>
      <c r="L37" s="378">
        <f>E37*K37</f>
        <v/>
      </c>
      <c r="M37" s="392" t="n">
        <v>0.37</v>
      </c>
      <c r="N37" s="311">
        <f>(L37/(1-M37))*(1+$E$9)</f>
        <v/>
      </c>
      <c r="O37" s="378">
        <f>(N37*VLOOKUP($D$9,'Base Costs'!$A$32:$B$37,2,FALSE))</f>
        <v/>
      </c>
      <c r="P37" s="379">
        <f>N37-L37</f>
        <v/>
      </c>
      <c r="V37" s="229" t="n"/>
    </row>
    <row r="38" ht="15" customHeight="1" s="1085">
      <c r="A38" s="215" t="n">
        <v>257</v>
      </c>
      <c r="D38" s="269" t="inlineStr">
        <is>
          <t>PLANT HIRE</t>
        </is>
      </c>
      <c r="E38" s="242" t="n"/>
      <c r="F38" s="309" t="inlineStr">
        <is>
          <t>PLANT SELECTION (weekly)</t>
        </is>
      </c>
      <c r="G38" s="28" t="n"/>
      <c r="H38" s="28" t="n"/>
      <c r="I38" s="28" t="n"/>
      <c r="J38" s="28" t="n"/>
      <c r="K38" s="385">
        <f>VLOOKUP(F38,'Base Costs'!$A$4:$B$16,2,FALSE)</f>
        <v/>
      </c>
      <c r="L38" s="378">
        <f>E38*K38</f>
        <v/>
      </c>
      <c r="M38" s="392" t="n">
        <v>0.37</v>
      </c>
      <c r="N38" s="311">
        <f>(L38/(1-M38))*(1+$E$9)</f>
        <v/>
      </c>
      <c r="O38" s="378">
        <f>(N38*VLOOKUP($D$9,'Base Costs'!$A$32:$B$37,2,FALSE))</f>
        <v/>
      </c>
      <c r="P38" s="379">
        <f>N38-L38</f>
        <v/>
      </c>
      <c r="V38" s="229" t="n"/>
    </row>
    <row r="39" ht="15" customHeight="1" s="1085">
      <c r="A39" s="215" t="n">
        <v>400</v>
      </c>
      <c r="D39" s="269" t="inlineStr">
        <is>
          <t>STRIP OUT</t>
        </is>
      </c>
      <c r="E39" s="242" t="n"/>
      <c r="F39" s="28" t="inlineStr">
        <is>
          <t>PER DAY</t>
        </is>
      </c>
      <c r="G39" s="28" t="n"/>
      <c r="H39" s="28" t="n"/>
      <c r="I39" s="28" t="n"/>
      <c r="J39" s="28" t="n"/>
      <c r="K39" s="385" t="n">
        <v>375</v>
      </c>
      <c r="L39" s="378">
        <f>E39*K39</f>
        <v/>
      </c>
      <c r="M39" s="392" t="n">
        <v>0.37</v>
      </c>
      <c r="N39" s="311">
        <f>(L39/(1-M39))*(1+$E$9)</f>
        <v/>
      </c>
      <c r="O39" s="378">
        <f>(N39*VLOOKUP($D$9,'Base Costs'!$A$32:$B$37,2,FALSE))</f>
        <v/>
      </c>
      <c r="P39" s="379">
        <f>N39-L39</f>
        <v/>
      </c>
      <c r="V39" s="229" t="n"/>
    </row>
    <row r="40" ht="15" customHeight="1" s="1085">
      <c r="A40" s="215" t="n">
        <v>102</v>
      </c>
      <c r="D40" s="269" t="inlineStr">
        <is>
          <t xml:space="preserve">CONSUMABLES </t>
        </is>
      </c>
      <c r="E40" s="242" t="n"/>
      <c r="F40" s="28" t="inlineStr">
        <is>
          <t>PER METER OF CANOPY</t>
        </is>
      </c>
      <c r="G40" s="28" t="n"/>
      <c r="H40" s="28" t="n"/>
      <c r="I40" s="28" t="n"/>
      <c r="J40" s="28" t="n"/>
      <c r="K40" s="385" t="n">
        <v>15</v>
      </c>
      <c r="L40" s="378">
        <f>E40*K40</f>
        <v/>
      </c>
      <c r="M40" s="392" t="n">
        <v>0.37</v>
      </c>
      <c r="N40" s="311">
        <f>(L40/(1-M40))*(1+$E$9)</f>
        <v/>
      </c>
      <c r="O40" s="378">
        <f>(N40*VLOOKUP($D$9,'Base Costs'!$A$32:$B$37,2,FALSE))</f>
        <v/>
      </c>
      <c r="P40" s="379">
        <f>N40-L40</f>
        <v/>
      </c>
      <c r="V40" s="229" t="n"/>
    </row>
    <row r="41" ht="15" customHeight="1" s="1085">
      <c r="A41" s="215" t="n">
        <v>400</v>
      </c>
      <c r="D41" s="269" t="inlineStr">
        <is>
          <t>INSTALLATION NORMAL HOURS</t>
        </is>
      </c>
      <c r="E41" s="242" t="n"/>
      <c r="F41" s="28" t="inlineStr">
        <is>
          <t>4M PER TEAM PER DAY</t>
        </is>
      </c>
      <c r="G41" s="28" t="n"/>
      <c r="H41" s="28" t="n"/>
      <c r="I41" s="28" t="n"/>
      <c r="J41" s="28" t="n"/>
      <c r="K41" s="385" t="n">
        <v>500</v>
      </c>
      <c r="L41" s="378">
        <f>E41*K41</f>
        <v/>
      </c>
      <c r="M41" s="392" t="n">
        <v>0.25</v>
      </c>
      <c r="N41" s="311">
        <f>(L41/(1-M41))*(1+$E$9)</f>
        <v/>
      </c>
      <c r="O41" s="378">
        <f>(N41*VLOOKUP($D$9,'Base Costs'!$A$32:$B$37,2,FALSE))</f>
        <v/>
      </c>
      <c r="P41" s="379">
        <f>N41-L41</f>
        <v/>
      </c>
      <c r="V41" s="229" t="n"/>
    </row>
    <row r="42" ht="15" customHeight="1" s="1085">
      <c r="A42" s="215" t="n">
        <v>400</v>
      </c>
      <c r="D42" s="269" t="inlineStr">
        <is>
          <t>INSTALLATION AFTER HOURS</t>
        </is>
      </c>
      <c r="E42" s="242" t="n"/>
      <c r="F42" s="28" t="inlineStr">
        <is>
          <t>4M PER TEAM PER DAY</t>
        </is>
      </c>
      <c r="G42" s="28" t="n"/>
      <c r="H42" s="28" t="n"/>
      <c r="I42" s="28" t="n"/>
      <c r="J42" s="28" t="n"/>
      <c r="K42" s="385" t="n">
        <v>861</v>
      </c>
      <c r="L42" s="378">
        <f>E42*K42</f>
        <v/>
      </c>
      <c r="M42" s="392" t="n">
        <v>0.25</v>
      </c>
      <c r="N42" s="311">
        <f>(L42/(1-M42))*(1+$E$9)</f>
        <v/>
      </c>
      <c r="O42" s="378">
        <f>(N42*VLOOKUP($D$9,'Base Costs'!$A$32:$B$37,2,FALSE))</f>
        <v/>
      </c>
      <c r="P42" s="379">
        <f>N42-L42</f>
        <v/>
      </c>
      <c r="V42" s="229" t="n"/>
    </row>
    <row r="43" ht="15" customHeight="1" s="1085">
      <c r="A43" s="215" t="n">
        <v>253</v>
      </c>
      <c r="D43" s="269" t="inlineStr">
        <is>
          <t>TRAVEL EXPENSES</t>
        </is>
      </c>
      <c r="E43" s="242" t="n"/>
      <c r="F43" s="28" t="inlineStr">
        <is>
          <t>PER NIGHT PER TEAM</t>
        </is>
      </c>
      <c r="G43" s="28" t="n"/>
      <c r="H43" s="28" t="n"/>
      <c r="I43" s="28" t="n"/>
      <c r="J43" s="28" t="n"/>
      <c r="K43" s="385" t="n"/>
      <c r="L43" s="378">
        <f>E43*K43</f>
        <v/>
      </c>
      <c r="M43" s="392" t="n">
        <v>0.37</v>
      </c>
      <c r="N43" s="311">
        <f>(L43/(1-M43))*(1+$E$9)</f>
        <v/>
      </c>
      <c r="O43" s="378">
        <f>(N43*VLOOKUP($D$9,'Base Costs'!$A$32:$B$37,2,FALSE))</f>
        <v/>
      </c>
      <c r="P43" s="379">
        <f>N43-L43</f>
        <v/>
      </c>
      <c r="V43" s="229" t="n"/>
    </row>
    <row r="44" ht="15" customHeight="1" s="1085">
      <c r="A44" s="215" t="n">
        <v>253</v>
      </c>
      <c r="D44" s="269" t="inlineStr">
        <is>
          <t>OVERNIGHT</t>
        </is>
      </c>
      <c r="E44" s="242" t="n"/>
      <c r="F44" s="28" t="inlineStr">
        <is>
          <t>PER NIGHT PER TEAM</t>
        </is>
      </c>
      <c r="G44" s="28" t="n"/>
      <c r="H44" s="28" t="n"/>
      <c r="I44" s="28" t="n"/>
      <c r="J44" s="28" t="n"/>
      <c r="K44" s="385" t="n">
        <v>170</v>
      </c>
      <c r="L44" s="378">
        <f>E44*K44</f>
        <v/>
      </c>
      <c r="M44" s="392" t="n">
        <v>0.37</v>
      </c>
      <c r="N44" s="311">
        <f>(L44/(1-M44))*(1+$E$9)</f>
        <v/>
      </c>
      <c r="O44" s="378">
        <f>(N44*VLOOKUP($D$9,'Base Costs'!$A$32:$B$37,2,FALSE))</f>
        <v/>
      </c>
      <c r="P44" s="379">
        <f>N44-L44</f>
        <v/>
      </c>
      <c r="V44" s="229" t="n"/>
    </row>
    <row r="45" ht="15" customHeight="1" s="1085">
      <c r="A45" s="215" t="n">
        <v>280</v>
      </c>
      <c r="D45" s="269" t="inlineStr">
        <is>
          <t>TEST &amp; COMMISSION</t>
        </is>
      </c>
      <c r="E45" s="242" t="n"/>
      <c r="F45" s="28" t="inlineStr">
        <is>
          <t>ONE ENGINEER</t>
        </is>
      </c>
      <c r="G45" s="28" t="n"/>
      <c r="H45" s="28" t="n"/>
      <c r="I45" s="28" t="n"/>
      <c r="J45" s="28" t="n"/>
      <c r="K45" s="385" t="n">
        <v>417</v>
      </c>
      <c r="L45" s="378">
        <f>E45*K45</f>
        <v/>
      </c>
      <c r="M45" s="392" t="n">
        <v>0.37</v>
      </c>
      <c r="N45" s="311">
        <f>(L45/(1-M45))*(1+$E$9)</f>
        <v/>
      </c>
      <c r="O45" s="378">
        <f>(N45*VLOOKUP($D$9,'Base Costs'!$A$32:$B$37,2,FALSE))</f>
        <v/>
      </c>
      <c r="P45" s="379">
        <f>N45-L45</f>
        <v/>
      </c>
      <c r="V45" s="229" t="n"/>
    </row>
    <row r="46" ht="15" customHeight="1" s="1085">
      <c r="A46" s="215" t="n">
        <v>284</v>
      </c>
      <c r="D46" s="269" t="inlineStr">
        <is>
          <t>BMS FAULT INTERFACE</t>
        </is>
      </c>
      <c r="E46" s="242" t="n"/>
      <c r="F46" s="28" t="inlineStr">
        <is>
          <t>OPTIONAL ITEM</t>
        </is>
      </c>
      <c r="G46" s="28" t="n"/>
      <c r="H46" s="28" t="n"/>
      <c r="I46" s="28" t="n"/>
      <c r="J46" s="28" t="n"/>
      <c r="K46" s="385" t="n">
        <v>200</v>
      </c>
      <c r="L46" s="378">
        <f>E46*K46</f>
        <v/>
      </c>
      <c r="M46" s="392" t="n">
        <v>0.37</v>
      </c>
      <c r="N46" s="311">
        <f>(L46/(1-M46))*(1+$E$9)</f>
        <v/>
      </c>
      <c r="O46" s="378">
        <f>(N46*VLOOKUP($D$9,'Base Costs'!$A$32:$B$37,2,FALSE))</f>
        <v/>
      </c>
      <c r="P46" s="379">
        <f>N46-L46</f>
        <v/>
      </c>
      <c r="V46" s="229" t="n"/>
    </row>
    <row r="47" ht="15" customHeight="1" s="1085">
      <c r="D47" s="239" t="n"/>
      <c r="E47" s="239" t="n"/>
      <c r="F47" s="239" t="n"/>
      <c r="G47" s="239" t="n"/>
      <c r="H47" s="239" t="n"/>
      <c r="I47" s="243" t="n"/>
      <c r="J47" s="244" t="n"/>
      <c r="K47" s="354" t="n"/>
      <c r="L47" s="353" t="n"/>
      <c r="M47" s="355" t="n"/>
      <c r="N47" s="353" t="n"/>
      <c r="O47" s="353" t="n"/>
      <c r="V47" s="229" t="n"/>
    </row>
    <row r="48" ht="15" customHeight="1" s="1085">
      <c r="D48" s="197" t="inlineStr">
        <is>
          <t>Office Use Only</t>
        </is>
      </c>
      <c r="E48" s="198" t="n"/>
      <c r="F48" s="199" t="n"/>
      <c r="G48" s="199" t="n"/>
      <c r="H48" s="198" t="n"/>
      <c r="I48" s="200" t="n"/>
      <c r="J48" s="198" t="n"/>
      <c r="K48" s="198" t="n"/>
      <c r="L48" s="198" t="n"/>
      <c r="M48" s="198" t="n"/>
      <c r="N48" s="198" t="n"/>
      <c r="O48" s="198" t="n"/>
      <c r="P48" s="198" t="n"/>
      <c r="V48" s="229" t="n"/>
    </row>
    <row r="49" ht="15" customHeight="1" s="1085">
      <c r="D49" s="202" t="n"/>
      <c r="E49" s="203" t="n"/>
      <c r="F49" s="202" t="n"/>
      <c r="G49" s="204" t="n"/>
      <c r="H49" s="202" t="n"/>
      <c r="I49" s="209" t="n"/>
      <c r="J49" s="203" t="n"/>
      <c r="K49" s="203" t="n"/>
      <c r="L49" s="205" t="n"/>
      <c r="M49" s="205" t="n"/>
      <c r="N49" s="205" t="n"/>
      <c r="O49" s="205" t="n"/>
      <c r="P49" s="205" t="n"/>
      <c r="V49" s="229" t="n"/>
    </row>
    <row r="50" ht="15" customHeight="1" s="1085">
      <c r="D50" s="202" t="n"/>
      <c r="E50" s="203" t="n"/>
      <c r="F50" s="202" t="n"/>
      <c r="G50" s="204" t="n"/>
      <c r="H50" s="202" t="n"/>
      <c r="I50" s="209" t="n"/>
      <c r="J50" s="203" t="n"/>
      <c r="K50" s="203" t="n"/>
      <c r="L50" s="205" t="n"/>
      <c r="M50" s="205" t="n"/>
      <c r="N50" s="205" t="n"/>
      <c r="O50" s="205" t="n"/>
      <c r="P50" s="205" t="n"/>
      <c r="V50" s="229" t="n"/>
    </row>
    <row r="51" ht="15" customHeight="1" s="1085">
      <c r="D51" s="202" t="n"/>
      <c r="E51" s="203" t="n"/>
      <c r="F51" s="202" t="n"/>
      <c r="G51" s="204" t="n"/>
      <c r="H51" s="202" t="n"/>
      <c r="I51" s="209" t="n"/>
      <c r="J51" s="203" t="n"/>
      <c r="K51" s="203" t="n"/>
      <c r="L51" s="209" t="n"/>
      <c r="M51" s="209" t="n"/>
      <c r="N51" s="209" t="n"/>
      <c r="O51" s="209" t="n"/>
      <c r="P51" s="209" t="n"/>
      <c r="V51" s="229" t="n"/>
    </row>
    <row r="52" ht="15" customHeight="1" s="1085">
      <c r="D52" s="202" t="n"/>
      <c r="E52" s="203" t="n"/>
      <c r="F52" s="202" t="n"/>
      <c r="G52" s="204" t="n"/>
      <c r="H52" s="202" t="n"/>
      <c r="I52" s="209" t="n"/>
      <c r="J52" s="206" t="n"/>
      <c r="K52" s="203" t="n"/>
      <c r="L52" s="209" t="n"/>
      <c r="M52" s="209" t="n"/>
      <c r="N52" s="209" t="n"/>
      <c r="O52" s="209" t="n"/>
      <c r="P52" s="209" t="n"/>
      <c r="V52" s="229" t="n"/>
    </row>
    <row r="53" ht="15" customHeight="1" s="1085">
      <c r="D53" s="202" t="n"/>
      <c r="E53" s="203" t="n"/>
      <c r="F53" s="202" t="n"/>
      <c r="G53" s="202" t="n"/>
      <c r="H53" s="202" t="n"/>
      <c r="I53" s="207" t="n"/>
      <c r="J53" s="209" t="n"/>
      <c r="K53" s="203" t="n"/>
      <c r="L53" s="205" t="n"/>
      <c r="M53" s="205" t="n"/>
      <c r="N53" s="205" t="n"/>
      <c r="O53" s="205" t="n"/>
      <c r="P53" s="205" t="n"/>
      <c r="V53" s="229" t="n"/>
    </row>
    <row r="54" ht="15" customHeight="1" s="1085">
      <c r="D54" s="202" t="n"/>
      <c r="E54" s="202" t="n"/>
      <c r="F54" s="202" t="n"/>
      <c r="G54" s="202" t="n"/>
      <c r="H54" s="202" t="n"/>
      <c r="I54" s="207" t="n"/>
      <c r="J54" s="209" t="n"/>
      <c r="K54" s="203" t="n"/>
      <c r="L54" s="205" t="n"/>
      <c r="M54" s="205" t="n"/>
      <c r="N54" s="205" t="n"/>
      <c r="O54" s="205" t="n"/>
      <c r="P54" s="205" t="n"/>
      <c r="V54" s="229" t="n"/>
    </row>
    <row r="55" ht="15" customHeight="1" s="1085">
      <c r="K55" s="228" t="n"/>
      <c r="N55" s="228" t="n"/>
      <c r="P55" s="228" t="n"/>
      <c r="V55" s="229" t="n"/>
    </row>
    <row r="56" ht="15" customHeight="1" s="1085">
      <c r="K56" s="228" t="n"/>
      <c r="N56" s="228" t="n"/>
      <c r="P56" s="228" t="n"/>
      <c r="V56" s="229" t="n"/>
    </row>
    <row r="57" ht="15" customHeight="1" s="1085">
      <c r="I57" s="219" t="n"/>
      <c r="V57" s="229" t="n"/>
    </row>
    <row r="58" ht="15" customHeight="1" s="1085">
      <c r="I58" s="219" t="n"/>
      <c r="V58" s="229" t="n"/>
    </row>
    <row r="59" ht="15" customHeight="1" s="1085">
      <c r="I59" s="219" t="n"/>
      <c r="V59" s="229" t="n"/>
    </row>
    <row r="60" ht="15" customHeight="1" s="1085">
      <c r="I60" s="219" t="n"/>
      <c r="V60" s="229" t="n"/>
    </row>
    <row r="61" ht="15" customHeight="1" s="1085">
      <c r="I61" s="219" t="n"/>
      <c r="V61" s="229" t="n"/>
    </row>
    <row r="62" ht="15" customHeight="1" s="1085">
      <c r="I62" s="219" t="n"/>
      <c r="V62" s="229" t="n"/>
    </row>
    <row r="63" ht="15" customHeight="1" s="1085">
      <c r="I63" s="219" t="n"/>
      <c r="V63" s="229" t="n"/>
    </row>
    <row r="64" ht="15" customHeight="1" s="1085">
      <c r="I64" s="219" t="n"/>
      <c r="V64" s="229" t="n"/>
    </row>
    <row r="65" ht="15" customHeight="1" s="1085">
      <c r="I65" s="219" t="n"/>
      <c r="V65" s="229" t="n"/>
    </row>
    <row r="66" ht="15" customHeight="1" s="1085">
      <c r="D66" s="245" t="n"/>
      <c r="E66" s="245" t="n"/>
      <c r="F66" s="245" t="n"/>
      <c r="G66" s="245" t="n"/>
      <c r="H66" s="245" t="n"/>
      <c r="I66" s="245" t="n"/>
      <c r="V66" s="229" t="n"/>
    </row>
    <row r="67" ht="15" customHeight="1" s="1085">
      <c r="V67" s="229" t="n"/>
    </row>
    <row r="68" ht="15" customHeight="1" s="1085">
      <c r="V68" s="229" t="n"/>
    </row>
    <row r="69" ht="15" customHeight="1" s="1085">
      <c r="V69" s="229" t="n"/>
    </row>
    <row r="70" ht="15" customHeight="1" s="1085">
      <c r="V70" s="229" t="n"/>
    </row>
    <row r="71" ht="15" customHeight="1" s="1085">
      <c r="V71" s="229" t="n"/>
    </row>
    <row r="72" ht="15" customHeight="1" s="1085">
      <c r="V72" s="229" t="n"/>
    </row>
    <row r="73" ht="15" customHeight="1" s="1085">
      <c r="V73" s="229" t="n"/>
    </row>
    <row r="74" ht="15" customHeight="1" s="1085">
      <c r="V74" s="229" t="n"/>
    </row>
    <row r="75" ht="15" customHeight="1" s="1085">
      <c r="V75" s="229" t="n"/>
    </row>
    <row r="76" ht="15" customHeight="1" s="1085">
      <c r="V76" s="229" t="n"/>
    </row>
    <row r="77" ht="15" customHeight="1" s="1085">
      <c r="V77" s="229" t="n"/>
    </row>
    <row r="78" ht="15" customHeight="1" s="1085">
      <c r="V78" s="229" t="n"/>
    </row>
    <row r="79" ht="15" customHeight="1" s="1085">
      <c r="V79" s="229" t="n"/>
    </row>
    <row r="80" ht="15" customHeight="1" s="1085">
      <c r="V80" s="229" t="n"/>
    </row>
    <row r="81" ht="15" customHeight="1" s="1085">
      <c r="V81" s="229" t="n"/>
    </row>
    <row r="82" ht="15" customHeight="1" s="1085">
      <c r="V82" s="229" t="n"/>
    </row>
    <row r="83" ht="15" customHeight="1" s="1085">
      <c r="V83" s="229" t="n"/>
    </row>
    <row r="84" ht="15" customHeight="1" s="1085">
      <c r="V84" s="229" t="n"/>
    </row>
    <row r="85" ht="15" customHeight="1" s="1085">
      <c r="V85" s="229" t="n"/>
    </row>
    <row r="86" ht="15" customHeight="1" s="1085">
      <c r="V86" s="229" t="n"/>
    </row>
    <row r="87" ht="15" customHeight="1" s="1085">
      <c r="V87" s="229" t="n"/>
    </row>
    <row r="88" ht="15" customHeight="1" s="1085">
      <c r="V88" s="229" t="n"/>
    </row>
    <row r="89" ht="15" customHeight="1" s="1085">
      <c r="V89" s="229" t="n"/>
    </row>
    <row r="90" ht="15" customHeight="1" s="1085">
      <c r="V90" s="229" t="n"/>
    </row>
    <row r="91" ht="15" customHeight="1" s="1085">
      <c r="V91" s="229" t="n"/>
    </row>
    <row r="92" ht="15" customHeight="1" s="1085">
      <c r="V92" s="229" t="n"/>
    </row>
    <row r="93" ht="15" customHeight="1" s="1085">
      <c r="V93" s="229" t="n"/>
    </row>
    <row r="94" ht="15" customHeight="1" s="1085">
      <c r="V94" s="229" t="n"/>
    </row>
    <row r="95" ht="15" customHeight="1" s="1085">
      <c r="V95" s="229" t="n"/>
    </row>
    <row r="96" ht="15" customHeight="1" s="1085">
      <c r="V96" s="229" t="n"/>
    </row>
    <row r="97" ht="15" customHeight="1" s="1085">
      <c r="V97" s="229" t="n"/>
    </row>
    <row r="98" ht="15" customHeight="1" s="1085">
      <c r="V98" s="229" t="n"/>
    </row>
    <row r="99" ht="15" customHeight="1" s="1085">
      <c r="V99" s="229" t="n"/>
    </row>
    <row r="100" ht="15" customHeight="1" s="1085">
      <c r="V100" s="229" t="n"/>
    </row>
    <row r="101" ht="15" customHeight="1" s="1085">
      <c r="V101" s="229" t="n"/>
    </row>
    <row r="102" ht="15" customHeight="1" s="1085">
      <c r="V102" s="229" t="n"/>
    </row>
    <row r="103" ht="15" customHeight="1" s="1085">
      <c r="V103" s="229" t="n"/>
    </row>
    <row r="104" ht="15" customHeight="1" s="1085">
      <c r="V104" s="229" t="n"/>
    </row>
    <row r="105" ht="15" customHeight="1" s="1085">
      <c r="V105" s="229" t="n"/>
    </row>
    <row r="106" ht="15" customHeight="1" s="1085">
      <c r="V106" s="229" t="n"/>
    </row>
    <row r="107" ht="15" customHeight="1" s="1085">
      <c r="V107" s="229" t="n"/>
    </row>
    <row r="108" ht="15" customHeight="1" s="1085">
      <c r="V108" s="229" t="n"/>
    </row>
    <row r="109" ht="15" customHeight="1" s="1085">
      <c r="V109" s="229" t="n"/>
    </row>
    <row r="110" ht="15" customHeight="1" s="1085">
      <c r="V110" s="229" t="n"/>
    </row>
    <row r="111" ht="15" customHeight="1" s="1085">
      <c r="V111" s="229" t="n"/>
    </row>
    <row r="112" ht="15" customHeight="1" s="1085">
      <c r="V112" s="229" t="n"/>
    </row>
    <row r="113" ht="15" customHeight="1" s="1085">
      <c r="V113" s="229" t="n"/>
    </row>
    <row r="114" ht="15" customHeight="1" s="1085">
      <c r="V114" s="229" t="n"/>
    </row>
    <row r="115" ht="15" customHeight="1" s="1085">
      <c r="V115" s="229" t="n"/>
    </row>
    <row r="116" ht="15" customHeight="1" s="1085">
      <c r="V116" s="229" t="n"/>
    </row>
    <row r="117" ht="15" customHeight="1" s="1085">
      <c r="V117" s="229" t="n"/>
    </row>
    <row r="118" ht="15" customHeight="1" s="1085">
      <c r="V118" s="229" t="n"/>
    </row>
    <row r="119" ht="15" customHeight="1" s="1085">
      <c r="V119" s="229" t="n"/>
    </row>
    <row r="120" ht="15" customHeight="1" s="1085">
      <c r="V120" s="229" t="n"/>
    </row>
    <row r="122" ht="15" customHeight="1" s="1085">
      <c r="V122" s="229" t="n"/>
    </row>
    <row r="123" ht="15" customHeight="1" s="1085">
      <c r="V123" s="229" t="n"/>
    </row>
    <row r="124" ht="15" customHeight="1" s="1085">
      <c r="V124" s="229" t="n"/>
    </row>
    <row r="125" ht="15" customHeight="1" s="1085">
      <c r="V125" s="229" t="n"/>
    </row>
    <row r="126" ht="15" customHeight="1" s="1085">
      <c r="V126" s="229" t="n"/>
    </row>
    <row r="127" ht="15" customHeight="1" s="1085">
      <c r="V127" s="229" t="n"/>
    </row>
    <row r="128" ht="15" customHeight="1" s="1085">
      <c r="V128" s="229" t="n"/>
    </row>
    <row r="129" ht="15" customHeight="1" s="1085">
      <c r="V129" s="229" t="n"/>
    </row>
    <row r="130" ht="15" customHeight="1" s="1085">
      <c r="V130" s="229" t="n"/>
    </row>
    <row r="131" ht="15" customHeight="1" s="1085">
      <c r="V131" s="229" t="n"/>
    </row>
    <row r="132" ht="15" customHeight="1" s="1085">
      <c r="V132" s="229" t="n"/>
    </row>
    <row r="133" ht="15" customHeight="1" s="1085">
      <c r="V133" s="229" t="n"/>
    </row>
    <row r="134" ht="15" customHeight="1" s="1085">
      <c r="V134" s="229" t="n"/>
    </row>
    <row r="135" ht="15" customHeight="1" s="1085">
      <c r="V135" s="229" t="n"/>
    </row>
    <row r="136" ht="15" customHeight="1" s="1085">
      <c r="V136" s="229" t="n"/>
    </row>
    <row r="137" ht="15" customHeight="1" s="1085">
      <c r="V137" s="229" t="n"/>
    </row>
    <row r="138" ht="15" customHeight="1" s="1085">
      <c r="V138" s="229" t="n"/>
    </row>
    <row r="139" ht="15" customHeight="1" s="1085">
      <c r="V139" s="229" t="n"/>
    </row>
    <row r="140" ht="15" customHeight="1" s="1085">
      <c r="V140" s="229" t="n"/>
    </row>
    <row r="141" ht="15" customHeight="1" s="1085">
      <c r="V141" s="229" t="n"/>
    </row>
    <row r="142" ht="15" customHeight="1" s="1085">
      <c r="V142" s="229" t="n"/>
    </row>
    <row r="143" ht="15" customHeight="1" s="1085">
      <c r="V143" s="229" t="n"/>
    </row>
    <row r="144" ht="15" customHeight="1" s="1085">
      <c r="V144" s="229" t="n"/>
    </row>
    <row r="145" ht="15" customHeight="1" s="1085">
      <c r="V145" s="229" t="n"/>
    </row>
    <row r="146" ht="15" customHeight="1" s="1085">
      <c r="V146" s="229" t="n"/>
    </row>
    <row r="147" ht="15" customHeight="1" s="1085">
      <c r="V147" s="229" t="n"/>
    </row>
    <row r="148" ht="15" customHeight="1" s="1085">
      <c r="V148" s="229" t="n"/>
    </row>
    <row r="149" ht="15" customHeight="1" s="1085">
      <c r="V149" s="229" t="n"/>
    </row>
    <row r="150" ht="15" customHeight="1" s="1085">
      <c r="V150" s="229" t="n"/>
    </row>
    <row r="151" ht="15" customHeight="1" s="1085">
      <c r="V151" s="229" t="n"/>
    </row>
    <row r="152" ht="15" customHeight="1" s="1085">
      <c r="V152" s="229" t="n"/>
    </row>
    <row r="153" ht="15" customHeight="1" s="1085">
      <c r="V153" s="229" t="n"/>
    </row>
    <row r="154" ht="15" customHeight="1" s="1085">
      <c r="V154" s="229" t="n"/>
    </row>
    <row r="155" ht="15" customHeight="1" s="1085">
      <c r="V155" s="229" t="n"/>
    </row>
    <row r="156" ht="15" customHeight="1" s="1085">
      <c r="V156" s="229" t="n"/>
    </row>
    <row r="157" ht="15" customHeight="1" s="1085">
      <c r="V157" s="229" t="n"/>
    </row>
    <row r="158" ht="15" customHeight="1" s="1085">
      <c r="V158" s="229" t="n"/>
    </row>
    <row r="159" ht="15" customHeight="1" s="1085">
      <c r="V159" s="229" t="n"/>
    </row>
  </sheetData>
  <mergeCells count="8">
    <mergeCell ref="D1:E1"/>
    <mergeCell ref="E7:F7"/>
    <mergeCell ref="I5:K5"/>
    <mergeCell ref="E5:F5"/>
    <mergeCell ref="D35:I35"/>
    <mergeCell ref="E3:F3"/>
    <mergeCell ref="I3:K3"/>
    <mergeCell ref="I7:K7"/>
  </mergeCells>
  <conditionalFormatting sqref="D9">
    <cfRule type="expression" priority="481" dxfId="680">
      <formula>D9="CURRENCY"</formula>
    </cfRule>
    <cfRule type="containsText" priority="480" operator="containsText" dxfId="680" text="SELECT">
      <formula>NOT(ISERROR(SEARCH("SELECT",D9)))</formula>
    </cfRule>
  </conditionalFormatting>
  <conditionalFormatting sqref="D14:D32">
    <cfRule type="expression" priority="22" dxfId="633">
      <formula>$K14&gt;0</formula>
    </cfRule>
  </conditionalFormatting>
  <conditionalFormatting sqref="D36:D46">
    <cfRule type="expression" priority="21" dxfId="633">
      <formula>$E36&gt;0</formula>
    </cfRule>
  </conditionalFormatting>
  <conditionalFormatting sqref="E36:E37 E39:E46">
    <cfRule type="cellIs" priority="570" operator="lessThan" dxfId="554">
      <formula>1</formula>
    </cfRule>
  </conditionalFormatting>
  <conditionalFormatting sqref="E38">
    <cfRule type="cellIs" priority="402" operator="lessThan" dxfId="164">
      <formula>1</formula>
    </cfRule>
  </conditionalFormatting>
  <conditionalFormatting sqref="E9:F9">
    <cfRule type="cellIs" priority="419" operator="greaterThan" dxfId="552">
      <formula>0</formula>
    </cfRule>
    <cfRule type="cellIs" priority="418" operator="lessThan" dxfId="207">
      <formula>0</formula>
    </cfRule>
  </conditionalFormatting>
  <conditionalFormatting sqref="G12">
    <cfRule type="cellIs" priority="588" operator="greaterThan" dxfId="204">
      <formula>2000</formula>
    </cfRule>
    <cfRule type="expression" priority="587" dxfId="387">
      <formula>ISNUMBER(SEARCH("I-MUAP",$F$14))</formula>
    </cfRule>
    <cfRule type="expression" priority="586" dxfId="386">
      <formula>AND((ISNUMBER(SEARCH("I-MUAP",$F$14))),G12&lt;2500)</formula>
    </cfRule>
  </conditionalFormatting>
  <conditionalFormatting sqref="G12:H12">
    <cfRule type="cellIs" priority="581" operator="lessThan" dxfId="204">
      <formula>1000</formula>
    </cfRule>
  </conditionalFormatting>
  <conditionalFormatting sqref="G14:H26">
    <cfRule type="cellIs" priority="5" operator="lessThan" dxfId="164">
      <formula>1000</formula>
    </cfRule>
  </conditionalFormatting>
  <conditionalFormatting sqref="H12">
    <cfRule type="cellIs" priority="582" operator="greaterThan" dxfId="204">
      <formula>3001</formula>
    </cfRule>
  </conditionalFormatting>
  <conditionalFormatting sqref="I11">
    <cfRule type="expression" priority="584" dxfId="176">
      <formula>((H14-50)/J14)&lt;950</formula>
    </cfRule>
  </conditionalFormatting>
  <conditionalFormatting sqref="I12">
    <cfRule type="expression" priority="583" dxfId="175">
      <formula>((H14-50)/J14)&lt;950</formula>
    </cfRule>
  </conditionalFormatting>
  <conditionalFormatting sqref="I14:I26">
    <cfRule type="cellIs" priority="7" operator="lessThan" dxfId="164">
      <formula>400</formula>
    </cfRule>
  </conditionalFormatting>
  <conditionalFormatting sqref="I33">
    <cfRule type="expression" priority="652" dxfId="176">
      <formula>((#REF!-50)/#REF!)&lt;950</formula>
    </cfRule>
  </conditionalFormatting>
  <conditionalFormatting sqref="K14:K30">
    <cfRule type="cellIs" priority="32" operator="greaterThan" dxfId="153">
      <formula>0</formula>
    </cfRule>
  </conditionalFormatting>
  <conditionalFormatting sqref="K36:K46">
    <cfRule type="expression" priority="389" dxfId="153">
      <formula>E36&gt;0</formula>
    </cfRule>
  </conditionalFormatting>
  <conditionalFormatting sqref="K48:K54">
    <cfRule type="expression" priority="394" dxfId="2">
      <formula>#REF!="EURO"</formula>
    </cfRule>
  </conditionalFormatting>
  <conditionalFormatting sqref="L14:L32">
    <cfRule type="cellIs" priority="1" operator="greaterThan" dxfId="141">
      <formula>0</formula>
    </cfRule>
  </conditionalFormatting>
  <conditionalFormatting sqref="L36:L46">
    <cfRule type="cellIs" priority="400" operator="greaterThan" dxfId="141">
      <formula>0</formula>
    </cfRule>
  </conditionalFormatting>
  <conditionalFormatting sqref="L48:L54">
    <cfRule type="expression" priority="390" dxfId="4">
      <formula>$D$9="PLN"</formula>
    </cfRule>
    <cfRule type="expression" priority="391" dxfId="0">
      <formula>$D$9="CZK"</formula>
    </cfRule>
    <cfRule type="expression" priority="392" dxfId="3">
      <formula>$D$9="USD"</formula>
    </cfRule>
    <cfRule type="expression" priority="393" dxfId="2">
      <formula>$D$9="EURO"</formula>
    </cfRule>
  </conditionalFormatting>
  <conditionalFormatting sqref="M14:M32">
    <cfRule type="expression" priority="26" dxfId="116">
      <formula>$E$9&lt;0</formula>
    </cfRule>
    <cfRule type="expression" priority="27" dxfId="115">
      <formula>$E$9&gt;0</formula>
    </cfRule>
  </conditionalFormatting>
  <conditionalFormatting sqref="M36:M46">
    <cfRule type="expression" priority="25" dxfId="115">
      <formula>$E$9&gt;0</formula>
    </cfRule>
    <cfRule type="expression" priority="24" dxfId="116">
      <formula>$E$9&lt;0</formula>
    </cfRule>
  </conditionalFormatting>
  <conditionalFormatting sqref="O9 O12">
    <cfRule type="expression" priority="646" dxfId="4">
      <formula>$D$9="PLN"</formula>
    </cfRule>
    <cfRule type="expression" priority="647" dxfId="0">
      <formula>$D$9="CZK"</formula>
    </cfRule>
    <cfRule type="expression" priority="648" dxfId="3">
      <formula>$D$9="USD"</formula>
    </cfRule>
    <cfRule type="expression" priority="649" dxfId="2">
      <formula>$D$9="EURO"</formula>
    </cfRule>
  </conditionalFormatting>
  <conditionalFormatting sqref="O14:O32">
    <cfRule type="expression" priority="66" dxfId="2">
      <formula>$D$9="EURO"</formula>
    </cfRule>
    <cfRule type="expression" priority="65" dxfId="3">
      <formula>$D$9="USD"</formula>
    </cfRule>
    <cfRule type="expression" priority="64" dxfId="0">
      <formula>$D$9="CZK"</formula>
    </cfRule>
    <cfRule type="expression" priority="63" dxfId="4">
      <formula>$D$9="PLN"</formula>
    </cfRule>
  </conditionalFormatting>
  <conditionalFormatting sqref="O18:O20">
    <cfRule type="cellIs" priority="102" operator="greaterThan" dxfId="5">
      <formula>0</formula>
    </cfRule>
  </conditionalFormatting>
  <conditionalFormatting sqref="O35:O46">
    <cfRule type="expression" priority="15" dxfId="2">
      <formula>$D$9="EURO"</formula>
    </cfRule>
    <cfRule type="expression" priority="14" dxfId="3">
      <formula>$D$9="USD"</formula>
    </cfRule>
    <cfRule type="expression" priority="13" dxfId="0">
      <formula>$D$9="CZK"</formula>
    </cfRule>
    <cfRule type="expression" priority="12" dxfId="4">
      <formula>$D$9="PLN"</formula>
    </cfRule>
  </conditionalFormatting>
  <conditionalFormatting sqref="O14:P32">
    <cfRule type="cellIs" priority="62" operator="greaterThan" dxfId="5">
      <formula>0</formula>
    </cfRule>
  </conditionalFormatting>
  <conditionalFormatting sqref="O36:P46">
    <cfRule type="cellIs" priority="11" operator="greaterThan" dxfId="141">
      <formula>0</formula>
    </cfRule>
  </conditionalFormatting>
  <conditionalFormatting sqref="P14:P20">
    <cfRule type="cellIs" priority="108" operator="greaterThan" dxfId="5">
      <formula>0</formula>
    </cfRule>
  </conditionalFormatting>
  <dataValidations count="3">
    <dataValidation sqref="F14:F32" showDropDown="0" showInputMessage="1" showErrorMessage="1" allowBlank="1" type="list">
      <formula1>"0,1,2,3,4,5,6,7,8,9,10,11,12,13,14,15,16,17,18,19,20"</formula1>
    </dataValidation>
    <dataValidation sqref="G14:G26" showDropDown="0" showInputMessage="1" showErrorMessage="1" allowBlank="1" operator="greaterThan"/>
    <dataValidation sqref="I34" showDropDown="0" showInputMessage="1" showErrorMessage="1" allowBlank="1" type="list">
      <formula1>#REF!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59"/>
  <drawing xmlns:r="http://schemas.openxmlformats.org/officeDocument/2006/relationships" r:id="rId1"/>
</worksheet>
</file>

<file path=xl/worksheets/sheet55.xml><?xml version="1.0" encoding="utf-8"?>
<worksheet xmlns="http://schemas.openxmlformats.org/spreadsheetml/2006/main">
  <sheetPr codeName="Sheet8">
    <tabColor rgb="FFFF0000"/>
    <outlinePr summaryBelow="1" summaryRight="1"/>
    <pageSetUpPr/>
  </sheetPr>
  <dimension ref="A1:BQ207"/>
  <sheetViews>
    <sheetView topLeftCell="I1" zoomScale="80" zoomScaleNormal="80" workbookViewId="0">
      <selection activeCell="BC87" sqref="BC87"/>
    </sheetView>
  </sheetViews>
  <sheetFormatPr baseColWidth="10" defaultColWidth="8.83203125" defaultRowHeight="14.5" customHeight="1"/>
  <cols>
    <col width="31.83203125" customWidth="1" style="1170" min="1" max="1"/>
    <col width="12" customWidth="1" style="1175" min="2" max="3"/>
    <col width="9.83203125" customWidth="1" style="1170" min="4" max="4"/>
    <col width="27" customWidth="1" style="1170" min="5" max="5"/>
    <col width="14.6640625" customWidth="1" style="1170" min="6" max="6"/>
    <col width="10.5" bestFit="1" customWidth="1" style="596" min="7" max="7"/>
    <col width="3.5" customWidth="1" style="1175" min="8" max="8"/>
    <col width="26.83203125" bestFit="1" customWidth="1" style="1170" min="9" max="9"/>
    <col width="10.83203125" bestFit="1" customWidth="1" style="1175" min="10" max="10"/>
    <col width="11.33203125" bestFit="1" customWidth="1" style="1175" min="11" max="11"/>
    <col width="6.6640625" customWidth="1" style="1170" min="12" max="12"/>
    <col width="21.5" customWidth="1" style="1170" min="13" max="13"/>
    <col width="10.6640625" customWidth="1" style="1175" min="14" max="15"/>
    <col width="7.33203125" customWidth="1" style="1170" min="16" max="16"/>
    <col width="25.83203125" customWidth="1" style="1170" min="17" max="17"/>
    <col width="10.5" customWidth="1" style="1175" min="18" max="18"/>
    <col width="11.5" customWidth="1" style="1170" min="19" max="19"/>
    <col width="16.5" customWidth="1" style="1170" min="20" max="20"/>
    <col width="19.6640625" bestFit="1" customWidth="1" style="1170" min="21" max="21"/>
    <col width="12" customWidth="1" style="1175" min="22" max="22"/>
    <col width="10.5" customWidth="1" style="1175" min="23" max="23"/>
    <col width="9.6640625" customWidth="1" style="1170" min="24" max="24"/>
    <col width="19.5" bestFit="1" customWidth="1" style="1170" min="25" max="25"/>
    <col width="19.5" customWidth="1" style="1170" min="26" max="26"/>
    <col width="15.33203125" customWidth="1" style="1170" min="27" max="28"/>
    <col width="7.1640625" bestFit="1" customWidth="1" style="395" min="29" max="29"/>
    <col width="9.5" bestFit="1" customWidth="1" style="1170" min="30" max="30"/>
    <col width="10.5" bestFit="1" customWidth="1" style="395" min="31" max="31"/>
    <col width="11" customWidth="1" style="396" min="32" max="32"/>
    <col width="8.83203125" customWidth="1" style="411" min="33" max="35"/>
    <col width="7.33203125" customWidth="1" style="411" min="36" max="36"/>
    <col width="25.83203125" bestFit="1" customWidth="1" style="1170" min="37" max="37"/>
    <col width="71.5" bestFit="1" customWidth="1" style="1170" min="38" max="38"/>
    <col width="12.5" customWidth="1" style="1170" min="39" max="39"/>
    <col width="10.5" bestFit="1" customWidth="1" style="601" min="40" max="40"/>
    <col width="11.5" customWidth="1" style="601" min="41" max="41"/>
    <col width="22.5" bestFit="1" customWidth="1" style="1170" min="42" max="42"/>
    <col hidden="1" width="13.83203125" customWidth="1" style="1175" min="43" max="43"/>
    <col width="12.83203125" customWidth="1" style="1175" min="44" max="45"/>
    <col width="9.5" customWidth="1" style="1170" min="46" max="46"/>
    <col width="23.33203125" bestFit="1" customWidth="1" style="1170" min="47" max="47"/>
    <col width="7.6640625" bestFit="1" customWidth="1" style="1170" min="48" max="48"/>
    <col width="23.6640625" bestFit="1" customWidth="1" style="1170" min="49" max="49"/>
    <col width="11.33203125" bestFit="1" customWidth="1" style="1175" min="50" max="50"/>
    <col width="11.33203125" bestFit="1" customWidth="1" style="601" min="51" max="51"/>
    <col width="12.83203125" customWidth="1" style="1170" min="52" max="52"/>
    <col width="8.83203125" customWidth="1" style="1170" min="53" max="53"/>
    <col width="12.33203125" customWidth="1" style="594" min="54" max="54"/>
    <col width="10.5" bestFit="1" customWidth="1" style="594" min="55" max="55"/>
    <col width="34.1640625" bestFit="1" customWidth="1" style="1170" min="56" max="56"/>
    <col width="8.83203125" customWidth="1" style="1170" min="57" max="63"/>
    <col width="10.5" customWidth="1" style="1170" min="64" max="64"/>
    <col width="8.83203125" customWidth="1" style="1170" min="65" max="67"/>
    <col width="9.6640625" bestFit="1" customWidth="1" style="1170" min="68" max="68"/>
    <col width="8.83203125" customWidth="1" style="1170" min="69" max="69"/>
    <col width="8.83203125" customWidth="1" style="1170" min="70" max="16384"/>
  </cols>
  <sheetData>
    <row r="1" ht="14.5" customHeight="1" s="1085">
      <c r="A1" s="1171" t="inlineStr">
        <is>
          <t>6% added to GREY column for 2025 shown in RED</t>
        </is>
      </c>
      <c r="B1" s="1172" t="n"/>
      <c r="C1" s="1080" t="n"/>
      <c r="Y1" s="1057" t="n"/>
      <c r="AA1" s="592" t="n"/>
      <c r="AB1" s="592" t="n"/>
      <c r="AC1" s="405" t="inlineStr">
        <is>
          <t>S</t>
        </is>
      </c>
      <c r="AD1" s="452" t="n">
        <v>0.1</v>
      </c>
      <c r="AE1" s="405" t="n"/>
      <c r="AF1" s="1170" t="n"/>
      <c r="AG1" s="397" t="n"/>
      <c r="AH1" s="397" t="n"/>
      <c r="AI1" s="397" t="n"/>
      <c r="AJ1" s="397" t="n"/>
      <c r="AN1" s="600" t="inlineStr">
        <is>
          <t>ORIGINAL</t>
        </is>
      </c>
      <c r="AO1" s="600" t="n"/>
    </row>
    <row r="2" ht="14.5" customHeight="1" s="1085">
      <c r="A2" s="1174" t="n"/>
      <c r="Y2" s="1057" t="n"/>
      <c r="AA2" s="592" t="n"/>
      <c r="AB2" s="592" t="n"/>
      <c r="AC2" s="405" t="n"/>
      <c r="AD2" s="452" t="n"/>
      <c r="AE2" s="405" t="n"/>
      <c r="AF2" s="1170" t="n"/>
      <c r="AG2" s="397" t="n"/>
      <c r="AH2" s="397" t="n"/>
      <c r="AI2" s="397" t="n"/>
      <c r="AJ2" s="397" t="n"/>
      <c r="AN2" s="600" t="n"/>
      <c r="AO2" s="600" t="n"/>
    </row>
    <row r="3" ht="14.5" customHeight="1" s="1085">
      <c r="B3" s="1050" t="n">
        <v>45658</v>
      </c>
      <c r="C3" s="1056" t="n">
        <v>45292</v>
      </c>
      <c r="F3" s="1050" t="n">
        <v>45658</v>
      </c>
      <c r="G3" s="1056" t="n">
        <v>44835</v>
      </c>
      <c r="J3" s="1050" t="n">
        <v>45658</v>
      </c>
      <c r="K3" s="1056" t="n">
        <v>45292</v>
      </c>
      <c r="N3" s="1050" t="n">
        <v>45658</v>
      </c>
      <c r="O3" s="1056" t="n">
        <v>45149</v>
      </c>
      <c r="R3" s="1050" t="n">
        <v>45658</v>
      </c>
      <c r="S3" s="1055" t="n">
        <v>45108</v>
      </c>
      <c r="V3" s="1050" t="n">
        <v>45658</v>
      </c>
      <c r="W3" s="1056" t="n">
        <v>45566</v>
      </c>
      <c r="AA3" s="1050" t="n">
        <v>45658</v>
      </c>
      <c r="AB3" s="1055" t="n">
        <v>45108</v>
      </c>
      <c r="AC3" s="1170" t="inlineStr">
        <is>
          <t>L</t>
        </is>
      </c>
      <c r="AD3" s="395" t="n">
        <v>0.2</v>
      </c>
      <c r="AG3" s="397" t="n"/>
      <c r="AH3" s="397" t="n"/>
      <c r="AI3" s="397" t="n"/>
      <c r="AJ3" s="397" t="n"/>
      <c r="AL3" s="908" t="n"/>
      <c r="AM3" s="1050" t="n">
        <v>45658</v>
      </c>
      <c r="AN3" s="1056" t="n">
        <v>44835</v>
      </c>
      <c r="AQ3" s="398" t="n"/>
      <c r="AR3" s="1050" t="n">
        <v>45658</v>
      </c>
      <c r="AS3" s="1054" t="n">
        <v>45108</v>
      </c>
      <c r="AX3" s="1050" t="n">
        <v>45658</v>
      </c>
      <c r="AY3" s="1056" t="n">
        <v>44835</v>
      </c>
      <c r="BB3" s="593" t="inlineStr">
        <is>
          <t>PRICE INCREASE</t>
        </is>
      </c>
    </row>
    <row r="4" ht="14.5" customFormat="1" customHeight="1" s="399">
      <c r="A4" s="415" t="inlineStr">
        <is>
          <t>PLANT SELECTION (weekly)</t>
        </is>
      </c>
      <c r="B4" s="415" t="n">
        <v>0</v>
      </c>
      <c r="C4" s="415" t="n"/>
      <c r="E4" s="415" t="inlineStr">
        <is>
          <t>SELECT LOCATION…</t>
        </is>
      </c>
      <c r="F4" s="415" t="n">
        <v>0</v>
      </c>
      <c r="G4" s="415" t="n">
        <v>0</v>
      </c>
      <c r="H4" s="415" t="n"/>
      <c r="I4" s="415" t="inlineStr">
        <is>
          <t>EXTRACT FANS SIZE</t>
        </is>
      </c>
      <c r="J4" s="415" t="n">
        <v>0</v>
      </c>
      <c r="K4" s="415" t="n"/>
      <c r="M4" s="415" t="inlineStr">
        <is>
          <t>LIGHT SELECTION</t>
        </is>
      </c>
      <c r="N4" s="415" t="n">
        <v>0</v>
      </c>
      <c r="O4" s="415" t="n"/>
      <c r="Q4" s="415" t="inlineStr">
        <is>
          <t>FILTER TYPE</t>
        </is>
      </c>
      <c r="R4" s="415" t="n">
        <v>0</v>
      </c>
      <c r="S4" s="415" t="n">
        <v>0</v>
      </c>
      <c r="U4" s="415" t="inlineStr">
        <is>
          <t>FIRE SUPPRESSION</t>
        </is>
      </c>
      <c r="V4" s="415" t="n">
        <v>0</v>
      </c>
      <c r="W4" s="415" t="n"/>
      <c r="Y4" s="415" t="inlineStr">
        <is>
          <t>UV SELECTION</t>
        </is>
      </c>
      <c r="Z4" s="419" t="inlineStr">
        <is>
          <t>UVR</t>
        </is>
      </c>
      <c r="AA4" s="415" t="n">
        <v>0</v>
      </c>
      <c r="AB4" s="415" t="n"/>
      <c r="AC4" s="420" t="inlineStr">
        <is>
          <t>TUBES</t>
        </is>
      </c>
      <c r="AD4" s="419" t="inlineStr">
        <is>
          <t>LENGTH</t>
        </is>
      </c>
      <c r="AE4" s="420" t="inlineStr">
        <is>
          <t>SECTIONS</t>
        </is>
      </c>
      <c r="AF4" s="418" t="n"/>
      <c r="AG4" s="421" t="inlineStr">
        <is>
          <t>UVR</t>
        </is>
      </c>
      <c r="AH4" s="422" t="n"/>
      <c r="AI4" s="422" t="n"/>
      <c r="AK4" s="415" t="n"/>
      <c r="AL4" s="415" t="inlineStr">
        <is>
          <t>VENTILATED CEILING MODULES</t>
        </is>
      </c>
      <c r="AM4" s="415" t="n"/>
      <c r="AN4" s="415" t="n"/>
      <c r="AO4" s="597" t="n"/>
      <c r="AP4" s="415" t="inlineStr">
        <is>
          <t>POLLUSTOP</t>
        </is>
      </c>
      <c r="AQ4" s="415" t="inlineStr">
        <is>
          <t>EXTERNAL</t>
        </is>
      </c>
      <c r="AR4" s="415" t="inlineStr">
        <is>
          <t>INTERNAL</t>
        </is>
      </c>
      <c r="AS4" s="415" t="n"/>
      <c r="AU4" s="415" t="inlineStr">
        <is>
          <t>SDU</t>
        </is>
      </c>
      <c r="AV4" s="415" t="n"/>
      <c r="AW4" s="415" t="n"/>
      <c r="AX4" s="415" t="n"/>
      <c r="AY4" s="1058" t="n"/>
      <c r="BB4" s="595" t="inlineStr">
        <is>
          <t>DATE</t>
        </is>
      </c>
      <c r="BC4" s="595" t="inlineStr">
        <is>
          <t>%</t>
        </is>
      </c>
      <c r="BD4" s="1061" t="n">
        <v>0.06</v>
      </c>
    </row>
    <row r="5" ht="14.5" customHeight="1" s="1085">
      <c r="A5" s="1170" t="inlineStr">
        <is>
          <t>SL10 GENIE</t>
        </is>
      </c>
      <c r="B5" s="892" t="n">
        <v>95.40000000000001</v>
      </c>
      <c r="C5" s="598" t="n">
        <v>90</v>
      </c>
      <c r="E5" s="905" t="inlineStr">
        <is>
          <t>ABERDEEN 590</t>
        </is>
      </c>
      <c r="F5" s="892" t="n">
        <v>1961</v>
      </c>
      <c r="G5" s="598" t="n">
        <v>1850</v>
      </c>
      <c r="H5" s="404" t="n"/>
      <c r="I5" s="405" t="inlineStr">
        <is>
          <t>0.5 M³/s GBWEC400 (inc INV)</t>
        </is>
      </c>
      <c r="J5" s="892" t="n">
        <v>1331.36</v>
      </c>
      <c r="K5" s="598" t="n">
        <v>1256</v>
      </c>
      <c r="M5" s="405" t="inlineStr">
        <is>
          <t>LED STRIP L6 Inc DALI</t>
        </is>
      </c>
      <c r="N5" s="892" t="n">
        <v>189.9626</v>
      </c>
      <c r="O5" s="598" t="n">
        <v>179.21</v>
      </c>
      <c r="Q5" s="405" t="inlineStr">
        <is>
          <t>CENTREX</t>
        </is>
      </c>
      <c r="R5" s="909" t="n">
        <v>0</v>
      </c>
      <c r="S5" s="598" t="n">
        <v>0</v>
      </c>
      <c r="T5" s="1170">
        <f>R5*1.06</f>
        <v/>
      </c>
      <c r="U5" s="405" t="inlineStr">
        <is>
          <t>1 TANK SYSTEM</t>
        </is>
      </c>
      <c r="V5" s="909" t="n">
        <v>2092.6</v>
      </c>
      <c r="W5" s="598" t="n">
        <v>2092.6</v>
      </c>
      <c r="Y5" s="1170" t="inlineStr">
        <is>
          <t>UVR4S-1   0.4 M³/s</t>
        </is>
      </c>
      <c r="Z5" s="406" t="inlineStr">
        <is>
          <t>UVR4S-1</t>
        </is>
      </c>
      <c r="AA5" s="909" t="n">
        <v>985.1004</v>
      </c>
      <c r="AB5" s="598" t="n">
        <v>929.34</v>
      </c>
      <c r="AC5" s="395" t="n">
        <v>4</v>
      </c>
      <c r="AD5" s="406" t="inlineStr">
        <is>
          <t>S</t>
        </is>
      </c>
      <c r="AE5" s="395" t="n">
        <v>1</v>
      </c>
      <c r="AF5" s="396">
        <f>IF(AD5="S",AC5*$AD$1*AE5,AC5*$AD$3*AE5)</f>
        <v/>
      </c>
      <c r="AG5" s="397">
        <f>$AG$4&amp;AH5</f>
        <v/>
      </c>
      <c r="AH5" s="407" t="inlineStr">
        <is>
          <t>8L</t>
        </is>
      </c>
      <c r="AI5" s="397" t="n">
        <v>1.6</v>
      </c>
      <c r="AJ5" s="1051" t="n"/>
      <c r="AK5" s="408" t="inlineStr">
        <is>
          <t>CC100 / CC101</t>
        </is>
      </c>
      <c r="AL5" s="493" t="inlineStr">
        <is>
          <t>PERIMETER CHANNEL (3M) + PERIMETER WEDGES</t>
        </is>
      </c>
      <c r="AM5" s="909" t="n">
        <v>19.027</v>
      </c>
      <c r="AN5" s="602" t="n">
        <v>17.95</v>
      </c>
      <c r="AO5" s="1052" t="n"/>
      <c r="AP5" s="423" t="inlineStr">
        <is>
          <t xml:space="preserve">PANEL / BAG FILTER </t>
        </is>
      </c>
      <c r="AQ5" s="417" t="n"/>
      <c r="AR5" s="417" t="n"/>
      <c r="AS5" s="417" t="n"/>
      <c r="AU5" s="423" t="inlineStr">
        <is>
          <t>CARCASS</t>
        </is>
      </c>
      <c r="AV5" s="424" t="inlineStr">
        <is>
          <t>HRS</t>
        </is>
      </c>
      <c r="AW5" s="423" t="n"/>
      <c r="AX5" s="423" t="n"/>
      <c r="AY5" s="1059" t="n"/>
      <c r="BB5" s="1062" t="n">
        <v>45658</v>
      </c>
      <c r="BC5" s="830" t="n"/>
      <c r="BD5" s="620" t="inlineStr">
        <is>
          <t>ALL COSTS</t>
        </is>
      </c>
    </row>
    <row r="6" ht="14.5" customHeight="1" s="1085">
      <c r="A6" s="1170" t="inlineStr">
        <is>
          <t>EXTENSION FORKS</t>
        </is>
      </c>
      <c r="B6" s="892" t="n">
        <v>38.4674</v>
      </c>
      <c r="C6" s="598" t="n">
        <v>36.29</v>
      </c>
      <c r="E6" s="905" t="inlineStr">
        <is>
          <t>ABINGDON 110</t>
        </is>
      </c>
      <c r="F6" s="892" t="n">
        <v>424</v>
      </c>
      <c r="G6" s="598" t="n">
        <v>400</v>
      </c>
      <c r="H6" s="404" t="n"/>
      <c r="I6" s="405" t="inlineStr">
        <is>
          <t>1.0 M³/s GBDEC450 (inc INV)</t>
        </is>
      </c>
      <c r="J6" s="892" t="n">
        <v>1365.28</v>
      </c>
      <c r="K6" s="598" t="n">
        <v>1288</v>
      </c>
      <c r="M6" s="405" t="inlineStr">
        <is>
          <t>LED STRIP L12 inc DALI</t>
        </is>
      </c>
      <c r="N6" s="892" t="n">
        <v>228.0166</v>
      </c>
      <c r="O6" s="598" t="n">
        <v>215.11</v>
      </c>
      <c r="Q6" s="405" t="inlineStr">
        <is>
          <t>GRILLE</t>
        </is>
      </c>
      <c r="R6" s="909" t="n">
        <v>33.019</v>
      </c>
      <c r="S6" s="598" t="n">
        <v>31.15</v>
      </c>
      <c r="T6" s="1170">
        <f>R6*1.06</f>
        <v/>
      </c>
      <c r="U6" s="405" t="inlineStr">
        <is>
          <t>1 TANK TRAVEL HUB</t>
        </is>
      </c>
      <c r="V6" s="909" t="n">
        <v>0</v>
      </c>
      <c r="W6" s="598" t="n">
        <v>0</v>
      </c>
      <c r="Y6" s="1170" t="inlineStr">
        <is>
          <t>UVR4S-2   0.8 M³/s</t>
        </is>
      </c>
      <c r="Z6" s="406" t="inlineStr">
        <is>
          <t>UVR4S-2</t>
        </is>
      </c>
      <c r="AA6" s="909" t="n">
        <v>1635.7284</v>
      </c>
      <c r="AB6" s="598" t="n">
        <v>1543.14</v>
      </c>
      <c r="AC6" s="395" t="n">
        <v>4</v>
      </c>
      <c r="AD6" s="406" t="inlineStr">
        <is>
          <t>S</t>
        </is>
      </c>
      <c r="AE6" s="395" t="n">
        <v>2</v>
      </c>
      <c r="AF6" s="396">
        <f>IF(AD6="S",AC6*$AD$1*AE6,AC6*$AD$3*AE6)</f>
        <v/>
      </c>
      <c r="AG6" s="397">
        <f>$AG$4&amp;AH6</f>
        <v/>
      </c>
      <c r="AH6" s="407" t="inlineStr">
        <is>
          <t>6L</t>
        </is>
      </c>
      <c r="AI6" s="397" t="n">
        <v>1.2</v>
      </c>
      <c r="AJ6" s="1051" t="n"/>
      <c r="AK6" s="408" t="inlineStr">
        <is>
          <t>CC102 / CC103 / CC1044</t>
        </is>
      </c>
      <c r="AL6" s="493" t="inlineStr">
        <is>
          <t xml:space="preserve">PRIMARY MULLION (3M) + HANGING BRACKET + FISH PLATE </t>
        </is>
      </c>
      <c r="AM6" s="909" t="n">
        <v>33.9942</v>
      </c>
      <c r="AN6" s="602" t="n">
        <v>32.07</v>
      </c>
      <c r="AO6" s="1052" t="n"/>
      <c r="AP6" s="405" t="inlineStr">
        <is>
          <t>Size</t>
        </is>
      </c>
      <c r="AQ6" s="1175" t="n">
        <v>0</v>
      </c>
      <c r="AU6" s="408" t="inlineStr">
        <is>
          <t>RISER ELECTRICAL INC MCB</t>
        </is>
      </c>
      <c r="AV6" s="410" t="n">
        <v>15</v>
      </c>
      <c r="AW6" s="493" t="inlineStr">
        <is>
          <t>850X300X2100</t>
        </is>
      </c>
      <c r="AX6" s="910" t="n">
        <v>683.5622000000001</v>
      </c>
      <c r="AY6" s="603" t="n">
        <v>644.87</v>
      </c>
      <c r="BB6" s="1171" t="inlineStr">
        <is>
          <t>6% added to GREY column for 2025 shown in RED</t>
        </is>
      </c>
      <c r="BC6" s="1172" t="n"/>
      <c r="BD6" s="1080" t="n"/>
    </row>
    <row r="7" ht="14.5" customHeight="1" s="1085">
      <c r="A7" s="1170" t="inlineStr">
        <is>
          <t>2.5M COMBI LADDER</t>
        </is>
      </c>
      <c r="B7" s="892" t="n">
        <v>86.69740000000002</v>
      </c>
      <c r="C7" s="598" t="n">
        <v>81.79000000000001</v>
      </c>
      <c r="E7" s="905" t="inlineStr">
        <is>
          <t>ALDEBURGH 112</t>
        </is>
      </c>
      <c r="F7" s="892" t="n">
        <v>424</v>
      </c>
      <c r="G7" s="598" t="n">
        <v>400</v>
      </c>
      <c r="H7" s="404" t="n"/>
      <c r="I7" s="405" t="inlineStr">
        <is>
          <t>1.5 M³/s GBDEC500 (inc INV)</t>
        </is>
      </c>
      <c r="J7" s="892" t="n">
        <v>1565.62</v>
      </c>
      <c r="K7" s="598" t="n">
        <v>1477</v>
      </c>
      <c r="M7" s="405" t="inlineStr">
        <is>
          <t>LED STRIP L18 Inc DALI</t>
        </is>
      </c>
      <c r="N7" s="892" t="n">
        <v>294.7860000000001</v>
      </c>
      <c r="O7" s="598" t="n">
        <v>278.1</v>
      </c>
      <c r="Q7" s="405" t="inlineStr">
        <is>
          <t>COALSCER</t>
        </is>
      </c>
      <c r="R7" s="909" t="n">
        <v>84.80000000000001</v>
      </c>
      <c r="S7" s="598" t="n">
        <v>80</v>
      </c>
      <c r="T7" s="1170">
        <f>R7*1.06</f>
        <v/>
      </c>
      <c r="U7" s="405" t="inlineStr">
        <is>
          <t>1 TANK DISTANCE</t>
        </is>
      </c>
      <c r="V7" s="909" t="n">
        <v>2092.6</v>
      </c>
      <c r="W7" s="598" t="n">
        <v>2092.6</v>
      </c>
      <c r="Y7" s="1170" t="inlineStr">
        <is>
          <t>UVR4S-3   1.2 M³/s</t>
        </is>
      </c>
      <c r="Z7" s="406" t="inlineStr">
        <is>
          <t>UVR4S-3</t>
        </is>
      </c>
      <c r="AA7" s="909" t="n">
        <v>2286.3246</v>
      </c>
      <c r="AB7" s="598" t="n">
        <v>2156.91</v>
      </c>
      <c r="AC7" s="395" t="n">
        <v>4</v>
      </c>
      <c r="AD7" s="406" t="inlineStr">
        <is>
          <t>S</t>
        </is>
      </c>
      <c r="AE7" s="395" t="n">
        <v>3</v>
      </c>
      <c r="AF7" s="396">
        <f>IF(AD7="S",AC7*$AD$1*AE7,AC7*$AD$3*AE7)</f>
        <v/>
      </c>
      <c r="AG7" s="397">
        <f>$AG$4&amp;AH7</f>
        <v/>
      </c>
      <c r="AH7" s="407" t="inlineStr">
        <is>
          <t>4L</t>
        </is>
      </c>
      <c r="AI7" s="397" t="n">
        <v>0.8</v>
      </c>
      <c r="AJ7" s="1051" t="n"/>
      <c r="AK7" s="408" t="inlineStr">
        <is>
          <t>CC106</t>
        </is>
      </c>
      <c r="AL7" s="408" t="inlineStr">
        <is>
          <t>EXT CROSS MULLION</t>
        </is>
      </c>
      <c r="AM7" s="909" t="n">
        <v>8.978200000000001</v>
      </c>
      <c r="AN7" s="602" t="n">
        <v>8.470000000000001</v>
      </c>
      <c r="AO7" s="1052" t="n"/>
      <c r="AP7" s="405" t="inlineStr">
        <is>
          <t>PS01 940mm</t>
        </is>
      </c>
      <c r="AQ7" s="1175">
        <f>(POLLUSTOP!$G$39*0.94)+AR7</f>
        <v/>
      </c>
      <c r="AR7" s="916" t="n">
        <v>868.1400000000001</v>
      </c>
      <c r="AS7" s="596" t="n">
        <v>819</v>
      </c>
      <c r="AU7" s="408" t="inlineStr">
        <is>
          <t>RISER ELECTRICAL INC MCB</t>
        </is>
      </c>
      <c r="AV7" s="410" t="n">
        <v>15</v>
      </c>
      <c r="AW7" s="493" t="inlineStr">
        <is>
          <t>850X300X3000</t>
        </is>
      </c>
      <c r="AX7" s="910" t="n">
        <v>858.3032000000001</v>
      </c>
      <c r="AY7" s="603" t="n">
        <v>809.72</v>
      </c>
      <c r="BB7" s="831" t="inlineStr">
        <is>
          <t>NEW COSTS</t>
        </is>
      </c>
    </row>
    <row r="8" ht="14.5" customHeight="1" s="1085">
      <c r="A8" s="405" t="inlineStr">
        <is>
          <t>1.5M PODIUM</t>
        </is>
      </c>
      <c r="B8" s="892" t="n">
        <v>132.5</v>
      </c>
      <c r="C8" s="598" t="n">
        <v>125</v>
      </c>
      <c r="E8" s="905" t="inlineStr">
        <is>
          <t>ALDERSHOT 110</t>
        </is>
      </c>
      <c r="F8" s="892" t="n">
        <v>424</v>
      </c>
      <c r="G8" s="598" t="n">
        <v>400</v>
      </c>
      <c r="H8" s="404" t="n"/>
      <c r="I8" s="405" t="inlineStr">
        <is>
          <t>2.0 M³/s GBDEC560 (inc INV)</t>
        </is>
      </c>
      <c r="J8" s="892" t="n">
        <v>2280.06</v>
      </c>
      <c r="K8" s="598" t="n">
        <v>2151</v>
      </c>
      <c r="M8" s="405" t="inlineStr">
        <is>
          <t>Small LED Spots inc DALI</t>
        </is>
      </c>
      <c r="N8" s="892" t="n">
        <v>111.3</v>
      </c>
      <c r="O8" s="598" t="n">
        <v>105</v>
      </c>
      <c r="Q8" s="405" t="inlineStr">
        <is>
          <t>WW PODS</t>
        </is>
      </c>
      <c r="R8" s="909" t="n">
        <v>0</v>
      </c>
      <c r="S8" s="598" t="n">
        <v>0</v>
      </c>
      <c r="T8" s="1170">
        <f>R8*1.06</f>
        <v/>
      </c>
      <c r="U8" s="405" t="inlineStr">
        <is>
          <t>NOBEL</t>
        </is>
      </c>
      <c r="V8" s="909" t="n">
        <v>0</v>
      </c>
      <c r="W8" s="598" t="n">
        <v>0</v>
      </c>
      <c r="Y8" s="1170" t="inlineStr">
        <is>
          <t>UVR4S-4   1.6 M³/s</t>
        </is>
      </c>
      <c r="Z8" s="406" t="inlineStr">
        <is>
          <t>UVR4S-4</t>
        </is>
      </c>
      <c r="AA8" s="909" t="n">
        <v>2936.9208</v>
      </c>
      <c r="AB8" s="598" t="n">
        <v>2770.68</v>
      </c>
      <c r="AC8" s="395" t="n">
        <v>4</v>
      </c>
      <c r="AD8" s="406" t="inlineStr">
        <is>
          <t>S</t>
        </is>
      </c>
      <c r="AE8" s="395" t="n">
        <v>4</v>
      </c>
      <c r="AF8" s="396">
        <f>IF(AD8="S",AC8*$AD$1*AE8,AC8*$AD$3*AE8)</f>
        <v/>
      </c>
      <c r="AG8" s="397">
        <f>$AG$4&amp;AH8</f>
        <v/>
      </c>
      <c r="AH8" s="407" t="inlineStr">
        <is>
          <t>8S</t>
        </is>
      </c>
      <c r="AI8" s="397" t="n">
        <v>0.8</v>
      </c>
      <c r="AJ8" s="1051" t="n"/>
      <c r="AK8" s="408" t="inlineStr">
        <is>
          <t>CC200 / CC2001</t>
        </is>
      </c>
      <c r="AL8" s="493" t="inlineStr">
        <is>
          <t xml:space="preserve">GREASE EXTRACT CASS.+ SINGLE PLENUM BOX </t>
        </is>
      </c>
      <c r="AM8" s="909" t="n">
        <v>162.5722</v>
      </c>
      <c r="AN8" s="602" t="n">
        <v>153.37</v>
      </c>
      <c r="AO8" s="1052" t="n"/>
      <c r="AP8" s="405" t="inlineStr">
        <is>
          <t>PS02 940mm</t>
        </is>
      </c>
      <c r="AQ8" s="1175">
        <f>AR8+(POLLUSTOP!$G$40*0.94)</f>
        <v/>
      </c>
      <c r="AR8" s="916" t="n">
        <v>1111.94</v>
      </c>
      <c r="AS8" s="596" t="n">
        <v>1049</v>
      </c>
      <c r="AU8" s="408" t="inlineStr">
        <is>
          <t>RISER ISOLATORS ONLY</t>
        </is>
      </c>
      <c r="AV8" s="410" t="n">
        <v>12</v>
      </c>
      <c r="AW8" s="408" t="inlineStr">
        <is>
          <t>400X300X1200</t>
        </is>
      </c>
      <c r="AX8" s="910" t="n">
        <v>514.3226</v>
      </c>
      <c r="AY8" s="603" t="n">
        <v>485.21</v>
      </c>
    </row>
    <row r="9" ht="14.5" customHeight="1" s="1085">
      <c r="A9" s="1170" t="inlineStr">
        <is>
          <t>3M TOWER</t>
        </is>
      </c>
      <c r="B9" s="892" t="n">
        <v>275.6</v>
      </c>
      <c r="C9" s="598" t="n">
        <v>260</v>
      </c>
      <c r="E9" s="905" t="inlineStr">
        <is>
          <t>ALNWICK 342</t>
        </is>
      </c>
      <c r="F9" s="892" t="n">
        <v>1203.1</v>
      </c>
      <c r="G9" s="598" t="n">
        <v>1135</v>
      </c>
      <c r="H9" s="404" t="n"/>
      <c r="I9" s="405" t="inlineStr">
        <is>
          <t>2.5 M³/s GBDRC630 (inc INV)</t>
        </is>
      </c>
      <c r="J9" s="892" t="n">
        <v>2629.86</v>
      </c>
      <c r="K9" s="598" t="n">
        <v>2481</v>
      </c>
      <c r="M9" s="405" t="inlineStr">
        <is>
          <t>Large LED Spots inc DALI</t>
        </is>
      </c>
      <c r="N9" s="892" t="n">
        <v>121.9</v>
      </c>
      <c r="O9" s="598" t="n">
        <v>115</v>
      </c>
      <c r="Q9" s="405" t="inlineStr">
        <is>
          <t>KSA</t>
        </is>
      </c>
      <c r="R9" s="909" t="n">
        <v>46.2584</v>
      </c>
      <c r="S9" s="598" t="n">
        <v>43.64</v>
      </c>
      <c r="T9" s="1170">
        <f>R9*1.06</f>
        <v/>
      </c>
      <c r="U9" s="405" t="inlineStr">
        <is>
          <t>AMEREX</t>
        </is>
      </c>
      <c r="V9" s="909" t="n">
        <v>0</v>
      </c>
      <c r="W9" s="598" t="n">
        <v>0</v>
      </c>
      <c r="Y9" s="1170" t="inlineStr">
        <is>
          <t>UVR4S-5   2.0 M³/s</t>
        </is>
      </c>
      <c r="Z9" s="406" t="inlineStr">
        <is>
          <t>UVR4S-5</t>
        </is>
      </c>
      <c r="AA9" s="909" t="n">
        <v>3587.517</v>
      </c>
      <c r="AB9" s="598" t="n">
        <v>3384.45</v>
      </c>
      <c r="AC9" s="395" t="n">
        <v>4</v>
      </c>
      <c r="AD9" s="406" t="inlineStr">
        <is>
          <t>S</t>
        </is>
      </c>
      <c r="AE9" s="395" t="n">
        <v>5</v>
      </c>
      <c r="AF9" s="396">
        <f>IF(AD9="S",AC9*$AD$1*AE9,AC9*$AD$3*AE9)</f>
        <v/>
      </c>
      <c r="AG9" s="397">
        <f>$AG$4&amp;AH9</f>
        <v/>
      </c>
      <c r="AH9" s="407" t="inlineStr">
        <is>
          <t>6S</t>
        </is>
      </c>
      <c r="AI9" s="397" t="n">
        <v>0.6</v>
      </c>
      <c r="AJ9" s="1051" t="n"/>
      <c r="AK9" s="408" t="inlineStr">
        <is>
          <t>CC202 / CC203</t>
        </is>
      </c>
      <c r="AL9" s="493" t="inlineStr">
        <is>
          <t xml:space="preserve">COND. EXTRACT CASS. + SINGLE PLENUM BOX </t>
        </is>
      </c>
      <c r="AM9" s="909" t="n">
        <v>0</v>
      </c>
      <c r="AN9" s="602" t="n">
        <v>0</v>
      </c>
      <c r="AO9" s="1052" t="n"/>
      <c r="AP9" s="405" t="inlineStr">
        <is>
          <t>PS03 940mm</t>
        </is>
      </c>
      <c r="AQ9" s="1175">
        <f>AR9+(POLLUSTOP!$G$41*0.94)</f>
        <v/>
      </c>
      <c r="AR9" s="916" t="n">
        <v>1303.8</v>
      </c>
      <c r="AS9" s="596" t="n">
        <v>1230</v>
      </c>
      <c r="AU9" s="408" t="inlineStr">
        <is>
          <t>RISER ISOLATORS ONLY</t>
        </is>
      </c>
      <c r="AV9" s="410" t="n">
        <v>13</v>
      </c>
      <c r="AW9" s="408" t="inlineStr">
        <is>
          <t>400X300X2100</t>
        </is>
      </c>
      <c r="AX9" s="910" t="n">
        <v>660.804</v>
      </c>
      <c r="AY9" s="603" t="n">
        <v>623.4</v>
      </c>
    </row>
    <row r="10" ht="14.5" customHeight="1" s="1085">
      <c r="A10" s="1170" t="inlineStr">
        <is>
          <t>COMBI LADDER</t>
        </is>
      </c>
      <c r="B10" s="892" t="n">
        <v>86.69740000000002</v>
      </c>
      <c r="C10" s="598" t="n">
        <v>81.79000000000001</v>
      </c>
      <c r="E10" s="905" t="inlineStr">
        <is>
          <t>ANDOVER 102</t>
        </is>
      </c>
      <c r="F10" s="892" t="n">
        <v>408.1</v>
      </c>
      <c r="G10" s="598" t="n">
        <v>385</v>
      </c>
      <c r="H10" s="404" t="n"/>
      <c r="I10" s="405" t="inlineStr">
        <is>
          <t>3.0 M³/s GBDEC710 (Inc INV)</t>
        </is>
      </c>
      <c r="J10" s="892" t="n">
        <v>2799.46</v>
      </c>
      <c r="K10" s="598" t="n">
        <v>2641</v>
      </c>
      <c r="M10" s="405" t="inlineStr">
        <is>
          <t>HCL600 DALI</t>
        </is>
      </c>
      <c r="N10" s="892" t="n">
        <v>182.4896</v>
      </c>
      <c r="O10" s="598" t="n">
        <v>172.16</v>
      </c>
      <c r="Q10" s="1170" t="inlineStr">
        <is>
          <t>KSA-UV</t>
        </is>
      </c>
      <c r="R10" s="909" t="n">
        <v>73.71240000000002</v>
      </c>
      <c r="S10" s="598" t="n">
        <v>69.54000000000001</v>
      </c>
      <c r="T10" s="1170">
        <f>R10*1.06</f>
        <v/>
      </c>
      <c r="U10" s="405" t="inlineStr">
        <is>
          <t>OTHER</t>
        </is>
      </c>
      <c r="V10" s="909" t="n">
        <v>0</v>
      </c>
      <c r="W10" s="598" t="n">
        <v>0</v>
      </c>
      <c r="Y10" s="1170" t="inlineStr">
        <is>
          <t>UVR4S-6   2.4 M³/s</t>
        </is>
      </c>
      <c r="Z10" s="406" t="inlineStr">
        <is>
          <t>UVR4S-6</t>
        </is>
      </c>
      <c r="AA10" s="909" t="n">
        <v>4238.1132</v>
      </c>
      <c r="AB10" s="598" t="n">
        <v>3998.22</v>
      </c>
      <c r="AC10" s="395" t="n">
        <v>4</v>
      </c>
      <c r="AD10" s="406" t="inlineStr">
        <is>
          <t>S</t>
        </is>
      </c>
      <c r="AE10" s="395" t="n">
        <v>6</v>
      </c>
      <c r="AF10" s="396">
        <f>IF(AD10="S",AC10*$AD$1*AE10,AC10*$AD$3*AE10)</f>
        <v/>
      </c>
      <c r="AG10" s="397">
        <f>$AG$4&amp;AH10</f>
        <v/>
      </c>
      <c r="AH10" s="407" t="inlineStr">
        <is>
          <t>4S</t>
        </is>
      </c>
      <c r="AI10" s="397" t="n">
        <v>0.2</v>
      </c>
      <c r="AJ10" s="1051" t="n"/>
      <c r="AK10" s="408" t="inlineStr">
        <is>
          <t>CC300</t>
        </is>
      </c>
      <c r="AL10" s="408" t="inlineStr">
        <is>
          <t>SUPPLY AIR CASSETTE</t>
        </is>
      </c>
      <c r="AM10" s="909" t="n">
        <v>45.2832</v>
      </c>
      <c r="AN10" s="602" t="n">
        <v>42.72</v>
      </c>
      <c r="AO10" s="1052" t="n"/>
      <c r="AP10" s="405" t="inlineStr">
        <is>
          <t>PS04 940mm</t>
        </is>
      </c>
      <c r="AQ10" s="1175">
        <f>AR10+(POLLUSTOP!$G$41*0.94)</f>
        <v/>
      </c>
      <c r="AR10" s="916" t="n">
        <v>1428.88</v>
      </c>
      <c r="AS10" s="596" t="n">
        <v>1348</v>
      </c>
      <c r="AU10" s="408" t="inlineStr">
        <is>
          <t>RISER ISOLATORS ONLY</t>
        </is>
      </c>
      <c r="AV10" s="410" t="n">
        <v>13</v>
      </c>
      <c r="AW10" s="408" t="inlineStr">
        <is>
          <t>400X300X3000</t>
        </is>
      </c>
      <c r="AX10" s="910" t="n">
        <v>750.533</v>
      </c>
      <c r="AY10" s="603" t="n">
        <v>708.05</v>
      </c>
    </row>
    <row r="11" ht="14.5" customHeight="1" s="1085">
      <c r="A11" s="405" t="inlineStr">
        <is>
          <t>PECO LIFT</t>
        </is>
      </c>
      <c r="B11" s="892" t="n">
        <v>127.2</v>
      </c>
      <c r="C11" s="598" t="n">
        <v>120</v>
      </c>
      <c r="E11" s="905" t="inlineStr">
        <is>
          <t>ASHFORD 25</t>
        </is>
      </c>
      <c r="F11" s="892" t="n">
        <v>344.5</v>
      </c>
      <c r="G11" s="598" t="n">
        <v>325</v>
      </c>
      <c r="H11" s="404" t="n"/>
      <c r="M11" s="405" t="inlineStr">
        <is>
          <t>HCL1200 DALI</t>
        </is>
      </c>
      <c r="N11" s="892" t="n">
        <v>227.8894</v>
      </c>
      <c r="O11" s="598" t="n">
        <v>214.99</v>
      </c>
      <c r="Q11" s="405" t="inlineStr">
        <is>
          <t>NF</t>
        </is>
      </c>
      <c r="R11" s="909" t="n">
        <v>1.06</v>
      </c>
      <c r="S11" s="598" t="n">
        <v>1</v>
      </c>
      <c r="T11" s="1170">
        <f>R11*1.06</f>
        <v/>
      </c>
      <c r="U11" s="405" t="inlineStr">
        <is>
          <t>2 TANK SYSTEM</t>
        </is>
      </c>
      <c r="V11" s="909" t="n">
        <v>3150.49</v>
      </c>
      <c r="W11" s="598" t="n">
        <v>3150.49</v>
      </c>
      <c r="Y11" s="1170" t="inlineStr">
        <is>
          <t>UVR4S-7   2.8 M³/s</t>
        </is>
      </c>
      <c r="Z11" s="406" t="inlineStr">
        <is>
          <t>UVR4S-7</t>
        </is>
      </c>
      <c r="AA11" s="909" t="n">
        <v>4888.7094</v>
      </c>
      <c r="AB11" s="598" t="n">
        <v>4611.99</v>
      </c>
      <c r="AC11" s="395" t="n">
        <v>4</v>
      </c>
      <c r="AD11" s="406" t="inlineStr">
        <is>
          <t>S</t>
        </is>
      </c>
      <c r="AE11" s="395" t="n">
        <v>7</v>
      </c>
      <c r="AF11" s="396">
        <f>IF(AD11="S",AC11*$AD$1*AE11,AC11*$AD$3*AE11)</f>
        <v/>
      </c>
      <c r="AI11" s="397" t="n"/>
      <c r="AJ11" s="1051" t="n"/>
      <c r="AK11" s="408" t="inlineStr">
        <is>
          <t>CC301</t>
        </is>
      </c>
      <c r="AL11" s="408" t="inlineStr">
        <is>
          <t>SINGLE PLENUM BOX</t>
        </is>
      </c>
      <c r="AM11" s="909" t="n">
        <v>44.7108</v>
      </c>
      <c r="AN11" s="602" t="n">
        <v>42.18</v>
      </c>
      <c r="AO11" s="1052" t="n"/>
      <c r="AP11" s="405" t="inlineStr">
        <is>
          <t>PS05 940mm</t>
        </is>
      </c>
      <c r="AQ11" s="1175">
        <f>AR11+(POLLUSTOP!$G$42*0.94)</f>
        <v/>
      </c>
      <c r="AR11" s="916" t="n">
        <v>1592.12</v>
      </c>
      <c r="AS11" s="596" t="n">
        <v>1502</v>
      </c>
      <c r="AU11" s="408" t="inlineStr">
        <is>
          <t>RISER MECHANICAL</t>
        </is>
      </c>
      <c r="AV11" s="410" t="n">
        <v>9</v>
      </c>
      <c r="AW11" s="408" t="inlineStr">
        <is>
          <t>400X300X1200</t>
        </is>
      </c>
      <c r="AX11" s="910" t="n">
        <v>412.7004</v>
      </c>
      <c r="AY11" s="603" t="n">
        <v>389.34</v>
      </c>
    </row>
    <row r="12" ht="14.5" customHeight="1" s="1085">
      <c r="A12" s="1170" t="inlineStr">
        <is>
          <t>3M YOUNGMAN BOARD</t>
        </is>
      </c>
      <c r="B12" s="892" t="n">
        <v>60.49420000000001</v>
      </c>
      <c r="C12" s="598" t="n">
        <v>57.07</v>
      </c>
      <c r="E12" s="905" t="inlineStr">
        <is>
          <t>AYLESBURY 86</t>
        </is>
      </c>
      <c r="F12" s="892" t="n">
        <v>306.34</v>
      </c>
      <c r="G12" s="598" t="n">
        <v>289</v>
      </c>
      <c r="H12" s="404" t="n"/>
      <c r="I12" s="415" t="inlineStr">
        <is>
          <t>ATTENUATORS (EXTRACT)</t>
        </is>
      </c>
      <c r="J12" s="415" t="n"/>
      <c r="K12" s="415" t="n"/>
      <c r="M12" s="405" t="inlineStr">
        <is>
          <t>HCL1800 DALI</t>
        </is>
      </c>
      <c r="N12" s="892" t="n">
        <v>273.8722</v>
      </c>
      <c r="O12" s="598" t="n">
        <v>258.37</v>
      </c>
      <c r="Q12" s="405" t="inlineStr">
        <is>
          <t>PSU</t>
        </is>
      </c>
      <c r="R12" s="909" t="n">
        <v>112.678</v>
      </c>
      <c r="S12" s="598" t="n">
        <v>106.3</v>
      </c>
      <c r="T12" s="1170">
        <f>R12*1.06</f>
        <v/>
      </c>
      <c r="U12" s="405" t="inlineStr">
        <is>
          <t>2 TANK TRAVEL HUB</t>
        </is>
      </c>
      <c r="V12" s="909" t="n">
        <v>0</v>
      </c>
      <c r="W12" s="598" t="n">
        <v>0</v>
      </c>
      <c r="Y12" s="1170" t="inlineStr">
        <is>
          <t>UVR4S-8   3.2 M³/s</t>
        </is>
      </c>
      <c r="Z12" s="406" t="inlineStr">
        <is>
          <t>UVR4S-8</t>
        </is>
      </c>
      <c r="AA12" s="909" t="n">
        <v>5539.305600000001</v>
      </c>
      <c r="AB12" s="598" t="n">
        <v>5225.76</v>
      </c>
      <c r="AC12" s="395" t="n">
        <v>4</v>
      </c>
      <c r="AD12" s="406" t="inlineStr">
        <is>
          <t>S</t>
        </is>
      </c>
      <c r="AE12" s="395" t="n">
        <v>8</v>
      </c>
      <c r="AF12" s="396">
        <f>IF(AD12="S",AC12*$AD$1*AE12,AC12*$AD$3*AE12)</f>
        <v/>
      </c>
      <c r="AI12" s="397" t="n"/>
      <c r="AJ12" s="1051" t="n"/>
      <c r="AK12" s="408" t="inlineStr">
        <is>
          <t>CC400</t>
        </is>
      </c>
      <c r="AL12" s="408" t="inlineStr">
        <is>
          <t>PASSIVE CASSETTE</t>
        </is>
      </c>
      <c r="AM12" s="909" t="n">
        <v>17.7444</v>
      </c>
      <c r="AN12" s="602" t="n">
        <v>16.74</v>
      </c>
      <c r="AO12" s="1052" t="n"/>
      <c r="AP12" s="405" t="inlineStr">
        <is>
          <t>PS06 940mm</t>
        </is>
      </c>
      <c r="AQ12" s="1175">
        <f>AR12+(POLLUSTOP!$G$42*0.94)</f>
        <v/>
      </c>
      <c r="AR12" s="916" t="n">
        <v>1699.18</v>
      </c>
      <c r="AS12" s="596" t="n">
        <v>1603</v>
      </c>
      <c r="AU12" s="408" t="inlineStr">
        <is>
          <t>RISER MECHANICAL</t>
        </is>
      </c>
      <c r="AV12" s="410" t="n">
        <v>10</v>
      </c>
      <c r="AW12" s="408" t="inlineStr">
        <is>
          <t>400X300X2100</t>
        </is>
      </c>
      <c r="AX12" s="910" t="n">
        <v>535.6816</v>
      </c>
      <c r="AY12" s="603" t="n">
        <v>505.36</v>
      </c>
    </row>
    <row r="13" ht="14.5" customHeight="1" s="1085">
      <c r="A13" s="1170" t="inlineStr">
        <is>
          <t>GS1930 SCISSOR LIFT</t>
        </is>
      </c>
      <c r="B13" s="892" t="n">
        <v>566.7714000000001</v>
      </c>
      <c r="C13" s="598" t="n">
        <v>534.6900000000001</v>
      </c>
      <c r="E13" s="905" t="inlineStr">
        <is>
          <t>BANBURY 128</t>
        </is>
      </c>
      <c r="F13" s="892" t="n">
        <v>434.6</v>
      </c>
      <c r="G13" s="598" t="n">
        <v>410</v>
      </c>
      <c r="H13" s="404" t="n"/>
      <c r="I13" s="1170" t="inlineStr">
        <is>
          <t>SMB500</t>
        </is>
      </c>
      <c r="J13" s="892" t="n">
        <v>429.3</v>
      </c>
      <c r="K13" s="598" t="n">
        <v>405</v>
      </c>
      <c r="N13" s="792" t="n"/>
      <c r="O13" s="598" t="n"/>
      <c r="Q13" s="405" t="inlineStr">
        <is>
          <t>J BOX</t>
        </is>
      </c>
      <c r="R13" s="916" t="n">
        <v>25.334</v>
      </c>
      <c r="S13" s="1175" t="n">
        <v>23.9</v>
      </c>
      <c r="T13" s="1170">
        <f>R13*1.06</f>
        <v/>
      </c>
      <c r="U13" s="405" t="inlineStr">
        <is>
          <t>2 TANK DISTANCE</t>
        </is>
      </c>
      <c r="V13" s="909" t="n">
        <v>3150.49</v>
      </c>
      <c r="W13" s="598" t="n">
        <v>3150.49</v>
      </c>
      <c r="Y13" s="1170" t="inlineStr">
        <is>
          <t>UVR4S-9   3.6 M³/s</t>
        </is>
      </c>
      <c r="Z13" s="406" t="inlineStr">
        <is>
          <t>UVR4S-9</t>
        </is>
      </c>
      <c r="AA13" s="909" t="n">
        <v>6189.9018</v>
      </c>
      <c r="AB13" s="598" t="n">
        <v>5839.53</v>
      </c>
      <c r="AC13" s="395" t="n">
        <v>4</v>
      </c>
      <c r="AD13" s="406" t="inlineStr">
        <is>
          <t>S</t>
        </is>
      </c>
      <c r="AE13" s="395" t="n">
        <v>9</v>
      </c>
      <c r="AF13" s="396">
        <f>IF(AD13="S",AC13*$AD$1*AE13,AC13*$AD$3*AE13)</f>
        <v/>
      </c>
      <c r="AI13" s="397" t="n"/>
      <c r="AJ13" s="1051" t="n"/>
      <c r="AK13" s="408" t="inlineStr">
        <is>
          <t>CC500</t>
        </is>
      </c>
      <c r="AL13" s="493" t="inlineStr">
        <is>
          <t>TEGRA 4000K DALI</t>
        </is>
      </c>
      <c r="AM13" s="909" t="n">
        <v>198.22</v>
      </c>
      <c r="AN13" s="602" t="n">
        <v>187</v>
      </c>
      <c r="AO13" s="1052" t="n"/>
      <c r="AP13" s="405" t="inlineStr">
        <is>
          <t>PS07 940mm</t>
        </is>
      </c>
      <c r="AQ13" s="1175">
        <f>AR13+(POLLUSTOP!$G$43*0.94)</f>
        <v/>
      </c>
      <c r="AR13" s="916" t="n">
        <v>1889.98</v>
      </c>
      <c r="AS13" s="596" t="n">
        <v>1783</v>
      </c>
      <c r="AU13" s="408" t="inlineStr">
        <is>
          <t>RISER MECHANICAL</t>
        </is>
      </c>
      <c r="AV13" s="410" t="n">
        <v>10</v>
      </c>
      <c r="AW13" s="408" t="inlineStr">
        <is>
          <t>400X300X3000</t>
        </is>
      </c>
      <c r="AX13" s="910" t="n">
        <v>625.4</v>
      </c>
      <c r="AY13" s="603" t="n">
        <v>590</v>
      </c>
      <c r="BB13" s="826" t="n"/>
      <c r="BD13" s="405" t="n"/>
      <c r="BF13" s="1139" t="n"/>
      <c r="BJ13" s="1129" t="n"/>
      <c r="BK13" s="1129" t="n"/>
      <c r="BL13" s="1139" t="n"/>
      <c r="BP13" s="1129" t="n"/>
      <c r="BQ13" s="405" t="n"/>
    </row>
    <row r="14" ht="14.5" customHeight="1" s="1085">
      <c r="A14" s="405" t="inlineStr">
        <is>
          <t>4-6 SHERASCOPIC</t>
        </is>
      </c>
      <c r="B14" s="892" t="n">
        <v>92.4426</v>
      </c>
      <c r="C14" s="598" t="n">
        <v>87.20999999999999</v>
      </c>
      <c r="E14" s="905" t="inlineStr">
        <is>
          <t>BANGOR 324</t>
        </is>
      </c>
      <c r="F14" s="892" t="n">
        <v>1203.1</v>
      </c>
      <c r="G14" s="598" t="n">
        <v>1135</v>
      </c>
      <c r="H14" s="404" t="n"/>
      <c r="I14" s="1170" t="inlineStr">
        <is>
          <t>SMB550</t>
        </is>
      </c>
      <c r="J14" s="892" t="n">
        <v>430.36</v>
      </c>
      <c r="K14" s="598" t="n">
        <v>406</v>
      </c>
      <c r="N14" s="792" t="n"/>
      <c r="O14" s="598" t="n"/>
      <c r="S14" s="1175" t="n"/>
      <c r="U14" s="405" t="inlineStr">
        <is>
          <t>NOBEL</t>
        </is>
      </c>
      <c r="V14" s="909" t="n"/>
      <c r="W14" s="598" t="n"/>
      <c r="Y14" s="1170" t="inlineStr">
        <is>
          <t>UVR4S-10  4.0 M³/s</t>
        </is>
      </c>
      <c r="Z14" s="406" t="inlineStr">
        <is>
          <t>UVR4S-10</t>
        </is>
      </c>
      <c r="AA14" s="909" t="n">
        <v>6840.498000000001</v>
      </c>
      <c r="AB14" s="598" t="n">
        <v>6453.3</v>
      </c>
      <c r="AC14" s="395" t="n">
        <v>4</v>
      </c>
      <c r="AD14" s="406" t="inlineStr">
        <is>
          <t>S</t>
        </is>
      </c>
      <c r="AE14" s="395" t="n">
        <v>10</v>
      </c>
      <c r="AF14" s="396">
        <f>IF(AD14="S",AC14*$AD$1*AE14,AC14*$AD$3*AE14)</f>
        <v/>
      </c>
      <c r="AI14" s="397" t="n"/>
      <c r="AJ14" s="1051" t="n"/>
      <c r="AK14" s="408" t="inlineStr">
        <is>
          <t>CC501</t>
        </is>
      </c>
      <c r="AL14" s="493" t="inlineStr">
        <is>
          <t>TEGRA 4000K DALI 3HRS DALI  ECT</t>
        </is>
      </c>
      <c r="AM14" s="909" t="n">
        <v>267.12</v>
      </c>
      <c r="AN14" s="602" t="n">
        <v>252</v>
      </c>
      <c r="AO14" s="1052" t="n"/>
      <c r="AP14" s="405" t="inlineStr">
        <is>
          <t>PS08 940mm</t>
        </is>
      </c>
      <c r="AQ14" s="1175">
        <f>AR14+(POLLUSTOP!$G$43*0.94)</f>
        <v/>
      </c>
      <c r="AR14" s="916" t="n">
        <v>2002.34</v>
      </c>
      <c r="AS14" s="596" t="n">
        <v>1889</v>
      </c>
      <c r="AU14" s="408" t="inlineStr">
        <is>
          <t>RISER COMBINED M&amp;E</t>
        </is>
      </c>
      <c r="AV14" s="410" t="n">
        <v>12</v>
      </c>
      <c r="AW14" s="493" t="inlineStr">
        <is>
          <t>1250X300X1200</t>
        </is>
      </c>
      <c r="AX14" s="910" t="n">
        <v>877.4044</v>
      </c>
      <c r="AY14" s="603" t="n">
        <v>827.74</v>
      </c>
      <c r="BC14" s="1133" t="n"/>
      <c r="BD14" s="1133" t="n"/>
      <c r="BE14" s="1133" t="n"/>
    </row>
    <row r="15" ht="14.5" customHeight="1" s="1085">
      <c r="A15" s="1170" t="inlineStr">
        <is>
          <t>7-9 SHERASCOPIC</t>
        </is>
      </c>
      <c r="B15" s="892" t="n">
        <v>123.702</v>
      </c>
      <c r="C15" s="598" t="n">
        <v>116.7</v>
      </c>
      <c r="E15" s="905" t="inlineStr">
        <is>
          <t>BARKING 32</t>
        </is>
      </c>
      <c r="F15" s="892" t="n">
        <v>344.5</v>
      </c>
      <c r="G15" s="598" t="n">
        <v>325</v>
      </c>
      <c r="H15" s="404" t="n"/>
      <c r="I15" s="1170" t="inlineStr">
        <is>
          <t>SMB650</t>
        </is>
      </c>
      <c r="J15" s="892" t="n">
        <v>327.54</v>
      </c>
      <c r="K15" s="598" t="n">
        <v>309</v>
      </c>
      <c r="M15" s="1170" t="inlineStr">
        <is>
          <t>LM6 - up to 1200mm</t>
        </is>
      </c>
      <c r="N15" s="1175" t="n">
        <v>0</v>
      </c>
      <c r="Q15" s="415" t="inlineStr">
        <is>
          <t>SELECT DIAMETER</t>
        </is>
      </c>
      <c r="R15" s="415" t="n">
        <v>0</v>
      </c>
      <c r="S15" s="415" t="n">
        <v>0</v>
      </c>
      <c r="U15" s="405" t="inlineStr">
        <is>
          <t>AMEREX</t>
        </is>
      </c>
      <c r="V15" s="909" t="n"/>
      <c r="W15" s="598" t="n"/>
      <c r="Y15" s="1170" t="inlineStr">
        <is>
          <t>UVR4S-11  4.4 M³/s</t>
        </is>
      </c>
      <c r="Z15" s="406" t="inlineStr">
        <is>
          <t>UVR4S-11</t>
        </is>
      </c>
      <c r="AA15" s="909" t="n">
        <v>7491.0942</v>
      </c>
      <c r="AB15" s="598" t="n">
        <v>7067.07</v>
      </c>
      <c r="AC15" s="395" t="n">
        <v>4</v>
      </c>
      <c r="AD15" s="406" t="inlineStr">
        <is>
          <t>S</t>
        </is>
      </c>
      <c r="AE15" s="395" t="n">
        <v>11</v>
      </c>
      <c r="AF15" s="396">
        <f>IF(AD15="S",AC15*$AD$1*AE15,AC15*$AD$3*AE15)</f>
        <v/>
      </c>
      <c r="AI15" s="397" t="n"/>
      <c r="AJ15" s="1051" t="n"/>
      <c r="AK15" s="409" t="n"/>
      <c r="AL15" s="405" t="inlineStr">
        <is>
          <t>Large LED Spots inc DALI</t>
        </is>
      </c>
      <c r="AM15" s="909" t="n">
        <v>119.78</v>
      </c>
      <c r="AN15" s="602" t="n">
        <v>113</v>
      </c>
      <c r="AO15" s="1052" t="n"/>
      <c r="AP15" s="405" t="inlineStr">
        <is>
          <t>PS09 940mm</t>
        </is>
      </c>
      <c r="AQ15" s="1175">
        <f>AR15+(POLLUSTOP!$G$43*0.94)</f>
        <v/>
      </c>
      <c r="AR15" s="916" t="n">
        <v>2297.02</v>
      </c>
      <c r="AS15" s="596" t="n">
        <v>2167</v>
      </c>
      <c r="AU15" s="408" t="inlineStr">
        <is>
          <t>RISER COMBINED M&amp;E</t>
        </is>
      </c>
      <c r="AV15" s="410" t="n">
        <v>13</v>
      </c>
      <c r="AW15" s="493" t="inlineStr">
        <is>
          <t>1250X300X2100</t>
        </is>
      </c>
      <c r="AX15" s="910" t="n">
        <v>1061.6218</v>
      </c>
      <c r="AY15" s="603" t="n">
        <v>1001.53</v>
      </c>
      <c r="BB15" s="823" t="n"/>
      <c r="BC15" s="823" t="n"/>
      <c r="BD15" s="819" t="n"/>
      <c r="BE15" s="1133" t="n"/>
      <c r="BF15" s="1128" t="n"/>
      <c r="BG15" s="1128" t="n"/>
      <c r="BH15" s="1128" t="n"/>
      <c r="BI15" s="1128" t="n"/>
      <c r="BJ15" s="819" t="n"/>
      <c r="BK15" s="1129" t="n"/>
      <c r="BL15" s="1128" t="n"/>
      <c r="BM15" s="1128" t="n"/>
      <c r="BN15" s="1128" t="n"/>
      <c r="BO15" s="1128" t="n"/>
      <c r="BP15" s="819" t="n"/>
    </row>
    <row r="16" ht="14.5" customHeight="1" s="1085">
      <c r="A16" s="405" t="inlineStr">
        <is>
          <t>2.5% TOTAL CONTRACT VALUE</t>
        </is>
      </c>
      <c r="B16" s="892" t="n">
        <v>0</v>
      </c>
      <c r="C16" s="598" t="n">
        <v>0</v>
      </c>
      <c r="E16" s="905" t="inlineStr">
        <is>
          <t>BARNET 55</t>
        </is>
      </c>
      <c r="F16" s="892" t="n">
        <v>376.3</v>
      </c>
      <c r="G16" s="598" t="n">
        <v>355</v>
      </c>
      <c r="H16" s="404" t="n"/>
      <c r="I16" s="1170" t="inlineStr">
        <is>
          <t>SMB700</t>
        </is>
      </c>
      <c r="J16" s="892" t="n">
        <v>604.2</v>
      </c>
      <c r="K16" s="598" t="n">
        <v>570</v>
      </c>
      <c r="M16" s="1170" t="inlineStr">
        <is>
          <t>LM12 - 1200 - 2500mm</t>
        </is>
      </c>
      <c r="N16" s="1175" t="n">
        <v>0</v>
      </c>
      <c r="Q16" s="1170" t="inlineStr">
        <is>
          <t>1000 DIAMETER</t>
        </is>
      </c>
      <c r="R16" s="892" t="n">
        <v>1023.96</v>
      </c>
      <c r="S16" s="598" t="n">
        <v>966</v>
      </c>
      <c r="T16" s="1170">
        <f>R16*1.06</f>
        <v/>
      </c>
      <c r="U16" s="405" t="inlineStr">
        <is>
          <t>OTHER</t>
        </is>
      </c>
      <c r="V16" s="909" t="n"/>
      <c r="W16" s="598" t="n"/>
      <c r="Y16" s="1170" t="inlineStr">
        <is>
          <t>UVR4S-12  4.8 M³/s</t>
        </is>
      </c>
      <c r="Z16" s="406" t="inlineStr">
        <is>
          <t>UVR4S-12</t>
        </is>
      </c>
      <c r="AA16" s="909" t="n">
        <v>8141.6904</v>
      </c>
      <c r="AB16" s="598" t="n">
        <v>7680.84</v>
      </c>
      <c r="AC16" s="395" t="n">
        <v>4</v>
      </c>
      <c r="AD16" s="406" t="inlineStr">
        <is>
          <t>S</t>
        </is>
      </c>
      <c r="AE16" s="395" t="n">
        <v>12</v>
      </c>
      <c r="AF16" s="396">
        <f>IF(AD16="S",AC16*$AD$1*AE16,AC16*$AD$3*AE16)</f>
        <v/>
      </c>
      <c r="AG16" s="397" t="n"/>
      <c r="AH16" s="397" t="n"/>
      <c r="AI16" s="397" t="n"/>
      <c r="AJ16" s="1051" t="n"/>
      <c r="AK16" s="409" t="inlineStr">
        <is>
          <t>PRISONS</t>
        </is>
      </c>
      <c r="AL16" s="408" t="inlineStr">
        <is>
          <t>SECURITY FIXINGS PER TILE</t>
        </is>
      </c>
      <c r="AM16" s="909" t="n">
        <v>5.4484</v>
      </c>
      <c r="AN16" s="602" t="n">
        <v>5.14</v>
      </c>
      <c r="AO16" s="1052" t="n"/>
      <c r="AP16" s="405" t="inlineStr">
        <is>
          <t>PS10 940mm</t>
        </is>
      </c>
      <c r="AQ16" s="1175">
        <f>AR16+(POLLUSTOP!$G$44*0.94)</f>
        <v/>
      </c>
      <c r="AR16" s="916" t="n">
        <v>2603.36</v>
      </c>
      <c r="AS16" s="596" t="n">
        <v>2456</v>
      </c>
      <c r="AU16" s="408" t="inlineStr">
        <is>
          <t>RISER COMBINED M&amp;E</t>
        </is>
      </c>
      <c r="AV16" s="410" t="n">
        <v>13</v>
      </c>
      <c r="AW16" s="493" t="inlineStr">
        <is>
          <t>1250X300X3000</t>
        </is>
      </c>
      <c r="AX16" s="910" t="n">
        <v>1326.2084</v>
      </c>
      <c r="AY16" s="603" t="n">
        <v>1251.14</v>
      </c>
      <c r="BB16" s="823" t="n"/>
      <c r="BC16" s="823" t="n"/>
      <c r="BD16" s="819" t="n"/>
      <c r="BE16" s="1133" t="n"/>
      <c r="BF16" s="1128" t="n"/>
      <c r="BG16" s="1128" t="n"/>
      <c r="BH16" s="1128" t="n"/>
      <c r="BI16" s="1128" t="n"/>
      <c r="BJ16" s="819" t="n"/>
      <c r="BK16" s="1129" t="n"/>
      <c r="BL16" s="1128" t="n"/>
      <c r="BM16" s="1128" t="n"/>
      <c r="BN16" s="1128" t="n"/>
      <c r="BO16" s="1128" t="n"/>
      <c r="BP16" s="819" t="n"/>
    </row>
    <row r="17" ht="14.5" customHeight="1" s="1085">
      <c r="A17" s="405" t="n"/>
      <c r="B17" s="892" t="n"/>
      <c r="C17" s="598" t="n"/>
      <c r="E17" s="905" t="n"/>
      <c r="F17" s="892" t="n"/>
      <c r="G17" s="598" t="n"/>
      <c r="H17" s="404" t="n"/>
      <c r="J17" s="889" t="n"/>
      <c r="K17" s="598" t="n"/>
      <c r="R17" s="892" t="n"/>
      <c r="S17" s="598" t="n"/>
      <c r="U17" s="405" t="n"/>
      <c r="V17" s="909" t="n"/>
      <c r="W17" s="598" t="n"/>
      <c r="Z17" s="406" t="n"/>
      <c r="AA17" s="909" t="n"/>
      <c r="AB17" s="598" t="n"/>
      <c r="AD17" s="406" t="n"/>
      <c r="AG17" s="397" t="n"/>
      <c r="AH17" s="397" t="n"/>
      <c r="AI17" s="397" t="n"/>
      <c r="AJ17" s="1051" t="n"/>
      <c r="AK17" s="409" t="n"/>
      <c r="AL17" s="408" t="n"/>
      <c r="AM17" s="909" t="n">
        <v>0</v>
      </c>
      <c r="AN17" s="602" t="n"/>
      <c r="AO17" s="1052" t="n"/>
      <c r="AP17" s="405" t="n"/>
      <c r="AR17" s="916" t="n"/>
      <c r="AS17" s="916" t="n"/>
      <c r="AU17" s="493" t="inlineStr">
        <is>
          <t>BIM/REVIT</t>
        </is>
      </c>
      <c r="AV17" s="410" t="n">
        <v>1</v>
      </c>
      <c r="AW17" s="493" t="inlineStr">
        <is>
          <t>DESIGN</t>
        </is>
      </c>
      <c r="AX17" s="910" t="n">
        <v>53</v>
      </c>
      <c r="AY17" s="603" t="n">
        <v>50</v>
      </c>
      <c r="BB17" s="823" t="n"/>
      <c r="BC17" s="823" t="n"/>
      <c r="BD17" s="819" t="n"/>
      <c r="BE17" s="1133" t="n"/>
      <c r="BF17" s="1128" t="n"/>
      <c r="BG17" s="1128" t="n"/>
      <c r="BH17" s="1128" t="n"/>
      <c r="BI17" s="1128" t="n"/>
      <c r="BJ17" s="819" t="n"/>
      <c r="BK17" s="1129" t="n"/>
      <c r="BL17" s="1128" t="n"/>
      <c r="BM17" s="1128" t="n"/>
      <c r="BN17" s="1128" t="n"/>
      <c r="BO17" s="1128" t="n"/>
      <c r="BP17" s="819" t="n"/>
    </row>
    <row r="18" ht="14.5" customHeight="1" s="1085">
      <c r="E18" s="905" t="inlineStr">
        <is>
          <t>BARNSLEY 209</t>
        </is>
      </c>
      <c r="F18" s="892" t="n">
        <v>858.6</v>
      </c>
      <c r="G18" s="598" t="n">
        <v>810</v>
      </c>
      <c r="H18" s="404" t="n"/>
      <c r="M18" s="1170" t="inlineStr">
        <is>
          <t>LM18 - 2500 - 3000mm</t>
        </is>
      </c>
      <c r="N18" s="1175" t="n">
        <v>0</v>
      </c>
      <c r="Q18" s="1170" t="inlineStr">
        <is>
          <t>1250MM DIAMETER</t>
        </is>
      </c>
      <c r="R18" s="892" t="n">
        <v>1214.76</v>
      </c>
      <c r="S18" s="598" t="n">
        <v>1146</v>
      </c>
      <c r="T18" s="1170">
        <f>R18*1.06</f>
        <v/>
      </c>
      <c r="U18" s="405" t="inlineStr">
        <is>
          <t>3 TANK SYSTEM</t>
        </is>
      </c>
      <c r="V18" s="909" t="n">
        <v>4162.85</v>
      </c>
      <c r="W18" s="598" t="n">
        <v>4162.85</v>
      </c>
      <c r="Y18" s="1170" t="inlineStr">
        <is>
          <t>UVR4L-1   0.8 M³/s</t>
        </is>
      </c>
      <c r="Z18" s="406" t="inlineStr">
        <is>
          <t>UVR4L-1</t>
        </is>
      </c>
      <c r="AA18" s="909" t="n">
        <v>1022.6562</v>
      </c>
      <c r="AB18" s="598" t="n">
        <v>964.77</v>
      </c>
      <c r="AC18" s="395" t="n">
        <v>4</v>
      </c>
      <c r="AD18" s="406" t="inlineStr">
        <is>
          <t>L</t>
        </is>
      </c>
      <c r="AE18" s="395" t="n">
        <v>1</v>
      </c>
      <c r="AF18" s="396">
        <f>IF(AD18="S",AC18*#REF!*AE18,AC18*$AD$3*AE18)</f>
        <v/>
      </c>
      <c r="AG18" s="397" t="n"/>
      <c r="AH18" s="402" t="n"/>
      <c r="AJ18" s="1051" t="n"/>
      <c r="AK18" s="409" t="inlineStr">
        <is>
          <t>PRISONS</t>
        </is>
      </c>
      <c r="AL18" s="408" t="inlineStr">
        <is>
          <t>SECURITY MULLION (3M)</t>
        </is>
      </c>
      <c r="AM18" s="909" t="n">
        <v>27.2208</v>
      </c>
      <c r="AN18" s="602" t="n">
        <v>25.68</v>
      </c>
      <c r="AO18" s="1052" t="n"/>
      <c r="AP18" s="405" t="n"/>
      <c r="AU18" s="408" t="inlineStr">
        <is>
          <t>RACEWAY</t>
        </is>
      </c>
      <c r="AV18" s="410" t="n">
        <v>12</v>
      </c>
      <c r="AW18" s="408" t="inlineStr">
        <is>
          <t>0-1100MM</t>
        </is>
      </c>
      <c r="AX18" s="910" t="n">
        <v>476.9576</v>
      </c>
      <c r="AY18" s="603" t="n">
        <v>449.96</v>
      </c>
      <c r="BB18" s="823" t="n"/>
      <c r="BC18" s="823" t="n"/>
      <c r="BD18" s="819" t="n"/>
      <c r="BE18" s="1133" t="n"/>
      <c r="BF18" s="1128" t="n"/>
      <c r="BG18" s="1128" t="n"/>
      <c r="BH18" s="1128" t="n"/>
      <c r="BI18" s="1128" t="n"/>
      <c r="BJ18" s="819" t="n"/>
      <c r="BK18" s="1129" t="n"/>
      <c r="BL18" s="1128" t="n"/>
      <c r="BM18" s="1128" t="n"/>
      <c r="BN18" s="1128" t="n"/>
      <c r="BO18" s="1128" t="n"/>
      <c r="BP18" s="819" t="n"/>
    </row>
    <row r="19" ht="14.5" customHeight="1" s="1085">
      <c r="A19" s="417" t="inlineStr">
        <is>
          <t>SELECT CLADDING</t>
        </is>
      </c>
      <c r="B19" s="417" t="n"/>
      <c r="C19" s="417" t="n"/>
      <c r="E19" s="905" t="inlineStr">
        <is>
          <t>BARNSTABLE 227</t>
        </is>
      </c>
      <c r="F19" s="892" t="n">
        <v>633.88</v>
      </c>
      <c r="G19" s="598" t="n">
        <v>598</v>
      </c>
      <c r="H19" s="404" t="n"/>
      <c r="I19" s="415" t="inlineStr">
        <is>
          <t>CONTROLS</t>
        </is>
      </c>
      <c r="J19" s="415" t="n"/>
      <c r="K19" s="415" t="n"/>
      <c r="M19" s="405" t="inlineStr">
        <is>
          <t>LED STRIP L6EM</t>
        </is>
      </c>
      <c r="N19" s="1175" t="n">
        <v>0</v>
      </c>
      <c r="Q19" s="1170" t="inlineStr">
        <is>
          <t>1500MM DIAMETER</t>
        </is>
      </c>
      <c r="R19" s="892" t="n">
        <v>1444.78</v>
      </c>
      <c r="S19" s="598" t="n">
        <v>1363</v>
      </c>
      <c r="T19" s="1170">
        <f>R19*1.06</f>
        <v/>
      </c>
      <c r="U19" s="405" t="inlineStr">
        <is>
          <t>3 TANK TRAVEL HUB</t>
        </is>
      </c>
      <c r="V19" s="909" t="n">
        <v>0</v>
      </c>
      <c r="W19" s="598" t="n">
        <v>0</v>
      </c>
      <c r="Y19" s="1170" t="inlineStr">
        <is>
          <t>UVR4L-2   1.6 M³/s</t>
        </is>
      </c>
      <c r="Z19" s="406" t="inlineStr">
        <is>
          <t>UVR4L-2</t>
        </is>
      </c>
      <c r="AA19" s="909" t="n">
        <v>1710.7764</v>
      </c>
      <c r="AB19" s="598" t="n">
        <v>1613.94</v>
      </c>
      <c r="AC19" s="395" t="n">
        <v>4</v>
      </c>
      <c r="AD19" s="406" t="inlineStr">
        <is>
          <t>L</t>
        </is>
      </c>
      <c r="AE19" s="395" t="n">
        <v>2</v>
      </c>
      <c r="AF19" s="396">
        <f>IF(AD19="S",AC19*#REF!*AE19,AC19*$AD$3*AE19)</f>
        <v/>
      </c>
      <c r="AJ19" s="1051" t="n"/>
      <c r="AK19" s="408" t="n"/>
      <c r="AL19" s="408" t="inlineStr">
        <is>
          <t>PAINTED TILES PER  METRE</t>
        </is>
      </c>
      <c r="AM19" s="909" t="n">
        <v>0</v>
      </c>
      <c r="AN19" s="602" t="n">
        <v>0</v>
      </c>
      <c r="AO19" s="1052" t="n"/>
      <c r="AP19" s="423" t="inlineStr">
        <is>
          <t>PANEL / UV-C</t>
        </is>
      </c>
      <c r="AQ19" s="417" t="n"/>
      <c r="AR19" s="417" t="n"/>
      <c r="AS19" s="417" t="n"/>
      <c r="AU19" s="408" t="inlineStr">
        <is>
          <t>RACEWAY</t>
        </is>
      </c>
      <c r="AV19" s="410" t="n">
        <v>14</v>
      </c>
      <c r="AW19" s="408" t="inlineStr">
        <is>
          <t>1101MM-2300MM</t>
        </is>
      </c>
      <c r="AX19" s="910" t="n">
        <v>633.6256000000001</v>
      </c>
      <c r="AY19" s="603" t="n">
        <v>597.76</v>
      </c>
      <c r="BB19" s="823" t="n"/>
      <c r="BC19" s="823" t="n"/>
      <c r="BD19" s="819" t="n"/>
      <c r="BE19" s="1133" t="n"/>
      <c r="BF19" s="1128" t="n"/>
      <c r="BG19" s="1128" t="n"/>
      <c r="BH19" s="1128" t="n"/>
      <c r="BI19" s="1128" t="n"/>
      <c r="BJ19" s="819" t="n"/>
      <c r="BK19" s="1129" t="n"/>
      <c r="BL19" s="1128" t="n"/>
      <c r="BM19" s="1128" t="n"/>
      <c r="BN19" s="1128" t="n"/>
      <c r="BO19" s="1128" t="n"/>
      <c r="BP19" s="819" t="n"/>
    </row>
    <row r="20" ht="14.5" customHeight="1" s="1085">
      <c r="A20" s="405" t="inlineStr">
        <is>
          <t>2M² (HFL)</t>
        </is>
      </c>
      <c r="B20" s="892" t="n">
        <v>133.56</v>
      </c>
      <c r="C20" s="598" t="n">
        <v>126</v>
      </c>
      <c r="E20" s="905" t="inlineStr">
        <is>
          <t>BARROW-IN-FURNESS 348</t>
        </is>
      </c>
      <c r="F20" s="892" t="n">
        <v>1203.1</v>
      </c>
      <c r="G20" s="598" t="n">
        <v>1135</v>
      </c>
      <c r="H20" s="404" t="n"/>
      <c r="I20" s="405" t="inlineStr">
        <is>
          <t>5.5KW DANFOSS INV IP21</t>
        </is>
      </c>
      <c r="J20" s="892" t="n">
        <v>354.3474000000001</v>
      </c>
      <c r="K20" s="598" t="n">
        <v>334.29</v>
      </c>
      <c r="M20" s="405" t="inlineStr">
        <is>
          <t>LED STRIP L12EM</t>
        </is>
      </c>
      <c r="N20" s="1175" t="n">
        <v>0</v>
      </c>
      <c r="Q20" s="1170" t="inlineStr">
        <is>
          <t>2000MM DIAMETER</t>
        </is>
      </c>
      <c r="R20" s="892" t="n">
        <v>1585.76</v>
      </c>
      <c r="S20" s="598" t="n">
        <v>1496</v>
      </c>
      <c r="T20" s="1170">
        <f>R20*1.06</f>
        <v/>
      </c>
      <c r="U20" s="405" t="inlineStr">
        <is>
          <t>3 TANK DISTANCE</t>
        </is>
      </c>
      <c r="V20" s="909" t="n">
        <v>4162.85</v>
      </c>
      <c r="W20" s="598" t="n">
        <v>4162.85</v>
      </c>
      <c r="Y20" s="1170" t="inlineStr">
        <is>
          <t>UVR4L-3   2.4 M³/s</t>
        </is>
      </c>
      <c r="Z20" s="406" t="inlineStr">
        <is>
          <t>UVR4L-3</t>
        </is>
      </c>
      <c r="AA20" s="909" t="n">
        <v>2398.8966</v>
      </c>
      <c r="AB20" s="598" t="n">
        <v>2263.11</v>
      </c>
      <c r="AC20" s="395" t="n">
        <v>4</v>
      </c>
      <c r="AD20" s="406" t="inlineStr">
        <is>
          <t>L</t>
        </is>
      </c>
      <c r="AE20" s="395" t="n">
        <v>3</v>
      </c>
      <c r="AF20" s="396">
        <f>IF(AD20="S",AC20*#REF!*AE20,AC20*$AD$3*AE20)</f>
        <v/>
      </c>
      <c r="AJ20" s="1051" t="n"/>
      <c r="AK20" s="493" t="inlineStr">
        <is>
          <t>CAPTUREJET</t>
        </is>
      </c>
      <c r="AL20" s="493" t="inlineStr">
        <is>
          <t>CAPTURE JET PLENUM (PER METRE)</t>
        </is>
      </c>
      <c r="AM20" s="909" t="n">
        <v>262.032</v>
      </c>
      <c r="AN20" s="602" t="n">
        <v>247.2</v>
      </c>
      <c r="AO20" s="1052" t="n"/>
      <c r="AP20" s="405" t="inlineStr">
        <is>
          <t>Size</t>
        </is>
      </c>
      <c r="AQ20" s="1175" t="n">
        <v>0</v>
      </c>
      <c r="AR20" s="832" t="n"/>
      <c r="AS20" s="832" t="n"/>
      <c r="AU20" s="408" t="inlineStr">
        <is>
          <t>RACEWAY</t>
        </is>
      </c>
      <c r="AV20" s="410" t="n">
        <v>16</v>
      </c>
      <c r="AW20" s="408" t="inlineStr">
        <is>
          <t>2301MM-3000MM</t>
        </is>
      </c>
      <c r="AX20" s="910" t="n">
        <v>734.6436</v>
      </c>
      <c r="AY20" s="603" t="n">
        <v>693.0599999999999</v>
      </c>
      <c r="BB20" s="823" t="n"/>
      <c r="BC20" s="823" t="n"/>
      <c r="BD20" s="819" t="n"/>
      <c r="BE20" s="1133" t="n"/>
      <c r="BF20" s="1128" t="n"/>
      <c r="BG20" s="1128" t="n"/>
      <c r="BH20" s="1128" t="n"/>
      <c r="BI20" s="1128" t="n"/>
      <c r="BJ20" s="819" t="n"/>
      <c r="BK20" s="1129" t="n"/>
      <c r="BL20" s="1128" t="n"/>
      <c r="BM20" s="1128" t="n"/>
      <c r="BN20" s="1128" t="n"/>
      <c r="BO20" s="1128" t="n"/>
      <c r="BP20" s="819" t="n"/>
    </row>
    <row r="21" ht="14.5" customHeight="1" s="1085">
      <c r="A21" s="405" t="n"/>
      <c r="E21" s="905" t="inlineStr">
        <is>
          <t>BASILDON 38</t>
        </is>
      </c>
      <c r="F21" s="892" t="n">
        <v>344.5</v>
      </c>
      <c r="G21" s="598" t="n">
        <v>325</v>
      </c>
      <c r="H21" s="404" t="n"/>
      <c r="I21" s="405" t="inlineStr">
        <is>
          <t>7.5KW DANFOSS INV IP21</t>
        </is>
      </c>
      <c r="J21" s="892" t="n">
        <v>395.3588</v>
      </c>
      <c r="K21" s="598" t="n">
        <v>372.98</v>
      </c>
      <c r="M21" s="405" t="inlineStr">
        <is>
          <t>LED STRIP L18EM</t>
        </is>
      </c>
      <c r="N21" s="1175" t="n">
        <v>0</v>
      </c>
      <c r="S21" s="1175" t="n"/>
      <c r="U21" s="405" t="inlineStr">
        <is>
          <t>NOBEL</t>
        </is>
      </c>
      <c r="V21" s="909" t="n"/>
      <c r="W21" s="598" t="n"/>
      <c r="Y21" s="1170" t="inlineStr">
        <is>
          <t>UVR4L-4   3.2 M³/s</t>
        </is>
      </c>
      <c r="Z21" s="406" t="inlineStr">
        <is>
          <t>UVR4L-4</t>
        </is>
      </c>
      <c r="AA21" s="909" t="n">
        <v>3087.0168</v>
      </c>
      <c r="AB21" s="598" t="n">
        <v>2912.28</v>
      </c>
      <c r="AC21" s="395" t="n">
        <v>4</v>
      </c>
      <c r="AD21" s="406" t="inlineStr">
        <is>
          <t>L</t>
        </is>
      </c>
      <c r="AE21" s="395" t="n">
        <v>4</v>
      </c>
      <c r="AF21" s="396">
        <f>IF(AD21="S",AC21*#REF!*AE21,AC21*$AD$3*AE21)</f>
        <v/>
      </c>
      <c r="AJ21" s="1051" t="n"/>
      <c r="AK21" s="408" t="n"/>
      <c r="AL21" s="408" t="inlineStr">
        <is>
          <t>HI FOG MULLION MODS</t>
        </is>
      </c>
      <c r="AM21" s="909" t="n">
        <v>0</v>
      </c>
      <c r="AN21" s="602" t="n">
        <v>0</v>
      </c>
      <c r="AO21" s="1052" t="n"/>
      <c r="AP21" s="405" t="inlineStr">
        <is>
          <t>PS01 1150mm</t>
        </is>
      </c>
      <c r="AQ21" s="1175">
        <f>(POLLUSTOP!$G$39*1.15)+AR21</f>
        <v/>
      </c>
      <c r="AR21" s="916" t="n">
        <v>2675.44</v>
      </c>
      <c r="AS21" s="596" t="n">
        <v>2524</v>
      </c>
      <c r="AU21" s="408" t="inlineStr">
        <is>
          <t>PEDESTAL LEG</t>
        </is>
      </c>
      <c r="AV21" s="410" t="n">
        <v>3</v>
      </c>
      <c r="AW21" s="408" t="n"/>
      <c r="AX21" s="910" t="n">
        <v>188.362</v>
      </c>
      <c r="AY21" s="603" t="n">
        <v>177.7</v>
      </c>
      <c r="BB21" s="823" t="n"/>
      <c r="BC21" s="823" t="n"/>
      <c r="BD21" s="819" t="n"/>
      <c r="BE21" s="1133" t="n"/>
      <c r="BF21" s="1128" t="n"/>
      <c r="BG21" s="1128" t="n"/>
      <c r="BH21" s="1128" t="n"/>
      <c r="BI21" s="1128" t="n"/>
      <c r="BJ21" s="819" t="n"/>
      <c r="BK21" s="1129" t="n"/>
      <c r="BL21" s="1128" t="n"/>
      <c r="BM21" s="1128" t="n"/>
      <c r="BN21" s="1128" t="n"/>
      <c r="BO21" s="1128" t="n"/>
      <c r="BP21" s="819" t="n"/>
    </row>
    <row r="22" ht="14.5" customHeight="1" s="1085">
      <c r="A22" s="405" t="n"/>
      <c r="E22" s="905" t="inlineStr">
        <is>
          <t>BASINGSTOKE 82</t>
        </is>
      </c>
      <c r="F22" s="892" t="n">
        <v>333.9</v>
      </c>
      <c r="G22" s="598" t="n">
        <v>315</v>
      </c>
      <c r="H22" s="404" t="n"/>
      <c r="I22" s="405" t="inlineStr">
        <is>
          <t>11KW DANFOSS INV IP21</t>
        </is>
      </c>
      <c r="J22" s="892" t="n">
        <v>502.7262</v>
      </c>
      <c r="K22" s="598" t="n">
        <v>474.27</v>
      </c>
      <c r="M22" s="1170" t="inlineStr">
        <is>
          <t>EL215</t>
        </is>
      </c>
      <c r="N22" s="1175" t="n">
        <v>0</v>
      </c>
      <c r="Q22" s="415" t="inlineStr">
        <is>
          <t>WATER WASH CONTROLS</t>
        </is>
      </c>
      <c r="R22" s="415" t="n">
        <v>0</v>
      </c>
      <c r="S22" s="415" t="n">
        <v>0</v>
      </c>
      <c r="U22" s="405" t="inlineStr">
        <is>
          <t>AMEREX</t>
        </is>
      </c>
      <c r="V22" s="909" t="n"/>
      <c r="W22" s="598" t="n"/>
      <c r="Y22" s="1170" t="inlineStr">
        <is>
          <t>UVR4L-5   4.0 M³/s</t>
        </is>
      </c>
      <c r="Z22" s="406" t="inlineStr">
        <is>
          <t>UVR4L-5</t>
        </is>
      </c>
      <c r="AA22" s="909" t="n">
        <v>3775.137</v>
      </c>
      <c r="AB22" s="598" t="n">
        <v>3561.45</v>
      </c>
      <c r="AC22" s="395" t="n">
        <v>4</v>
      </c>
      <c r="AD22" s="406" t="inlineStr">
        <is>
          <t>L</t>
        </is>
      </c>
      <c r="AE22" s="395" t="n">
        <v>5</v>
      </c>
      <c r="AF22" s="396">
        <f>IF(AD22="S",AC22*#REF!*AE22,AC22*$AD$3*AE22)</f>
        <v/>
      </c>
      <c r="AJ22" s="1051" t="n"/>
      <c r="AL22" s="412" t="inlineStr">
        <is>
          <t>ULC GREASE EXTRACT CASS</t>
        </is>
      </c>
      <c r="AM22" s="909" t="n">
        <v>0</v>
      </c>
      <c r="AN22" s="602" t="n">
        <v>0</v>
      </c>
      <c r="AO22" s="1052" t="n"/>
      <c r="AP22" s="405" t="inlineStr">
        <is>
          <t>PS02 1150mm</t>
        </is>
      </c>
      <c r="AQ22" s="1175">
        <f>AR22+(POLLUSTOP!$G$40*1.15)</f>
        <v/>
      </c>
      <c r="AR22" s="916" t="n">
        <v>3251.02</v>
      </c>
      <c r="AS22" s="596" t="n">
        <v>3067</v>
      </c>
      <c r="AU22" s="408" t="inlineStr">
        <is>
          <t>POT RACK (TUBULAR)</t>
        </is>
      </c>
      <c r="AV22" s="410" t="n">
        <v>6</v>
      </c>
      <c r="AW22" s="408" t="inlineStr">
        <is>
          <t>SINGLE SIDED UP TO 1200MM</t>
        </is>
      </c>
      <c r="AX22" s="910" t="n">
        <v>356.1494</v>
      </c>
      <c r="AY22" s="603" t="n">
        <v>335.99</v>
      </c>
      <c r="BB22" s="823" t="n"/>
      <c r="BC22" s="823" t="n"/>
      <c r="BD22" s="819" t="n"/>
      <c r="BE22" s="1133" t="n"/>
      <c r="BF22" s="1139" t="n"/>
      <c r="BG22" s="1129" t="n"/>
      <c r="BH22" s="1129" t="n"/>
      <c r="BI22" s="1129" t="n"/>
      <c r="BJ22" s="1129" t="n"/>
      <c r="BK22" s="1129" t="n"/>
      <c r="BL22" s="1131" t="n"/>
      <c r="BM22" s="1131" t="n"/>
      <c r="BN22" s="1131" t="n"/>
      <c r="BO22" s="1131" t="n"/>
      <c r="BP22" s="825" t="n"/>
    </row>
    <row r="23" ht="14.5" customHeight="1" s="1085">
      <c r="E23" s="905" t="inlineStr">
        <is>
          <t>BATH 154</t>
        </is>
      </c>
      <c r="F23" s="892" t="n">
        <v>588.3000000000001</v>
      </c>
      <c r="G23" s="598" t="n">
        <v>555</v>
      </c>
      <c r="H23" s="404" t="n"/>
      <c r="I23" s="405" t="inlineStr">
        <is>
          <t>15KW DANFOSS INV IP21</t>
        </is>
      </c>
      <c r="J23" s="892" t="n">
        <v>572.6756</v>
      </c>
      <c r="K23" s="598" t="n">
        <v>540.26</v>
      </c>
      <c r="M23" s="1170" t="inlineStr">
        <is>
          <t>EL218</t>
        </is>
      </c>
      <c r="N23" s="1175" t="n">
        <v>0</v>
      </c>
      <c r="Q23" s="405" t="inlineStr">
        <is>
          <t>GWHIZZ</t>
        </is>
      </c>
      <c r="R23" s="892" t="n">
        <v>174.688</v>
      </c>
      <c r="S23" s="598" t="n">
        <v>164.8</v>
      </c>
      <c r="T23" s="1170">
        <f>R23*1.06</f>
        <v/>
      </c>
      <c r="U23" s="405" t="inlineStr">
        <is>
          <t>OTHER</t>
        </is>
      </c>
      <c r="V23" s="909" t="n"/>
      <c r="W23" s="598" t="n"/>
      <c r="Y23" s="1170" t="inlineStr">
        <is>
          <t>UVR4L6    4.8 M³/s</t>
        </is>
      </c>
      <c r="Z23" s="406" t="inlineStr">
        <is>
          <t>UVR4L-6</t>
        </is>
      </c>
      <c r="AA23" s="909" t="n">
        <v>4463.2572</v>
      </c>
      <c r="AB23" s="598" t="n">
        <v>4210.62</v>
      </c>
      <c r="AC23" s="395" t="n">
        <v>4</v>
      </c>
      <c r="AD23" s="406" t="inlineStr">
        <is>
          <t>L</t>
        </is>
      </c>
      <c r="AE23" s="395" t="n">
        <v>6</v>
      </c>
      <c r="AF23" s="396">
        <f>IF(AD23="S",AC23*#REF!*AE23,AC23*$AD$3*AE23)</f>
        <v/>
      </c>
      <c r="AJ23" s="1051" t="n"/>
      <c r="AK23" s="1175" t="inlineStr">
        <is>
          <t>MOD FRYER/BRATT SPEC</t>
        </is>
      </c>
      <c r="AL23" s="408" t="inlineStr">
        <is>
          <t>ULC PLENUM BOX (FIRE RATED)</t>
        </is>
      </c>
      <c r="AM23" s="909" t="n">
        <v>0</v>
      </c>
      <c r="AN23" s="602" t="n">
        <v>0</v>
      </c>
      <c r="AO23" s="1052" t="n"/>
      <c r="AP23" s="405" t="inlineStr">
        <is>
          <t>PS03 1150mm</t>
        </is>
      </c>
      <c r="AQ23" s="1175">
        <f>AR23+(POLLUSTOP!$G$41*1.15)</f>
        <v/>
      </c>
      <c r="AR23" s="916" t="n">
        <v>4643.860000000001</v>
      </c>
      <c r="AS23" s="596" t="n">
        <v>4381</v>
      </c>
      <c r="AU23" s="408" t="inlineStr">
        <is>
          <t>POT RACK (SOLID)</t>
        </is>
      </c>
      <c r="AV23" s="410" t="n">
        <v>3</v>
      </c>
      <c r="AW23" s="408" t="inlineStr">
        <is>
          <t>SINGLE SIDED UP TO 1200MM</t>
        </is>
      </c>
      <c r="AX23" s="910" t="n">
        <v>189.5598</v>
      </c>
      <c r="AY23" s="603" t="n">
        <v>178.83</v>
      </c>
      <c r="BB23" s="823" t="n"/>
      <c r="BC23" s="823" t="n"/>
      <c r="BD23" s="819" t="n"/>
      <c r="BE23" s="1133" t="n"/>
      <c r="BF23" s="1139" t="n"/>
      <c r="BG23" s="1129" t="n"/>
      <c r="BH23" s="1129" t="n"/>
      <c r="BI23" s="1129" t="n"/>
      <c r="BJ23" s="1129" t="n"/>
      <c r="BK23" s="1129" t="n"/>
      <c r="BL23" s="1131" t="n"/>
      <c r="BM23" s="1131" t="n"/>
      <c r="BN23" s="1131" t="n"/>
      <c r="BO23" s="1131" t="n"/>
      <c r="BP23" s="825" t="n"/>
    </row>
    <row r="24" ht="14.5" customHeight="1" s="1085">
      <c r="E24" s="905" t="inlineStr">
        <is>
          <t>BEDFORD 103</t>
        </is>
      </c>
      <c r="F24" s="892" t="n">
        <v>413.4</v>
      </c>
      <c r="G24" s="598" t="n">
        <v>390</v>
      </c>
      <c r="H24" s="404" t="n"/>
      <c r="Q24" s="405" t="inlineStr">
        <is>
          <t>PUMP</t>
        </is>
      </c>
      <c r="R24" s="892" t="n">
        <v>19.1118</v>
      </c>
      <c r="S24" s="598" t="n">
        <v>18.03</v>
      </c>
      <c r="T24" s="1170">
        <f>R24*1.06</f>
        <v/>
      </c>
      <c r="U24" s="405" t="inlineStr">
        <is>
          <t>4 TANK SYSTEM</t>
        </is>
      </c>
      <c r="V24" s="909" t="n">
        <v>5669.54</v>
      </c>
      <c r="W24" s="598" t="n">
        <v>5669.54</v>
      </c>
      <c r="Y24" s="1170" t="inlineStr">
        <is>
          <t>UVR4L-7   5.6 M³/s</t>
        </is>
      </c>
      <c r="Z24" s="406" t="inlineStr">
        <is>
          <t>UVR4L-7</t>
        </is>
      </c>
      <c r="AA24" s="909" t="n">
        <v>5151.3774</v>
      </c>
      <c r="AB24" s="598" t="n">
        <v>4859.79</v>
      </c>
      <c r="AC24" s="395" t="n">
        <v>4</v>
      </c>
      <c r="AD24" s="406" t="inlineStr">
        <is>
          <t>L</t>
        </is>
      </c>
      <c r="AE24" s="395" t="n">
        <v>7</v>
      </c>
      <c r="AF24" s="396">
        <f>IF(AD24="S",AC24*#REF!*AE24,AC24*$AD$3*AE24)</f>
        <v/>
      </c>
      <c r="AJ24" s="1051" t="n"/>
      <c r="AK24" s="405" t="inlineStr">
        <is>
          <t xml:space="preserve">BIM/REVIT </t>
        </is>
      </c>
      <c r="AL24" s="493" t="inlineStr">
        <is>
          <t>PER SQ/M</t>
        </is>
      </c>
      <c r="AM24" s="909" t="n">
        <v>5</v>
      </c>
      <c r="AN24" s="602" t="n">
        <v>5</v>
      </c>
      <c r="AO24" s="1052" t="n"/>
      <c r="AP24" s="405" t="inlineStr">
        <is>
          <t>PS04 1150mm</t>
        </is>
      </c>
      <c r="AQ24" s="1175">
        <f>AR24+(POLLUSTOP!$G$41*1.15)</f>
        <v/>
      </c>
      <c r="AR24" s="916" t="n">
        <v>5477.02</v>
      </c>
      <c r="AS24" s="596" t="n">
        <v>5167</v>
      </c>
      <c r="AU24" s="408" t="inlineStr">
        <is>
          <t>SALAMANDER SUPPORT</t>
        </is>
      </c>
      <c r="AV24" s="410" t="n">
        <v>3</v>
      </c>
      <c r="AW24" s="408" t="n"/>
      <c r="AX24" s="910" t="n">
        <v>178.8326</v>
      </c>
      <c r="AY24" s="603" t="n">
        <v>168.71</v>
      </c>
      <c r="BB24" s="823" t="n"/>
      <c r="BC24" s="823" t="n"/>
      <c r="BD24" s="819" t="n"/>
      <c r="BE24" s="1133" t="n"/>
      <c r="BF24" s="1139" t="n"/>
      <c r="BG24" s="1129" t="n"/>
      <c r="BH24" s="1129" t="n"/>
      <c r="BI24" s="1129" t="n"/>
      <c r="BJ24" s="1129" t="n"/>
      <c r="BK24" s="1129" t="n"/>
      <c r="BL24" s="1139" t="n"/>
      <c r="BM24" s="1129" t="n"/>
      <c r="BN24" s="1129" t="n"/>
      <c r="BO24" s="1129" t="n"/>
      <c r="BP24" s="1129" t="n"/>
    </row>
    <row r="25" ht="14.5" customHeight="1" s="1085">
      <c r="A25" s="417" t="inlineStr">
        <is>
          <t>INFILL</t>
        </is>
      </c>
      <c r="B25" s="417" t="n"/>
      <c r="C25" s="417" t="n"/>
      <c r="E25" s="905" t="inlineStr">
        <is>
          <t>BERWICK-UPON-TWEED 371</t>
        </is>
      </c>
      <c r="F25" s="892" t="n">
        <v>1203.1</v>
      </c>
      <c r="G25" s="598" t="n">
        <v>1135</v>
      </c>
      <c r="H25" s="404" t="n"/>
      <c r="I25" s="415" t="inlineStr">
        <is>
          <t>SUPPLY FANS SIZE</t>
        </is>
      </c>
      <c r="J25" s="415" t="n"/>
      <c r="K25" s="415" t="n"/>
      <c r="M25" s="415" t="inlineStr">
        <is>
          <t>LIGHT SELECTION</t>
        </is>
      </c>
      <c r="N25" s="415" t="n">
        <v>0</v>
      </c>
      <c r="O25" s="415" t="n"/>
      <c r="Q25" s="405" t="inlineStr">
        <is>
          <t>MECH 1S</t>
        </is>
      </c>
      <c r="R25" s="892" t="n">
        <v>1200.98</v>
      </c>
      <c r="S25" s="598" t="n">
        <v>1133</v>
      </c>
      <c r="T25" s="1170">
        <f>R25*1.06</f>
        <v/>
      </c>
      <c r="U25" s="405" t="inlineStr">
        <is>
          <t>4 TANK TRAVEL HUB</t>
        </is>
      </c>
      <c r="V25" s="909" t="n">
        <v>0</v>
      </c>
      <c r="W25" s="598" t="n">
        <v>0</v>
      </c>
      <c r="Y25" s="1170" t="inlineStr">
        <is>
          <t>UVR4L-8   6.4 M³/s</t>
        </is>
      </c>
      <c r="Z25" s="406" t="inlineStr">
        <is>
          <t>UVR4L-8</t>
        </is>
      </c>
      <c r="AA25" s="909" t="n">
        <v>5839.497600000001</v>
      </c>
      <c r="AB25" s="598" t="n">
        <v>5508.96</v>
      </c>
      <c r="AC25" s="395" t="n">
        <v>4</v>
      </c>
      <c r="AD25" s="406" t="inlineStr">
        <is>
          <t>L</t>
        </is>
      </c>
      <c r="AE25" s="395" t="n">
        <v>8</v>
      </c>
      <c r="AF25" s="396">
        <f>IF(AD25="S",AC25*#REF!*AE25,AC25*$AD$3*AE25)</f>
        <v/>
      </c>
      <c r="AJ25" s="1051" t="n"/>
      <c r="AL25" s="408" t="inlineStr">
        <is>
          <t>ULC EMERGENCY LIGHT</t>
        </is>
      </c>
      <c r="AM25" s="909" t="n">
        <v>0</v>
      </c>
      <c r="AN25" s="602" t="n">
        <v>0</v>
      </c>
      <c r="AO25" s="1052" t="n"/>
      <c r="AP25" s="405" t="inlineStr">
        <is>
          <t>PS05 1150mm</t>
        </is>
      </c>
      <c r="AQ25" s="1175">
        <f>AR25+(POLLUSTOP!$G$42*1.15)</f>
        <v/>
      </c>
      <c r="AR25" s="916" t="n">
        <v>6952.54</v>
      </c>
      <c r="AS25" s="596" t="n">
        <v>6559</v>
      </c>
      <c r="AU25" s="423" t="inlineStr">
        <is>
          <t>ELECTRICAL</t>
        </is>
      </c>
      <c r="AV25" s="424" t="n"/>
      <c r="AW25" s="425" t="n"/>
      <c r="AX25" s="423" t="n"/>
      <c r="AY25" s="1059" t="n"/>
      <c r="BB25" s="823" t="n"/>
      <c r="BC25" s="823" t="n"/>
      <c r="BD25" s="819" t="n"/>
      <c r="BE25" s="1133" t="n"/>
      <c r="BF25" s="1139" t="n"/>
      <c r="BG25" s="1129" t="n"/>
      <c r="BH25" s="1129" t="n"/>
      <c r="BI25" s="1129" t="n"/>
      <c r="BJ25" s="1129" t="n"/>
      <c r="BK25" s="1129" t="n"/>
      <c r="BL25" s="1139" t="n"/>
      <c r="BM25" s="1129" t="n"/>
      <c r="BN25" s="1129" t="n"/>
      <c r="BO25" s="1129" t="n"/>
      <c r="BP25" s="1129" t="n"/>
    </row>
    <row r="26" ht="14.5" customHeight="1" s="1085">
      <c r="A26" s="1170" t="inlineStr">
        <is>
          <t>INFILL PER M2</t>
        </is>
      </c>
      <c r="B26" s="892" t="n">
        <v>108.2578</v>
      </c>
      <c r="C26" s="598" t="n">
        <v>102.13</v>
      </c>
      <c r="E26" s="905" t="inlineStr">
        <is>
          <t>BILLERICAY 37</t>
        </is>
      </c>
      <c r="F26" s="892" t="n">
        <v>344.5</v>
      </c>
      <c r="G26" s="598" t="n">
        <v>325</v>
      </c>
      <c r="H26" s="404" t="n"/>
      <c r="I26" s="405" t="inlineStr">
        <is>
          <t>0.5 M³/s GBWEC400 (inc INV)</t>
        </is>
      </c>
      <c r="J26" s="892" t="n">
        <v>1331.36</v>
      </c>
      <c r="K26" s="598" t="n">
        <v>1256</v>
      </c>
      <c r="M26" s="405" t="inlineStr">
        <is>
          <t>LED STRIP</t>
        </is>
      </c>
      <c r="N26" s="1175" t="n">
        <v>0</v>
      </c>
      <c r="Q26" s="405" t="inlineStr">
        <is>
          <t>MECH 2S</t>
        </is>
      </c>
      <c r="R26" s="892" t="n">
        <v>1419.34</v>
      </c>
      <c r="S26" s="598" t="n">
        <v>1339</v>
      </c>
      <c r="T26" s="1170">
        <f>R26*1.06</f>
        <v/>
      </c>
      <c r="U26" s="405" t="inlineStr">
        <is>
          <t>4 TANK DISTANCE</t>
        </is>
      </c>
      <c r="V26" s="909" t="n">
        <v>5669.54</v>
      </c>
      <c r="W26" s="598" t="n">
        <v>5669.54</v>
      </c>
      <c r="Y26" s="1170" t="inlineStr">
        <is>
          <t>UVR4L-9   7.2 M³/s</t>
        </is>
      </c>
      <c r="Z26" s="406" t="inlineStr">
        <is>
          <t>UVR4L-9</t>
        </is>
      </c>
      <c r="AA26" s="909" t="n">
        <v>6527.617800000001</v>
      </c>
      <c r="AB26" s="598" t="n">
        <v>6158.13</v>
      </c>
      <c r="AC26" s="395" t="n">
        <v>4</v>
      </c>
      <c r="AD26" s="406" t="inlineStr">
        <is>
          <t>L</t>
        </is>
      </c>
      <c r="AE26" s="395" t="n">
        <v>9</v>
      </c>
      <c r="AF26" s="396">
        <f>IF(AD26="S",AC26*#REF!*AE26,AC26*$AD$3*AE26)</f>
        <v/>
      </c>
      <c r="AJ26" s="1051" t="n"/>
      <c r="AM26" s="1175" t="n"/>
      <c r="AP26" s="405" t="inlineStr">
        <is>
          <t>PS06 1150mm</t>
        </is>
      </c>
      <c r="AQ26" s="1175">
        <f>AR26+(POLLUSTOP!$G$42*1.15)</f>
        <v/>
      </c>
      <c r="AR26" s="916" t="n">
        <v>7044.76</v>
      </c>
      <c r="AS26" s="596" t="n">
        <v>6646</v>
      </c>
      <c r="AU26" s="423" t="n"/>
      <c r="AV26" s="424" t="n"/>
      <c r="AW26" s="425" t="n"/>
      <c r="AX26" s="423" t="n"/>
      <c r="AY26" s="1059" t="n"/>
      <c r="BB26" s="823" t="n"/>
      <c r="BC26" s="823" t="n"/>
      <c r="BD26" s="819" t="n"/>
      <c r="BE26" s="1133" t="n"/>
      <c r="BF26" s="1139" t="n"/>
      <c r="BG26" s="1129" t="n"/>
      <c r="BH26" s="1129" t="n"/>
      <c r="BI26" s="1129" t="n"/>
      <c r="BJ26" s="1129" t="n"/>
      <c r="BK26" s="1129" t="n"/>
      <c r="BL26" s="1139" t="n"/>
      <c r="BM26" s="1129" t="n"/>
      <c r="BN26" s="1129" t="n"/>
      <c r="BO26" s="1129" t="n"/>
      <c r="BP26" s="1129" t="n"/>
    </row>
    <row r="27" ht="14.5" customHeight="1" s="1085">
      <c r="E27" s="905" t="inlineStr">
        <is>
          <t>BIRKENHEAD 277</t>
        </is>
      </c>
      <c r="F27" s="892" t="n">
        <v>940.22</v>
      </c>
      <c r="G27" s="598" t="n">
        <v>887</v>
      </c>
      <c r="H27" s="404" t="n"/>
      <c r="I27" s="405" t="inlineStr">
        <is>
          <t>1.0 M³/s GBDEC450 (inc INV)</t>
        </is>
      </c>
      <c r="J27" s="892" t="n">
        <v>1365.28</v>
      </c>
      <c r="K27" s="598" t="n">
        <v>1288</v>
      </c>
      <c r="M27" s="405" t="inlineStr">
        <is>
          <t>SMALL LED-SPOTS</t>
        </is>
      </c>
      <c r="N27" s="1175" t="n">
        <v>0</v>
      </c>
      <c r="Q27" s="405" t="inlineStr">
        <is>
          <t>MECH 3S</t>
        </is>
      </c>
      <c r="R27" s="892" t="n">
        <v>1556.08</v>
      </c>
      <c r="S27" s="598" t="n">
        <v>1468</v>
      </c>
      <c r="T27" s="1170">
        <f>R27*1.06</f>
        <v/>
      </c>
      <c r="U27" s="405" t="inlineStr">
        <is>
          <t>NOBEL</t>
        </is>
      </c>
      <c r="V27" s="909" t="n"/>
      <c r="W27" s="598" t="n"/>
      <c r="Y27" s="1170" t="inlineStr">
        <is>
          <t>UVR4L-10  8.0 M³/s</t>
        </is>
      </c>
      <c r="Z27" s="406" t="inlineStr">
        <is>
          <t>UVR4L-10</t>
        </is>
      </c>
      <c r="AA27" s="909" t="n">
        <v>7215.738</v>
      </c>
      <c r="AB27" s="598" t="n">
        <v>6807.3</v>
      </c>
      <c r="AC27" s="395" t="n">
        <v>4</v>
      </c>
      <c r="AD27" s="406" t="inlineStr">
        <is>
          <t>L</t>
        </is>
      </c>
      <c r="AE27" s="395" t="n">
        <v>10</v>
      </c>
      <c r="AF27" s="396">
        <f>IF(AD27="S",AC27*#REF!*AE27,AC27*$AD$3*AE27)</f>
        <v/>
      </c>
      <c r="AJ27" s="1051" t="n"/>
      <c r="AK27" s="415" t="inlineStr">
        <is>
          <t>MARVEL</t>
        </is>
      </c>
      <c r="AL27" s="415" t="n"/>
      <c r="AM27" s="415" t="n"/>
      <c r="AN27" s="415" t="n"/>
      <c r="AP27" s="405" t="inlineStr">
        <is>
          <t>PS07 1150mm</t>
        </is>
      </c>
      <c r="AQ27" s="1175">
        <f>AR27+(POLLUSTOP!$G$43*1.15)</f>
        <v/>
      </c>
      <c r="AR27" s="916" t="n">
        <v>8531.940000000001</v>
      </c>
      <c r="AS27" s="596" t="n">
        <v>8049</v>
      </c>
      <c r="AU27" s="1133" t="inlineStr">
        <is>
          <t>MCB</t>
        </is>
      </c>
      <c r="AV27" s="1173" t="n"/>
      <c r="AW27" s="408" t="n"/>
      <c r="AX27" s="808" t="n"/>
      <c r="BB27" s="823" t="n"/>
      <c r="BC27" s="823" t="n"/>
      <c r="BD27" s="819" t="n"/>
      <c r="BE27" s="1133" t="n"/>
      <c r="BF27" s="1139" t="n"/>
      <c r="BG27" s="1129" t="n"/>
      <c r="BH27" s="1129" t="n"/>
      <c r="BI27" s="1129" t="n"/>
      <c r="BJ27" s="1129" t="n"/>
      <c r="BK27" s="1129" t="n"/>
      <c r="BL27" s="1139" t="n"/>
      <c r="BM27" s="1129" t="n"/>
      <c r="BN27" s="1129" t="n"/>
      <c r="BO27" s="1129" t="n"/>
      <c r="BP27" s="1129" t="n"/>
    </row>
    <row r="28" ht="14.5" customHeight="1" s="1085">
      <c r="A28" s="417" t="inlineStr">
        <is>
          <t>CRATING</t>
        </is>
      </c>
      <c r="B28" s="417" t="n"/>
      <c r="C28" s="417" t="n"/>
      <c r="E28" s="905" t="inlineStr">
        <is>
          <t>BIRMINGHAM 168</t>
        </is>
      </c>
      <c r="F28" s="892" t="n">
        <v>630.7</v>
      </c>
      <c r="G28" s="598" t="n">
        <v>595</v>
      </c>
      <c r="H28" s="404" t="n"/>
      <c r="I28" s="405" t="inlineStr">
        <is>
          <t>1.5 M³/s GBDEC500 (inc INV)</t>
        </is>
      </c>
      <c r="J28" s="892" t="n">
        <v>1565.62</v>
      </c>
      <c r="K28" s="598" t="n">
        <v>1477</v>
      </c>
      <c r="M28" s="405" t="inlineStr">
        <is>
          <t xml:space="preserve"> BIG LED-SPOTS</t>
        </is>
      </c>
      <c r="N28" s="1175" t="n">
        <v>0</v>
      </c>
      <c r="Q28" s="405" t="inlineStr">
        <is>
          <t>MECH 4S</t>
        </is>
      </c>
      <c r="R28" s="892" t="n">
        <v>1856.06</v>
      </c>
      <c r="S28" s="598" t="n">
        <v>1751</v>
      </c>
      <c r="T28" s="1170">
        <f>R28*1.06</f>
        <v/>
      </c>
      <c r="U28" s="405" t="inlineStr">
        <is>
          <t>AMEREX</t>
        </is>
      </c>
      <c r="V28" s="909" t="n"/>
      <c r="W28" s="598" t="n"/>
      <c r="Y28" s="1170" t="inlineStr">
        <is>
          <t>UVR4L-11  8.8 M³/s</t>
        </is>
      </c>
      <c r="Z28" s="406" t="inlineStr">
        <is>
          <t>UVR4L-11</t>
        </is>
      </c>
      <c r="AA28" s="909" t="n">
        <v>7903.858200000001</v>
      </c>
      <c r="AB28" s="598" t="n">
        <v>7456.47</v>
      </c>
      <c r="AC28" s="395" t="n">
        <v>4</v>
      </c>
      <c r="AD28" s="406" t="inlineStr">
        <is>
          <t>L</t>
        </is>
      </c>
      <c r="AE28" s="395" t="n">
        <v>11</v>
      </c>
      <c r="AF28" s="396">
        <f>IF(AD28="S",AC28*#REF!*AE28,AC28*$AD$3*AE28)</f>
        <v/>
      </c>
      <c r="AJ28" s="1051" t="n"/>
      <c r="AK28" s="417" t="inlineStr">
        <is>
          <t>KITCHEN COMPONENTS</t>
        </is>
      </c>
      <c r="AL28" s="417" t="n"/>
      <c r="AM28" s="417" t="n"/>
      <c r="AN28" s="415" t="n"/>
      <c r="AP28" s="405" t="inlineStr">
        <is>
          <t>PS08 1150mm</t>
        </is>
      </c>
      <c r="AQ28" s="1175">
        <f>AR28+(POLLUSTOP!$G$43*1.15)</f>
        <v/>
      </c>
      <c r="AR28" s="916" t="n">
        <v>9407.5</v>
      </c>
      <c r="AS28" s="596" t="n">
        <v>8875</v>
      </c>
      <c r="AU28" s="823" t="inlineStr">
        <is>
          <t>MCB 4-WAY 125A</t>
        </is>
      </c>
      <c r="AV28" s="1173" t="n"/>
      <c r="AW28" s="408" t="n"/>
      <c r="AX28" s="915" t="n">
        <v>273.0878</v>
      </c>
      <c r="AY28" s="601" t="n">
        <v>257.63</v>
      </c>
      <c r="BB28" s="823" t="n"/>
      <c r="BC28" s="823" t="n"/>
      <c r="BD28" s="819" t="n"/>
      <c r="BE28" s="1133" t="n"/>
      <c r="BF28" s="1139" t="n"/>
      <c r="BG28" s="1129" t="n"/>
      <c r="BH28" s="1129" t="n"/>
      <c r="BI28" s="1129" t="n"/>
      <c r="BJ28" s="1129" t="n"/>
      <c r="BK28" s="1129" t="n"/>
      <c r="BL28" s="1139" t="n"/>
      <c r="BM28" s="1129" t="n"/>
      <c r="BN28" s="1129" t="n"/>
      <c r="BO28" s="1129" t="n"/>
      <c r="BP28" s="1129" t="n"/>
    </row>
    <row r="29" ht="14.5" customHeight="1" s="1085">
      <c r="A29" s="1170" t="inlineStr">
        <is>
          <t>CRATING PER M3</t>
        </is>
      </c>
      <c r="B29" s="892" t="n">
        <v>116.6</v>
      </c>
      <c r="C29" s="598" t="n">
        <v>110</v>
      </c>
      <c r="E29" s="905" t="inlineStr">
        <is>
          <t>BISHOP'S STORTFORD 55</t>
        </is>
      </c>
      <c r="F29" s="892" t="n">
        <v>376.3</v>
      </c>
      <c r="G29" s="598" t="n">
        <v>355</v>
      </c>
      <c r="H29" s="404" t="n"/>
      <c r="I29" s="405" t="inlineStr">
        <is>
          <t>2.0 M³/s GBDEC560 (inc INV)</t>
        </is>
      </c>
      <c r="J29" s="892" t="n">
        <v>2280.06</v>
      </c>
      <c r="K29" s="598" t="n">
        <v>2151</v>
      </c>
      <c r="M29" s="405" t="inlineStr">
        <is>
          <t>LED STRIP INC BATTERY</t>
        </is>
      </c>
      <c r="N29" s="1175" t="n">
        <v>0</v>
      </c>
      <c r="Q29" s="405" t="inlineStr">
        <is>
          <t>BROADOAK 1S</t>
        </is>
      </c>
      <c r="R29" s="892" t="n">
        <v>793.9400000000001</v>
      </c>
      <c r="S29" s="598" t="n">
        <v>749</v>
      </c>
      <c r="T29" s="1170">
        <f>R29*1.06</f>
        <v/>
      </c>
      <c r="U29" s="405" t="inlineStr">
        <is>
          <t>OTHER</t>
        </is>
      </c>
      <c r="V29" s="909" t="n"/>
      <c r="W29" s="598" t="n"/>
      <c r="Y29" s="1170" t="inlineStr">
        <is>
          <t>UVR4L-12  9.6 M³/s</t>
        </is>
      </c>
      <c r="Z29" s="406" t="inlineStr">
        <is>
          <t>UVR4L-12</t>
        </is>
      </c>
      <c r="AA29" s="909" t="n">
        <v>8591.9784</v>
      </c>
      <c r="AB29" s="598" t="n">
        <v>8105.64</v>
      </c>
      <c r="AC29" s="395" t="n">
        <v>4</v>
      </c>
      <c r="AD29" s="406" t="inlineStr">
        <is>
          <t>L</t>
        </is>
      </c>
      <c r="AE29" s="395" t="n">
        <v>12</v>
      </c>
      <c r="AF29" s="396">
        <f>IF(AD29="S",AC29*#REF!*AE29,AC29*$AD$3*AE29)</f>
        <v/>
      </c>
      <c r="AJ29" s="1051" t="n"/>
      <c r="AK29" s="405" t="inlineStr">
        <is>
          <t xml:space="preserve">PS-154 EDGE BOX </t>
        </is>
      </c>
      <c r="AL29" s="405" t="inlineStr">
        <is>
          <t>LHC-2 CONTROL PANEL</t>
        </is>
      </c>
      <c r="AM29" s="909" t="n">
        <v>1374.1734</v>
      </c>
      <c r="AN29" s="596" t="n">
        <v>1296.39</v>
      </c>
      <c r="AO29" s="602" t="n"/>
      <c r="AP29" s="405" t="inlineStr">
        <is>
          <t>PS09 1550mm</t>
        </is>
      </c>
      <c r="AQ29" s="1175">
        <f>AR29+(POLLUSTOP!$G$43*1.15)</f>
        <v/>
      </c>
      <c r="AR29" s="916" t="n">
        <v>11249.78</v>
      </c>
      <c r="AS29" s="596" t="n">
        <v>10613</v>
      </c>
      <c r="AU29" s="823" t="inlineStr">
        <is>
          <t>MCB 6-WAY 125A</t>
        </is>
      </c>
      <c r="AV29" s="1173" t="n"/>
      <c r="AW29" s="408" t="n"/>
      <c r="AX29" s="915" t="n">
        <v>300.3404</v>
      </c>
      <c r="AY29" s="601" t="n">
        <v>283.34</v>
      </c>
      <c r="BB29" s="823" t="n"/>
      <c r="BC29" s="823" t="n"/>
      <c r="BD29" s="819" t="n"/>
      <c r="BE29" s="1133" t="n"/>
      <c r="BF29" s="1139" t="n"/>
      <c r="BG29" s="1129" t="n"/>
      <c r="BH29" s="1129" t="n"/>
      <c r="BI29" s="1129" t="n"/>
      <c r="BJ29" s="1129" t="n"/>
      <c r="BK29" s="1129" t="n"/>
      <c r="BL29" s="1139" t="n"/>
      <c r="BM29" s="1129" t="n"/>
      <c r="BN29" s="1129" t="n"/>
      <c r="BO29" s="1129" t="n"/>
      <c r="BP29" s="1129" t="n"/>
    </row>
    <row r="30" ht="14.5" customHeight="1" s="1085">
      <c r="E30" s="905" t="inlineStr">
        <is>
          <t>BLACKBURN 283</t>
        </is>
      </c>
      <c r="F30" s="892" t="n">
        <v>940.22</v>
      </c>
      <c r="G30" s="598" t="n">
        <v>887</v>
      </c>
      <c r="H30" s="404" t="n"/>
      <c r="I30" s="405" t="inlineStr">
        <is>
          <t>2.5 M³/s GBDRC630 (inc INV)</t>
        </is>
      </c>
      <c r="J30" s="892" t="n">
        <v>2629.86</v>
      </c>
      <c r="K30" s="598" t="n">
        <v>2481</v>
      </c>
      <c r="Q30" s="405" t="inlineStr">
        <is>
          <t>BROADOAK 2S</t>
        </is>
      </c>
      <c r="R30" s="892" t="n">
        <v>877.6800000000001</v>
      </c>
      <c r="S30" s="598" t="n">
        <v>828</v>
      </c>
      <c r="T30" s="1170">
        <f>R30*1.06</f>
        <v/>
      </c>
      <c r="U30" s="405" t="inlineStr">
        <is>
          <t>5 TANK SYSTEM</t>
        </is>
      </c>
      <c r="V30" s="909" t="n">
        <v>7024.67</v>
      </c>
      <c r="W30" s="598" t="n">
        <v>7024.67</v>
      </c>
      <c r="Y30" s="1170" t="inlineStr">
        <is>
          <t>UVR6S-1   0.6 M³/s</t>
        </is>
      </c>
      <c r="Z30" s="406" t="inlineStr">
        <is>
          <t>UVR6S-1</t>
        </is>
      </c>
      <c r="AA30" s="909" t="n">
        <v>1081.6452</v>
      </c>
      <c r="AB30" s="598" t="n">
        <v>1020.42</v>
      </c>
      <c r="AC30" s="395" t="n">
        <v>6</v>
      </c>
      <c r="AD30" s="406" t="inlineStr">
        <is>
          <t>S</t>
        </is>
      </c>
      <c r="AE30" s="395" t="n">
        <v>1</v>
      </c>
      <c r="AF30" s="396">
        <f>IF(AD30="S",AC30*$AD$1*AE30,AC30*$AD$3*AE30)</f>
        <v/>
      </c>
      <c r="AJ30" s="1051" t="n"/>
      <c r="AK30" s="405" t="inlineStr">
        <is>
          <t>PS-150 TOUCH SCREEN</t>
        </is>
      </c>
      <c r="AL30" s="405" t="inlineStr">
        <is>
          <t>LHC-2 HMI TOUCH SCREEN WALL HUNG ENCLOSURE</t>
        </is>
      </c>
      <c r="AM30" s="909" t="n">
        <v>281.43</v>
      </c>
      <c r="AN30" s="596" t="n">
        <v>265.5</v>
      </c>
      <c r="AO30" s="602" t="n"/>
      <c r="AP30" s="405" t="inlineStr">
        <is>
          <t>PS10 1150mm</t>
        </is>
      </c>
      <c r="AQ30" s="1175">
        <f>AR30+(POLLUSTOP!$G$44*1.15)</f>
        <v/>
      </c>
      <c r="AR30" s="916" t="n">
        <v>13001.96</v>
      </c>
      <c r="AS30" s="596" t="n">
        <v>12266</v>
      </c>
      <c r="AU30" s="823" t="inlineStr">
        <is>
          <t>MCB 8-WAY 125A</t>
        </is>
      </c>
      <c r="AV30" s="1173" t="n"/>
      <c r="AW30" s="408" t="n"/>
      <c r="AX30" s="915" t="n">
        <v>311.7778</v>
      </c>
      <c r="AY30" s="601" t="n">
        <v>294.13</v>
      </c>
      <c r="BB30" s="823" t="n"/>
      <c r="BC30" s="823" t="n"/>
      <c r="BD30" s="819" t="n"/>
      <c r="BE30" s="1133" t="n"/>
      <c r="BF30" s="1139" t="n"/>
      <c r="BG30" s="1129" t="n"/>
      <c r="BH30" s="1129" t="n"/>
      <c r="BI30" s="1129" t="n"/>
      <c r="BJ30" s="1129" t="n"/>
      <c r="BK30" s="1129" t="n"/>
      <c r="BL30" s="1139" t="n"/>
      <c r="BM30" s="1129" t="n"/>
      <c r="BN30" s="1129" t="n"/>
      <c r="BO30" s="1129" t="n"/>
      <c r="BP30" s="1129" t="n"/>
    </row>
    <row r="31" ht="14.5" customHeight="1" s="1085">
      <c r="E31" s="905" t="inlineStr">
        <is>
          <t>BLACKPOOL 289</t>
        </is>
      </c>
      <c r="F31" s="892" t="n">
        <v>943.4000000000001</v>
      </c>
      <c r="G31" s="598" t="n">
        <v>890</v>
      </c>
      <c r="H31" s="404" t="n"/>
      <c r="I31" s="405" t="inlineStr">
        <is>
          <t>3.0 M³/s GBDEC710 (Inc INV)</t>
        </is>
      </c>
      <c r="J31" s="892" t="n">
        <v>2799.46</v>
      </c>
      <c r="K31" s="598" t="n">
        <v>2641</v>
      </c>
      <c r="M31" s="415" t="inlineStr">
        <is>
          <t>SIZE LIGHTS…</t>
        </is>
      </c>
      <c r="N31" s="415" t="n"/>
      <c r="O31" s="415" t="n"/>
      <c r="Q31" s="405" t="inlineStr">
        <is>
          <t>BROADOAK 3S</t>
        </is>
      </c>
      <c r="R31" s="892" t="n">
        <v>992.1600000000001</v>
      </c>
      <c r="S31" s="598" t="n">
        <v>936</v>
      </c>
      <c r="T31" s="1170">
        <f>R31*1.06</f>
        <v/>
      </c>
      <c r="U31" s="405" t="inlineStr">
        <is>
          <t>5 TANK TRAVEL HUB</t>
        </is>
      </c>
      <c r="V31" s="909" t="n">
        <v>0</v>
      </c>
      <c r="W31" s="598" t="n">
        <v>0</v>
      </c>
      <c r="Y31" s="1170" t="inlineStr">
        <is>
          <t>UVR6S-2   1.2 M³/s</t>
        </is>
      </c>
      <c r="Z31" s="406" t="inlineStr">
        <is>
          <t>UVR6S-2</t>
        </is>
      </c>
      <c r="AA31" s="909" t="n">
        <v>1828.871</v>
      </c>
      <c r="AB31" s="598" t="n">
        <v>1725.35</v>
      </c>
      <c r="AC31" s="395" t="n">
        <v>6</v>
      </c>
      <c r="AD31" s="406" t="inlineStr">
        <is>
          <t>S</t>
        </is>
      </c>
      <c r="AE31" s="395" t="n">
        <v>2</v>
      </c>
      <c r="AF31" s="396">
        <f>IF(AD31="S",AC31*$AD$1*AE31,AC31*$AD$3*AE31)</f>
        <v/>
      </c>
      <c r="AJ31" s="1051" t="n"/>
      <c r="AK31" s="1170" t="inlineStr">
        <is>
          <t>RH &amp; T SENSOR</t>
        </is>
      </c>
      <c r="AL31" s="405" t="inlineStr">
        <is>
          <t>LHC-2 TH1</t>
        </is>
      </c>
      <c r="AM31" s="909" t="n">
        <v>69.37700000000001</v>
      </c>
      <c r="AN31" s="596" t="n">
        <v>65.45</v>
      </c>
      <c r="AO31" s="602" t="n"/>
      <c r="AP31" s="405" t="n"/>
      <c r="AU31" s="823" t="inlineStr">
        <is>
          <t>MCB 16-WAY 125A</t>
        </is>
      </c>
      <c r="AV31" s="1173" t="n"/>
      <c r="AW31" s="408" t="n"/>
      <c r="AX31" s="915" t="n">
        <v>353.4994</v>
      </c>
      <c r="AY31" s="601" t="n">
        <v>333.49</v>
      </c>
      <c r="BB31" s="823" t="n"/>
      <c r="BC31" s="823" t="n"/>
      <c r="BD31" s="819" t="n"/>
      <c r="BE31" s="1133" t="n"/>
      <c r="BF31" s="1139" t="n"/>
      <c r="BG31" s="1129" t="n"/>
      <c r="BH31" s="1129" t="n"/>
      <c r="BI31" s="1129" t="n"/>
      <c r="BJ31" s="1129" t="n"/>
      <c r="BK31" s="1129" t="n"/>
      <c r="BL31" s="1139" t="n"/>
      <c r="BM31" s="1129" t="n"/>
      <c r="BN31" s="1129" t="n"/>
      <c r="BO31" s="1129" t="n"/>
      <c r="BP31" s="1129" t="n"/>
    </row>
    <row r="32" ht="14.5" customHeight="1" s="1085">
      <c r="A32" s="417" t="inlineStr">
        <is>
          <t>CURRENCY</t>
        </is>
      </c>
      <c r="B32" s="418" t="n">
        <v>1</v>
      </c>
      <c r="C32" s="418" t="n"/>
      <c r="E32" s="905" t="inlineStr">
        <is>
          <t>BLANDFORD FORUM 144</t>
        </is>
      </c>
      <c r="F32" s="892" t="n">
        <v>540.6</v>
      </c>
      <c r="G32" s="598" t="n">
        <v>510</v>
      </c>
      <c r="H32" s="404" t="n"/>
      <c r="M32" s="395" t="n">
        <v>1000</v>
      </c>
      <c r="N32" s="1175" t="inlineStr">
        <is>
          <t>EL06FLO</t>
        </is>
      </c>
      <c r="Q32" s="405" t="inlineStr">
        <is>
          <t>BROADOAK 4S</t>
        </is>
      </c>
      <c r="R32" s="892" t="n">
        <v>1055.76</v>
      </c>
      <c r="S32" s="598" t="n">
        <v>996</v>
      </c>
      <c r="T32" s="1170">
        <f>R32*1.06</f>
        <v/>
      </c>
      <c r="U32" s="405" t="inlineStr">
        <is>
          <t>5 TANK DISTANCE</t>
        </is>
      </c>
      <c r="V32" s="909" t="n">
        <v>7024.67</v>
      </c>
      <c r="W32" s="598" t="n">
        <v>7024.67</v>
      </c>
      <c r="Y32" s="1170" t="inlineStr">
        <is>
          <t>UVR6S-3   1.8 M³/s</t>
        </is>
      </c>
      <c r="Z32" s="406" t="inlineStr">
        <is>
          <t>UVR6S-3</t>
        </is>
      </c>
      <c r="AA32" s="909" t="n">
        <v>2576.0968</v>
      </c>
      <c r="AB32" s="598" t="n">
        <v>2430.28</v>
      </c>
      <c r="AC32" s="395" t="n">
        <v>6</v>
      </c>
      <c r="AD32" s="406" t="inlineStr">
        <is>
          <t>S</t>
        </is>
      </c>
      <c r="AE32" s="395" t="n">
        <v>3</v>
      </c>
      <c r="AF32" s="396">
        <f>IF(AD32="S",AC32*$AD$1*AE32,AC32*$AD$3*AE32)</f>
        <v/>
      </c>
      <c r="AJ32" s="1051" t="n"/>
      <c r="AK32" s="405" t="n"/>
      <c r="AL32" s="405" t="n"/>
      <c r="AM32" s="909" t="n">
        <v>0</v>
      </c>
      <c r="AN32" s="596" t="n"/>
      <c r="AO32" s="602" t="n"/>
      <c r="AP32" s="423" t="inlineStr">
        <is>
          <t>BAG FILTERS</t>
        </is>
      </c>
      <c r="AQ32" s="417" t="n"/>
      <c r="AR32" s="417" t="n"/>
      <c r="AS32" s="417" t="n"/>
      <c r="AU32" s="823" t="inlineStr">
        <is>
          <t>MCB 16-WAY 125A</t>
        </is>
      </c>
      <c r="AV32" s="1173" t="n"/>
      <c r="AW32" s="408" t="n"/>
      <c r="AX32" s="915" t="n">
        <v>485.162</v>
      </c>
      <c r="AY32" s="601" t="n">
        <v>457.7</v>
      </c>
      <c r="BB32" s="852" t="n"/>
      <c r="BC32" s="823" t="n"/>
      <c r="BD32" s="819" t="n"/>
      <c r="BE32" s="1133" t="n"/>
      <c r="BF32" s="1139" t="n"/>
      <c r="BG32" s="1129" t="n"/>
      <c r="BH32" s="1129" t="n"/>
      <c r="BI32" s="1129" t="n"/>
      <c r="BJ32" s="1129" t="n"/>
      <c r="BK32" s="1129" t="n"/>
      <c r="BL32" s="1139" t="n"/>
      <c r="BM32" s="1129" t="n"/>
      <c r="BN32" s="1129" t="n"/>
      <c r="BO32" s="1129" t="n"/>
      <c r="BP32" s="1129" t="n"/>
    </row>
    <row r="33" ht="14.5" customHeight="1" s="1085">
      <c r="A33" s="405" t="inlineStr">
        <is>
          <t>EURO</t>
        </is>
      </c>
      <c r="B33" s="401" t="n">
        <v>0</v>
      </c>
      <c r="C33" s="401" t="n"/>
      <c r="E33" s="905" t="inlineStr">
        <is>
          <t>BODMIN 273</t>
        </is>
      </c>
      <c r="F33" s="892" t="n">
        <v>938.1</v>
      </c>
      <c r="G33" s="598" t="n">
        <v>885</v>
      </c>
      <c r="H33" s="404" t="n"/>
      <c r="I33" s="415" t="inlineStr">
        <is>
          <t>ATTENUATORS (SUPPLY)</t>
        </is>
      </c>
      <c r="J33" s="415" t="n"/>
      <c r="K33" s="415" t="n"/>
      <c r="M33" s="395" t="n">
        <v>1250</v>
      </c>
      <c r="N33" s="1175" t="inlineStr">
        <is>
          <t>EL09FLO</t>
        </is>
      </c>
      <c r="Q33" s="405" t="inlineStr">
        <is>
          <t>ANCILLARIES</t>
        </is>
      </c>
      <c r="R33" s="892" t="n">
        <v>390.08</v>
      </c>
      <c r="S33" s="598" t="n">
        <v>368</v>
      </c>
      <c r="T33" s="1170">
        <f>R33*1.06</f>
        <v/>
      </c>
      <c r="U33" s="405" t="inlineStr">
        <is>
          <t>NOBEL</t>
        </is>
      </c>
      <c r="V33" s="909" t="n"/>
      <c r="W33" s="598" t="n"/>
      <c r="Y33" s="1170" t="inlineStr">
        <is>
          <t>UVR6S-4   2.4 M³/s</t>
        </is>
      </c>
      <c r="Z33" s="406" t="inlineStr">
        <is>
          <t>UVR6S-4</t>
        </is>
      </c>
      <c r="AA33" s="909" t="n">
        <v>3323.3226</v>
      </c>
      <c r="AB33" s="598" t="n">
        <v>3135.21</v>
      </c>
      <c r="AC33" s="395" t="n">
        <v>6</v>
      </c>
      <c r="AD33" s="406" t="inlineStr">
        <is>
          <t>S</t>
        </is>
      </c>
      <c r="AE33" s="395" t="n">
        <v>4</v>
      </c>
      <c r="AF33" s="396">
        <f>IF(AD33="S",AC33*$AD$1*AE33,AC33*$AD$3*AE33)</f>
        <v/>
      </c>
      <c r="AJ33" s="1051" t="n"/>
      <c r="AK33" s="405" t="inlineStr">
        <is>
          <t xml:space="preserve">BIM/REVIT </t>
        </is>
      </c>
      <c r="AL33" s="405" t="n"/>
      <c r="AM33" s="909" t="n">
        <v>50</v>
      </c>
      <c r="AN33" s="596" t="n">
        <v>50</v>
      </c>
      <c r="AO33" s="602" t="n"/>
      <c r="AP33" s="414" t="inlineStr">
        <is>
          <t>Size</t>
        </is>
      </c>
      <c r="AQ33" s="1175" t="n">
        <v>0</v>
      </c>
      <c r="AR33" s="894" t="n"/>
      <c r="AS33" s="894" t="n"/>
      <c r="AU33" s="823" t="inlineStr">
        <is>
          <t>MCB 18-WAY 125A</t>
        </is>
      </c>
      <c r="AV33" s="1173" t="n"/>
      <c r="AW33" s="408" t="n"/>
      <c r="AX33" s="915" t="n">
        <v>543.8966</v>
      </c>
      <c r="AY33" s="601" t="n">
        <v>513.11</v>
      </c>
      <c r="BB33" s="823" t="n"/>
      <c r="BC33" s="823" t="n"/>
      <c r="BD33" s="819" t="n"/>
      <c r="BE33" s="1133" t="n"/>
      <c r="BF33" s="1139" t="n"/>
      <c r="BG33" s="1129" t="n"/>
      <c r="BH33" s="1129" t="n"/>
      <c r="BI33" s="1129" t="n"/>
      <c r="BJ33" s="1129" t="n"/>
      <c r="BK33" s="1129" t="n"/>
      <c r="BL33" s="1129" t="n"/>
      <c r="BM33" s="1129" t="n"/>
      <c r="BN33" s="1129" t="n"/>
      <c r="BO33" s="1129" t="n"/>
      <c r="BP33" s="1129" t="n"/>
    </row>
    <row r="34" ht="14.5" customHeight="1" s="1085">
      <c r="A34" s="405" t="inlineStr">
        <is>
          <t>GBP</t>
        </is>
      </c>
      <c r="B34" s="401" t="n">
        <v>0</v>
      </c>
      <c r="C34" s="401" t="n"/>
      <c r="E34" s="905" t="inlineStr">
        <is>
          <t>BOGNOR REGIS 88</t>
        </is>
      </c>
      <c r="F34" s="892" t="n">
        <v>478.06</v>
      </c>
      <c r="G34" s="598" t="n">
        <v>451</v>
      </c>
      <c r="H34" s="404" t="n"/>
      <c r="I34" s="1170" t="inlineStr">
        <is>
          <t>SMB500</t>
        </is>
      </c>
      <c r="J34" s="892" t="n">
        <v>429.3</v>
      </c>
      <c r="K34" s="598" t="n">
        <v>405</v>
      </c>
      <c r="M34" s="395" t="n">
        <v>1500</v>
      </c>
      <c r="N34" s="1175" t="inlineStr">
        <is>
          <t>EL09FLO</t>
        </is>
      </c>
      <c r="S34" s="1175" t="n"/>
      <c r="U34" s="405" t="inlineStr">
        <is>
          <t>AMEREX</t>
        </is>
      </c>
      <c r="V34" s="909" t="n"/>
      <c r="W34" s="598" t="n"/>
      <c r="Y34" s="1170" t="inlineStr">
        <is>
          <t>UVR6S-5   3.0 M³/s</t>
        </is>
      </c>
      <c r="Z34" s="406" t="inlineStr">
        <is>
          <t>UVR6S-5</t>
        </is>
      </c>
      <c r="AA34" s="909" t="n">
        <v>4070.5484</v>
      </c>
      <c r="AB34" s="598" t="n">
        <v>3840.14</v>
      </c>
      <c r="AC34" s="395" t="n">
        <v>6</v>
      </c>
      <c r="AD34" s="406" t="inlineStr">
        <is>
          <t>S</t>
        </is>
      </c>
      <c r="AE34" s="395" t="n">
        <v>5</v>
      </c>
      <c r="AF34" s="396">
        <f>IF(AD34="S",AC34*$AD$1*AE34,AC34*$AD$3*AE34)</f>
        <v/>
      </c>
      <c r="AJ34" s="1051" t="n"/>
      <c r="AK34" s="405" t="inlineStr">
        <is>
          <t>PS-150 EDGE CONNECTIVITY</t>
        </is>
      </c>
      <c r="AM34" s="909" t="n">
        <v>362.6578</v>
      </c>
      <c r="AN34" s="596" t="n">
        <v>342.13</v>
      </c>
      <c r="AO34" s="602" t="n"/>
      <c r="AP34" s="414" t="inlineStr">
        <is>
          <t>PS01 790mm</t>
        </is>
      </c>
      <c r="AQ34" s="1175">
        <f>(POLLUSTOP!$G$39*0.79)+AR34</f>
        <v/>
      </c>
      <c r="AR34" s="916" t="n">
        <v>708.08</v>
      </c>
      <c r="AS34" s="596" t="n">
        <v>668</v>
      </c>
      <c r="AU34" s="823" t="inlineStr">
        <is>
          <t>MCB 24-WAY 125A</t>
        </is>
      </c>
      <c r="AV34" s="1173" t="n"/>
      <c r="AW34" s="408" t="n"/>
      <c r="AX34" s="915" t="n">
        <v>809.4054000000001</v>
      </c>
      <c r="AY34" s="601" t="n">
        <v>763.59</v>
      </c>
      <c r="BB34" s="823" t="n"/>
      <c r="BC34" s="823" t="n"/>
      <c r="BD34" s="819" t="n"/>
      <c r="BE34" s="1133" t="n"/>
      <c r="BF34" s="1139" t="n"/>
      <c r="BG34" s="1129" t="n"/>
      <c r="BH34" s="1129" t="n"/>
      <c r="BI34" s="1129" t="n"/>
      <c r="BJ34" s="1129" t="n"/>
      <c r="BK34" s="1129" t="n"/>
      <c r="BL34" s="1129" t="n"/>
      <c r="BM34" s="1129" t="n"/>
      <c r="BN34" s="1129" t="n"/>
      <c r="BO34" s="1129" t="n"/>
      <c r="BP34" s="1129" t="n"/>
    </row>
    <row r="35" ht="14.5" customHeight="1" s="1085">
      <c r="A35" s="405" t="inlineStr">
        <is>
          <t>USD</t>
        </is>
      </c>
      <c r="B35" s="401" t="n">
        <v>0</v>
      </c>
      <c r="C35" s="401" t="n"/>
      <c r="E35" s="905" t="inlineStr">
        <is>
          <t>BOLTON 259</t>
        </is>
      </c>
      <c r="F35" s="892" t="n">
        <v>901</v>
      </c>
      <c r="G35" s="598" t="n">
        <v>850</v>
      </c>
      <c r="H35" s="404" t="n"/>
      <c r="I35" s="1170" t="inlineStr">
        <is>
          <t>SMB550</t>
        </is>
      </c>
      <c r="J35" s="892" t="n">
        <v>430.36</v>
      </c>
      <c r="K35" s="598" t="n">
        <v>406</v>
      </c>
      <c r="M35" s="395" t="n">
        <v>1750</v>
      </c>
      <c r="N35" s="1175" t="inlineStr">
        <is>
          <t>EL12FLO</t>
        </is>
      </c>
      <c r="Q35" s="415" t="inlineStr">
        <is>
          <t xml:space="preserve">SELECT W/W PODS </t>
        </is>
      </c>
      <c r="R35" s="415" t="n">
        <v>0</v>
      </c>
      <c r="S35" s="415" t="n">
        <v>0</v>
      </c>
      <c r="U35" s="405" t="inlineStr">
        <is>
          <t>OTHER</t>
        </is>
      </c>
      <c r="V35" s="909" t="n"/>
      <c r="W35" s="598" t="n"/>
      <c r="Y35" s="1170" t="inlineStr">
        <is>
          <t>UVR6S-6   3.6 M³/s</t>
        </is>
      </c>
      <c r="Z35" s="406" t="inlineStr">
        <is>
          <t>UVR6S-6</t>
        </is>
      </c>
      <c r="AA35" s="909" t="n">
        <v>4817.7742</v>
      </c>
      <c r="AB35" s="598" t="n">
        <v>4545.07</v>
      </c>
      <c r="AC35" s="395" t="n">
        <v>6</v>
      </c>
      <c r="AD35" s="406" t="inlineStr">
        <is>
          <t>S</t>
        </is>
      </c>
      <c r="AE35" s="395" t="n">
        <v>6</v>
      </c>
      <c r="AF35" s="396">
        <f>IF(AD35="S",AC35*$AD$1*AE35,AC35*$AD$3*AE35)</f>
        <v/>
      </c>
      <c r="AJ35" s="1051" t="n"/>
      <c r="AM35" s="1053" t="n">
        <v>0</v>
      </c>
      <c r="AN35" s="596" t="n">
        <v>0</v>
      </c>
      <c r="AO35" s="602" t="n"/>
      <c r="AP35" s="414" t="inlineStr">
        <is>
          <t>PS02 790mm</t>
        </is>
      </c>
      <c r="AQ35" s="1175">
        <f>AR35+(POLLUSTOP!$G$40*0.79)</f>
        <v/>
      </c>
      <c r="AR35" s="916" t="n">
        <v>913.72</v>
      </c>
      <c r="AS35" s="596" t="n">
        <v>862</v>
      </c>
      <c r="AU35" s="823" t="inlineStr">
        <is>
          <t>MCB 4-WAY 160A</t>
        </is>
      </c>
      <c r="AV35" s="1173" t="n"/>
      <c r="AW35" s="408" t="n"/>
      <c r="AX35" s="915" t="n">
        <v>593.1866</v>
      </c>
      <c r="AY35" s="601" t="n">
        <v>559.61</v>
      </c>
      <c r="BB35" s="823" t="n"/>
      <c r="BC35" s="823" t="n"/>
      <c r="BD35" s="819" t="n"/>
      <c r="BE35" s="1133" t="n"/>
      <c r="BF35" s="1139" t="n"/>
      <c r="BG35" s="1129" t="n"/>
      <c r="BH35" s="1129" t="n"/>
      <c r="BI35" s="1129" t="n"/>
      <c r="BJ35" s="1129" t="n"/>
      <c r="BK35" s="1129" t="n"/>
      <c r="BL35" s="1129" t="n"/>
      <c r="BM35" s="1129" t="n"/>
      <c r="BN35" s="1129" t="n"/>
      <c r="BO35" s="1129" t="n"/>
      <c r="BP35" s="1129" t="n"/>
    </row>
    <row r="36" ht="14.5" customHeight="1" s="1085">
      <c r="A36" s="405" t="n"/>
      <c r="B36" s="401" t="n">
        <v>0</v>
      </c>
      <c r="C36" s="401" t="n"/>
      <c r="E36" s="905" t="inlineStr">
        <is>
          <t>BOOTLE 272</t>
        </is>
      </c>
      <c r="F36" s="892" t="n">
        <v>672.0400000000001</v>
      </c>
      <c r="G36" s="598" t="n">
        <v>634</v>
      </c>
      <c r="H36" s="404" t="n"/>
      <c r="I36" s="1170" t="inlineStr">
        <is>
          <t>SMB650</t>
        </is>
      </c>
      <c r="J36" s="892" t="n">
        <v>327.54</v>
      </c>
      <c r="K36" s="598" t="n">
        <v>309</v>
      </c>
      <c r="M36" s="395" t="n">
        <v>2000</v>
      </c>
      <c r="N36" s="1175" t="inlineStr">
        <is>
          <t>EL12FLO</t>
        </is>
      </c>
      <c r="Q36" s="452" t="inlineStr">
        <is>
          <t>1000-S</t>
        </is>
      </c>
      <c r="R36" s="892" t="n">
        <v>778.3368</v>
      </c>
      <c r="S36" s="598" t="n">
        <v>734.28</v>
      </c>
      <c r="T36" s="1170">
        <f>R36*1.06</f>
        <v/>
      </c>
      <c r="U36" s="405" t="inlineStr">
        <is>
          <t>6 TANK SYSTEM</t>
        </is>
      </c>
      <c r="V36" s="909" t="n">
        <v>8151.82</v>
      </c>
      <c r="W36" s="598" t="n">
        <v>8151.82</v>
      </c>
      <c r="Y36" s="1170" t="inlineStr">
        <is>
          <t>UVR6S-7   4.2 M³/s</t>
        </is>
      </c>
      <c r="Z36" s="406" t="inlineStr">
        <is>
          <t>UVR6S-7</t>
        </is>
      </c>
      <c r="AA36" s="909" t="n">
        <v>5565</v>
      </c>
      <c r="AB36" s="598" t="n">
        <v>5250</v>
      </c>
      <c r="AC36" s="395" t="n">
        <v>6</v>
      </c>
      <c r="AD36" s="406" t="inlineStr">
        <is>
          <t>S</t>
        </is>
      </c>
      <c r="AE36" s="395" t="n">
        <v>7</v>
      </c>
      <c r="AF36" s="396">
        <f>IF(AD36="S",AC36*$AD$1*AE36,AC36*$AD$3*AE36)</f>
        <v/>
      </c>
      <c r="AJ36" s="1051" t="n"/>
      <c r="AM36" s="1053" t="n">
        <v>0</v>
      </c>
      <c r="AN36" s="596" t="n">
        <v>0</v>
      </c>
      <c r="AO36" s="602" t="n"/>
      <c r="AP36" s="414" t="inlineStr">
        <is>
          <t>PS03 790mm</t>
        </is>
      </c>
      <c r="AQ36" s="1175">
        <f>AR36+(POLLUSTOP!$G$41*0.79)</f>
        <v/>
      </c>
      <c r="AR36" s="916" t="n">
        <v>1029.26</v>
      </c>
      <c r="AS36" s="596" t="n">
        <v>971</v>
      </c>
      <c r="AU36" s="823" t="inlineStr">
        <is>
          <t>MCB 6-WAY 160A</t>
        </is>
      </c>
      <c r="AV36" s="1173" t="n"/>
      <c r="AW36" s="408" t="n"/>
      <c r="AX36" s="915" t="n">
        <v>620.4392</v>
      </c>
      <c r="AY36" s="601" t="n">
        <v>585.3200000000001</v>
      </c>
      <c r="BB36" s="823" t="n"/>
      <c r="BC36" s="823" t="n"/>
      <c r="BD36" s="819" t="n"/>
      <c r="BE36" s="1133" t="n"/>
      <c r="BF36" s="1139" t="n"/>
      <c r="BG36" s="1129" t="n"/>
      <c r="BH36" s="1129" t="n"/>
      <c r="BI36" s="1129" t="n"/>
      <c r="BJ36" s="1129" t="n"/>
      <c r="BK36" s="1129" t="n"/>
      <c r="BL36" s="1129" t="n"/>
      <c r="BM36" s="1129" t="n"/>
      <c r="BN36" s="1129" t="n"/>
      <c r="BO36" s="1129" t="n"/>
      <c r="BP36" s="1129" t="n"/>
    </row>
    <row r="37" ht="14.5" customHeight="1" s="1085">
      <c r="A37" s="405" t="inlineStr">
        <is>
          <t>PLN</t>
        </is>
      </c>
      <c r="B37" s="400" t="n">
        <v>0</v>
      </c>
      <c r="C37" s="400" t="n"/>
      <c r="E37" s="905" t="inlineStr">
        <is>
          <t>BOURNEMOUTH 140</t>
        </is>
      </c>
      <c r="F37" s="892" t="n">
        <v>540.6</v>
      </c>
      <c r="G37" s="598" t="n">
        <v>510</v>
      </c>
      <c r="H37" s="404" t="n"/>
      <c r="I37" s="1170" t="inlineStr">
        <is>
          <t>SMB700</t>
        </is>
      </c>
      <c r="J37" s="892" t="n">
        <v>604.2</v>
      </c>
      <c r="K37" s="598" t="n">
        <v>570</v>
      </c>
      <c r="M37" s="395" t="n">
        <v>2250</v>
      </c>
      <c r="N37" s="1175" t="inlineStr">
        <is>
          <t>EL15FLO</t>
        </is>
      </c>
      <c r="Q37" s="452" t="inlineStr">
        <is>
          <t>1500-S</t>
        </is>
      </c>
      <c r="R37" s="892" t="n">
        <v>873.9488000000001</v>
      </c>
      <c r="S37" s="598" t="n">
        <v>824.48</v>
      </c>
      <c r="T37" s="1170">
        <f>R37*1.06</f>
        <v/>
      </c>
      <c r="U37" s="405" t="inlineStr">
        <is>
          <t>6 TANK TRAVEL HUB</t>
        </is>
      </c>
      <c r="V37" s="909" t="n">
        <v>0</v>
      </c>
      <c r="W37" s="598" t="n">
        <v>0</v>
      </c>
      <c r="Y37" s="1170" t="inlineStr">
        <is>
          <t>UVR6S-8   4.8 M³/s</t>
        </is>
      </c>
      <c r="Z37" s="406" t="inlineStr">
        <is>
          <t>UVR6S-8</t>
        </is>
      </c>
      <c r="AA37" s="909" t="n">
        <v>6312.225800000001</v>
      </c>
      <c r="AB37" s="598" t="n">
        <v>5954.93</v>
      </c>
      <c r="AC37" s="395" t="n">
        <v>6</v>
      </c>
      <c r="AD37" s="406" t="inlineStr">
        <is>
          <t>S</t>
        </is>
      </c>
      <c r="AE37" s="395" t="n">
        <v>8</v>
      </c>
      <c r="AF37" s="396">
        <f>IF(AD37="S",AC37*$AD$1*AE37,AC37*$AD$3*AE37)</f>
        <v/>
      </c>
      <c r="AJ37" s="1051" t="n"/>
      <c r="AK37" s="405" t="inlineStr">
        <is>
          <t>BIM/REVIT PER SYSTEM</t>
        </is>
      </c>
      <c r="AL37" s="405" t="n"/>
      <c r="AM37" s="909" t="n">
        <v>53</v>
      </c>
      <c r="AN37" s="596" t="n">
        <v>50</v>
      </c>
      <c r="AO37" s="602" t="n"/>
      <c r="AP37" s="414" t="inlineStr">
        <is>
          <t>PS04 790mm</t>
        </is>
      </c>
      <c r="AQ37" s="1175">
        <f>AR37+(POLLUSTOP!$G$41*0.79)</f>
        <v/>
      </c>
      <c r="AR37" s="916" t="n">
        <v>1103.46</v>
      </c>
      <c r="AS37" s="596" t="n">
        <v>1041</v>
      </c>
      <c r="AU37" s="823" t="inlineStr">
        <is>
          <t>MCB 8-WAY 160A</t>
        </is>
      </c>
      <c r="AV37" s="1173" t="n"/>
      <c r="AW37" s="408" t="n"/>
      <c r="AX37" s="915" t="n">
        <v>631.8766000000001</v>
      </c>
      <c r="AY37" s="601" t="n">
        <v>596.11</v>
      </c>
      <c r="BB37" s="823" t="n"/>
    </row>
    <row r="38" ht="14.5" customHeight="1" s="1085">
      <c r="E38" s="905" t="inlineStr">
        <is>
          <t>BRADFORD 234</t>
        </is>
      </c>
      <c r="F38" s="892" t="n">
        <v>578.76</v>
      </c>
      <c r="G38" s="598" t="n">
        <v>546</v>
      </c>
      <c r="H38" s="404" t="n"/>
      <c r="M38" s="395" t="n">
        <v>2500</v>
      </c>
      <c r="N38" s="1175" t="inlineStr">
        <is>
          <t>EL18FLO</t>
        </is>
      </c>
      <c r="Q38" s="452" t="inlineStr">
        <is>
          <t>2000-S</t>
        </is>
      </c>
      <c r="R38" s="892" t="n">
        <v>1152.8454</v>
      </c>
      <c r="S38" s="598" t="n">
        <v>1087.59</v>
      </c>
      <c r="T38" s="1170">
        <f>R38*1.06</f>
        <v/>
      </c>
      <c r="U38" s="405" t="inlineStr">
        <is>
          <t>6 TANK DISTANCE</t>
        </is>
      </c>
      <c r="V38" s="909" t="n">
        <v>8151.82</v>
      </c>
      <c r="W38" s="598" t="n">
        <v>8151.82</v>
      </c>
      <c r="Y38" s="1170" t="inlineStr">
        <is>
          <t>UVR6S-9   5.4 M³/s</t>
        </is>
      </c>
      <c r="Z38" s="406" t="inlineStr">
        <is>
          <t>UVR6S-9</t>
        </is>
      </c>
      <c r="AA38" s="909" t="n">
        <v>7059.4516</v>
      </c>
      <c r="AB38" s="598" t="n">
        <v>6659.86</v>
      </c>
      <c r="AC38" s="395" t="n">
        <v>6</v>
      </c>
      <c r="AD38" s="406" t="inlineStr">
        <is>
          <t>S</t>
        </is>
      </c>
      <c r="AE38" s="395" t="n">
        <v>9</v>
      </c>
      <c r="AF38" s="396">
        <f>IF(AD38="S",AC38*$AD$1*AE38,AC38*$AD$3*AE38)</f>
        <v/>
      </c>
      <c r="AJ38" s="1051" t="n"/>
      <c r="AP38" s="414" t="inlineStr">
        <is>
          <t>PS05 790mm</t>
        </is>
      </c>
      <c r="AQ38" s="1175">
        <f>AR38+(POLLUSTOP!$G$42*0.79)</f>
        <v/>
      </c>
      <c r="AR38" s="916" t="n">
        <v>1232.78</v>
      </c>
      <c r="AS38" s="596" t="n">
        <v>1163</v>
      </c>
      <c r="AU38" s="823" t="inlineStr">
        <is>
          <t>MCB 16-WAY 160A</t>
        </is>
      </c>
      <c r="AV38" s="1173" t="n"/>
      <c r="AW38" s="408" t="n"/>
      <c r="AX38" s="915" t="n">
        <v>673.5982</v>
      </c>
      <c r="AY38" s="601" t="n">
        <v>635.47</v>
      </c>
      <c r="BB38" s="823" t="n"/>
    </row>
    <row r="39" ht="14.5" customHeight="1" s="1085">
      <c r="A39" s="417" t="inlineStr">
        <is>
          <t>CANOPY TYPE</t>
        </is>
      </c>
      <c r="B39" s="418" t="inlineStr">
        <is>
          <t>FILTER TYPE</t>
        </is>
      </c>
      <c r="C39" s="418" t="inlineStr">
        <is>
          <t>PSU</t>
        </is>
      </c>
      <c r="E39" s="905" t="inlineStr">
        <is>
          <t>BRAINTREE 60</t>
        </is>
      </c>
      <c r="F39" s="892" t="n">
        <v>218.36</v>
      </c>
      <c r="G39" s="598" t="n">
        <v>206</v>
      </c>
      <c r="H39" s="404" t="n"/>
      <c r="I39" s="415" t="inlineStr">
        <is>
          <t>Electric heater inc controls</t>
        </is>
      </c>
      <c r="J39" s="415" t="n"/>
      <c r="K39" s="415" t="n"/>
      <c r="M39" s="395" t="n">
        <v>2750</v>
      </c>
      <c r="N39" s="1175" t="inlineStr">
        <is>
          <t>EL18FLO</t>
        </is>
      </c>
      <c r="Q39" s="452" t="inlineStr">
        <is>
          <t>2500-S</t>
        </is>
      </c>
      <c r="R39" s="892" t="n">
        <v>1183.3522</v>
      </c>
      <c r="S39" s="598" t="n">
        <v>1116.37</v>
      </c>
      <c r="T39" s="1170">
        <f>R39*1.06</f>
        <v/>
      </c>
      <c r="U39" s="405" t="inlineStr">
        <is>
          <t>NOBEL</t>
        </is>
      </c>
      <c r="V39" s="909" t="n"/>
      <c r="W39" s="598" t="n"/>
      <c r="Y39" s="1170" t="inlineStr">
        <is>
          <t>UVR6S-10  5.4 M³/s</t>
        </is>
      </c>
      <c r="Z39" s="406" t="inlineStr">
        <is>
          <t>UVR6S-10</t>
        </is>
      </c>
      <c r="AA39" s="909" t="n">
        <v>7806.6774</v>
      </c>
      <c r="AB39" s="598" t="n">
        <v>7364.79</v>
      </c>
      <c r="AC39" s="395" t="n">
        <v>6</v>
      </c>
      <c r="AD39" s="406" t="inlineStr">
        <is>
          <t>S</t>
        </is>
      </c>
      <c r="AE39" s="395" t="n">
        <v>10</v>
      </c>
      <c r="AF39" s="396">
        <f>IF(AD39="S",AC39*$AD$1*AE39,AC39*$AD$3*AE39)</f>
        <v/>
      </c>
      <c r="AJ39" s="1051" t="n"/>
      <c r="AP39" s="414" t="inlineStr">
        <is>
          <t>PS06 790mm</t>
        </is>
      </c>
      <c r="AQ39" s="1175">
        <f>AR39+(POLLUSTOP!$G$42*0.79)</f>
        <v/>
      </c>
      <c r="AR39" s="916" t="n">
        <v>1323.94</v>
      </c>
      <c r="AS39" s="596" t="n">
        <v>1249</v>
      </c>
      <c r="AU39" s="823" t="inlineStr">
        <is>
          <t>MCB 16-WAY 160A</t>
        </is>
      </c>
      <c r="AV39" s="1173" t="n"/>
      <c r="AW39" s="408" t="n"/>
      <c r="AX39" s="915" t="n">
        <v>801.0208</v>
      </c>
      <c r="AY39" s="601" t="n">
        <v>755.6799999999999</v>
      </c>
      <c r="BB39" s="823" t="n"/>
    </row>
    <row r="40" ht="14.5" customHeight="1" s="1085">
      <c r="A40" s="405" t="inlineStr">
        <is>
          <t>KVX</t>
        </is>
      </c>
      <c r="B40" s="401" t="inlineStr">
        <is>
          <t>KSA</t>
        </is>
      </c>
      <c r="C40" s="401" t="inlineStr">
        <is>
          <t>PSU</t>
        </is>
      </c>
      <c r="E40" s="905" t="inlineStr">
        <is>
          <t>BRIDGEND 205</t>
        </is>
      </c>
      <c r="F40" s="892" t="n">
        <v>858.6</v>
      </c>
      <c r="G40" s="598" t="n">
        <v>810</v>
      </c>
      <c r="H40" s="404" t="n"/>
      <c r="I40" s="405" t="inlineStr">
        <is>
          <t xml:space="preserve">upto 12kW </t>
        </is>
      </c>
      <c r="J40" s="892" t="n">
        <v>687.0072</v>
      </c>
      <c r="K40" s="598" t="n">
        <v>648.12</v>
      </c>
      <c r="M40" s="395" t="n">
        <v>3000</v>
      </c>
      <c r="N40" s="1175" t="inlineStr">
        <is>
          <t>EL18FLO</t>
        </is>
      </c>
      <c r="Q40" s="452" t="inlineStr">
        <is>
          <t>3000-S</t>
        </is>
      </c>
      <c r="R40" s="892" t="n">
        <v>1317.4104</v>
      </c>
      <c r="S40" s="598" t="n">
        <v>1242.84</v>
      </c>
      <c r="T40" s="1170">
        <f>R40*1.06</f>
        <v/>
      </c>
      <c r="U40" s="405" t="inlineStr">
        <is>
          <t>AMEREX</t>
        </is>
      </c>
      <c r="V40" s="909" t="n"/>
      <c r="W40" s="598" t="n"/>
      <c r="Y40" s="1170" t="inlineStr">
        <is>
          <t>UVR6S-11  6.6 M³/s</t>
        </is>
      </c>
      <c r="Z40" s="406" t="inlineStr">
        <is>
          <t>UVR6S-11</t>
        </is>
      </c>
      <c r="AA40" s="909" t="n">
        <v>8553.903200000001</v>
      </c>
      <c r="AB40" s="598" t="n">
        <v>8069.72</v>
      </c>
      <c r="AC40" s="395" t="n">
        <v>6</v>
      </c>
      <c r="AD40" s="406" t="inlineStr">
        <is>
          <t>S</t>
        </is>
      </c>
      <c r="AE40" s="395" t="n">
        <v>11</v>
      </c>
      <c r="AF40" s="396">
        <f>IF(AD40="S",AC40*$AD$1*AE40,AC40*$AD$3*AE40)</f>
        <v/>
      </c>
      <c r="AJ40" s="1051" t="n"/>
      <c r="AK40" s="417" t="inlineStr">
        <is>
          <t>CANOPY COMPONENTS</t>
        </is>
      </c>
      <c r="AL40" s="417" t="inlineStr">
        <is>
          <t>EXTRACT PLENUM</t>
        </is>
      </c>
      <c r="AM40" s="417" t="n"/>
      <c r="AP40" s="414" t="inlineStr">
        <is>
          <t>PS07 790mm</t>
        </is>
      </c>
      <c r="AQ40" s="1175">
        <f>AR40+(POLLUSTOP!$G$43*0.79)</f>
        <v/>
      </c>
      <c r="AR40" s="916" t="n">
        <v>1340.9</v>
      </c>
      <c r="AS40" s="596" t="n">
        <v>1265</v>
      </c>
      <c r="AU40" s="823" t="inlineStr">
        <is>
          <t>MCB 18-WAY 160A</t>
        </is>
      </c>
      <c r="AV40" s="1173" t="n"/>
      <c r="AW40" s="408" t="n"/>
      <c r="AX40" s="915" t="n">
        <v>863.9954000000001</v>
      </c>
      <c r="AY40" s="601" t="n">
        <v>815.09</v>
      </c>
      <c r="BB40" s="823" t="n"/>
    </row>
    <row r="41" ht="14.5" customHeight="1" s="1085">
      <c r="A41" s="405" t="inlineStr">
        <is>
          <t>KVX-M</t>
        </is>
      </c>
      <c r="B41" s="401" t="inlineStr">
        <is>
          <t>KSA</t>
        </is>
      </c>
      <c r="C41" s="401" t="inlineStr">
        <is>
          <t>PSU</t>
        </is>
      </c>
      <c r="E41" s="905" t="inlineStr">
        <is>
          <t>BRIDLINGTON 244</t>
        </is>
      </c>
      <c r="F41" s="892" t="n">
        <v>633.88</v>
      </c>
      <c r="G41" s="598" t="n">
        <v>598</v>
      </c>
      <c r="H41" s="404" t="n"/>
      <c r="I41" s="405" t="inlineStr">
        <is>
          <t xml:space="preserve">upto 24kW </t>
        </is>
      </c>
      <c r="J41" s="892" t="n">
        <v>894.0252</v>
      </c>
      <c r="K41" s="598" t="n">
        <v>843.42</v>
      </c>
      <c r="M41" s="395" t="n">
        <v>1000</v>
      </c>
      <c r="N41" s="1175" t="inlineStr">
        <is>
          <t>LED STRIP L6</t>
        </is>
      </c>
      <c r="O41" s="1170" t="n"/>
      <c r="Q41" s="452" t="inlineStr">
        <is>
          <t>1000-D</t>
        </is>
      </c>
      <c r="R41" s="892" t="n">
        <v>1102.1562</v>
      </c>
      <c r="S41" s="598" t="n">
        <v>1039.77</v>
      </c>
      <c r="T41" s="1170">
        <f>R41*1.06</f>
        <v/>
      </c>
      <c r="U41" s="405" t="inlineStr">
        <is>
          <t>OTHER</t>
        </is>
      </c>
      <c r="V41" s="909" t="n"/>
      <c r="W41" s="598" t="n"/>
      <c r="Y41" s="1170" t="inlineStr">
        <is>
          <t>UVR6S-12  7.2 M³/s</t>
        </is>
      </c>
      <c r="Z41" s="406" t="inlineStr">
        <is>
          <t>UVR6S-12</t>
        </is>
      </c>
      <c r="AA41" s="909" t="n">
        <v>9301.129000000001</v>
      </c>
      <c r="AB41" s="598" t="n">
        <v>8774.65</v>
      </c>
      <c r="AC41" s="395" t="n">
        <v>6</v>
      </c>
      <c r="AD41" s="406" t="inlineStr">
        <is>
          <t>S</t>
        </is>
      </c>
      <c r="AE41" s="395" t="n">
        <v>12</v>
      </c>
      <c r="AF41" s="396">
        <f>IF(AD41="S",AC41*$AD$1*AE41,AC41*$AD$3*AE41)</f>
        <v/>
      </c>
      <c r="AJ41" s="1051" t="n"/>
      <c r="AK41" s="1170" t="inlineStr">
        <is>
          <t>SUPERVISOR</t>
        </is>
      </c>
      <c r="AL41" s="405" t="inlineStr">
        <is>
          <t>LHC-2-MU1 + VV1</t>
        </is>
      </c>
      <c r="AM41" s="909" t="n">
        <v>226.84</v>
      </c>
      <c r="AN41" s="596" t="n">
        <v>214</v>
      </c>
      <c r="AO41" s="602" t="n"/>
      <c r="AP41" s="414" t="inlineStr">
        <is>
          <t>PS08 790mm</t>
        </is>
      </c>
      <c r="AQ41" s="1175">
        <f>AR41+(POLLUSTOP!$G$43*0.79)</f>
        <v/>
      </c>
      <c r="AR41" s="916" t="n">
        <v>1593.18</v>
      </c>
      <c r="AS41" s="596" t="n">
        <v>1503</v>
      </c>
      <c r="AU41" s="823" t="inlineStr">
        <is>
          <t>MCB 24-WAY 160A</t>
        </is>
      </c>
      <c r="AV41" s="1173" t="n"/>
      <c r="AW41" s="408" t="n"/>
      <c r="AX41" s="915" t="n">
        <v>1129.5042</v>
      </c>
      <c r="AY41" s="601" t="n">
        <v>1065.57</v>
      </c>
      <c r="BB41" s="823" t="n"/>
    </row>
    <row r="42" ht="14.5" customHeight="1" s="1085">
      <c r="A42" s="405" t="inlineStr">
        <is>
          <t>KVI</t>
        </is>
      </c>
      <c r="B42" s="401" t="inlineStr">
        <is>
          <t>KSA</t>
        </is>
      </c>
      <c r="C42" s="401" t="inlineStr">
        <is>
          <t>PSU</t>
        </is>
      </c>
      <c r="E42" s="905" t="inlineStr">
        <is>
          <t>BRIGHTON 68</t>
        </is>
      </c>
      <c r="F42" s="892" t="n">
        <v>477</v>
      </c>
      <c r="G42" s="598" t="n">
        <v>450</v>
      </c>
      <c r="H42" s="404" t="n"/>
      <c r="I42" s="405" t="inlineStr">
        <is>
          <t xml:space="preserve">upto 30kW </t>
        </is>
      </c>
      <c r="J42" s="892" t="n">
        <v>1228.01</v>
      </c>
      <c r="K42" s="598" t="n">
        <v>1158.5</v>
      </c>
      <c r="M42" s="395" t="n">
        <v>1250</v>
      </c>
      <c r="N42" s="1175" t="inlineStr">
        <is>
          <t>LED STRIP L6</t>
        </is>
      </c>
      <c r="Q42" s="452" t="inlineStr">
        <is>
          <t>1500-D</t>
        </is>
      </c>
      <c r="R42" s="892" t="n">
        <v>1281.1584</v>
      </c>
      <c r="S42" s="598" t="n">
        <v>1208.64</v>
      </c>
      <c r="T42" s="1170">
        <f>R42*1.06</f>
        <v/>
      </c>
      <c r="U42" s="405" t="n"/>
      <c r="V42" s="909" t="n"/>
      <c r="W42" s="598" t="n"/>
      <c r="Y42" s="1170" t="inlineStr">
        <is>
          <t>UVR6L-1   1.2 M³/s</t>
        </is>
      </c>
      <c r="Z42" s="406" t="inlineStr">
        <is>
          <t>UVR6L-1</t>
        </is>
      </c>
      <c r="AA42" s="909" t="n">
        <v>1123.3456</v>
      </c>
      <c r="AB42" s="598" t="n">
        <v>1059.76</v>
      </c>
      <c r="AC42" s="395" t="n">
        <v>6</v>
      </c>
      <c r="AD42" s="406" t="inlineStr">
        <is>
          <t>L</t>
        </is>
      </c>
      <c r="AE42" s="395" t="n">
        <v>1</v>
      </c>
      <c r="AF42" s="396">
        <f>IF(AD42="S",AC42*#REF!*AE42,AC42*$AD$3*AE42)</f>
        <v/>
      </c>
      <c r="AJ42" s="1051" t="n"/>
      <c r="AK42" s="1170" t="inlineStr">
        <is>
          <t>ICM CABLE (3M OR 5M)</t>
        </is>
      </c>
      <c r="AL42" s="1170" t="inlineStr">
        <is>
          <t>1 PER SECTION</t>
        </is>
      </c>
      <c r="AM42" s="909" t="n">
        <v>2.067</v>
      </c>
      <c r="AN42" s="596" t="n">
        <v>1.95</v>
      </c>
      <c r="AO42" s="602" t="n"/>
      <c r="AP42" s="414" t="inlineStr">
        <is>
          <t>PS09 790mm</t>
        </is>
      </c>
      <c r="AQ42" s="1175">
        <f>AR42+(POLLUSTOP!$G$43*0.79)</f>
        <v/>
      </c>
      <c r="AR42" s="916" t="n">
        <v>1749</v>
      </c>
      <c r="AS42" s="596" t="n">
        <v>1650</v>
      </c>
      <c r="AU42" s="823" t="inlineStr">
        <is>
          <t>MCB 4-WAY 250A</t>
        </is>
      </c>
      <c r="AV42" s="1173" t="n"/>
      <c r="AW42" s="408" t="n"/>
      <c r="AX42" s="915" t="n">
        <v>699.0382000000001</v>
      </c>
      <c r="AY42" s="601" t="n">
        <v>659.47</v>
      </c>
      <c r="BB42" s="823" t="n"/>
    </row>
    <row r="43" ht="14.5" customHeight="1" s="1085">
      <c r="A43" s="405" t="inlineStr">
        <is>
          <t>KVF</t>
        </is>
      </c>
      <c r="B43" s="401" t="inlineStr">
        <is>
          <t>KSA</t>
        </is>
      </c>
      <c r="C43" s="401" t="inlineStr">
        <is>
          <t>PSU</t>
        </is>
      </c>
      <c r="E43" s="905" t="inlineStr">
        <is>
          <t>BRISTOL 157</t>
        </is>
      </c>
      <c r="F43" s="892" t="n">
        <v>598.9</v>
      </c>
      <c r="G43" s="598" t="n">
        <v>565</v>
      </c>
      <c r="H43" s="404" t="n"/>
      <c r="I43" s="405" t="inlineStr">
        <is>
          <t xml:space="preserve">upto 36kW </t>
        </is>
      </c>
      <c r="J43" s="892" t="n">
        <v>1241.5038</v>
      </c>
      <c r="K43" s="598" t="n">
        <v>1171.23</v>
      </c>
      <c r="M43" s="395" t="n">
        <v>1500</v>
      </c>
      <c r="N43" s="1175" t="inlineStr">
        <is>
          <t>LED STRIP L6</t>
        </is>
      </c>
      <c r="Q43" s="452" t="inlineStr">
        <is>
          <t>2000-D</t>
        </is>
      </c>
      <c r="R43" s="892" t="n">
        <v>1826.7192</v>
      </c>
      <c r="S43" s="598" t="n">
        <v>1723.32</v>
      </c>
      <c r="T43" s="1170">
        <f>R43*1.06</f>
        <v/>
      </c>
      <c r="V43" s="1050" t="n">
        <v>45658</v>
      </c>
      <c r="W43" s="976" t="n">
        <v>45566</v>
      </c>
      <c r="Y43" s="1170" t="inlineStr">
        <is>
          <t>UVR6L-2   2.4 M³/s</t>
        </is>
      </c>
      <c r="Z43" s="406" t="inlineStr">
        <is>
          <t>UVR6L-2</t>
        </is>
      </c>
      <c r="AA43" s="909" t="n">
        <v>1913.777</v>
      </c>
      <c r="AB43" s="598" t="n">
        <v>1805.45</v>
      </c>
      <c r="AC43" s="395" t="n">
        <v>6</v>
      </c>
      <c r="AD43" s="406" t="inlineStr">
        <is>
          <t>L</t>
        </is>
      </c>
      <c r="AE43" s="395" t="n">
        <v>2</v>
      </c>
      <c r="AF43" s="396">
        <f>IF(AD43="S",AC43*#REF!*AE43,AC43*$AD$3*AE43)</f>
        <v/>
      </c>
      <c r="AJ43" s="1051" t="n"/>
      <c r="AM43" s="909" t="n">
        <v>0</v>
      </c>
      <c r="AN43" s="596" t="n">
        <v>0</v>
      </c>
      <c r="AO43" s="602" t="n"/>
      <c r="AP43" s="414" t="inlineStr">
        <is>
          <t>PS10 790mm</t>
        </is>
      </c>
      <c r="AQ43" s="1175">
        <f>AR43+(POLLUSTOP!$G$44*0.79)</f>
        <v/>
      </c>
      <c r="AR43" s="916" t="n">
        <v>2001.28</v>
      </c>
      <c r="AS43" s="596" t="n">
        <v>1888</v>
      </c>
      <c r="AU43" s="823" t="inlineStr">
        <is>
          <t>MCB 6-WAY 250A</t>
        </is>
      </c>
      <c r="AV43" s="1173" t="n"/>
      <c r="AW43" s="408" t="n"/>
      <c r="AX43" s="915" t="n">
        <v>726.2908</v>
      </c>
      <c r="AY43" s="601" t="n">
        <v>685.1799999999999</v>
      </c>
      <c r="BB43" s="823" t="n"/>
    </row>
    <row r="44" ht="14.5" customHeight="1" s="1085">
      <c r="A44" s="405" t="inlineStr">
        <is>
          <t>UVX</t>
        </is>
      </c>
      <c r="B44" s="401" t="inlineStr">
        <is>
          <t>KSA</t>
        </is>
      </c>
      <c r="C44" s="401" t="inlineStr">
        <is>
          <t>PSU</t>
        </is>
      </c>
      <c r="E44" s="905" t="inlineStr">
        <is>
          <t>BUCKINGHAMSHIRE 109</t>
        </is>
      </c>
      <c r="F44" s="892" t="n">
        <v>424</v>
      </c>
      <c r="G44" s="598" t="n">
        <v>400</v>
      </c>
      <c r="H44" s="404" t="n"/>
      <c r="I44" s="405" t="inlineStr">
        <is>
          <t xml:space="preserve">upto 42kW </t>
        </is>
      </c>
      <c r="J44" s="892" t="n">
        <v>1332.6002</v>
      </c>
      <c r="K44" s="598" t="n">
        <v>1257.17</v>
      </c>
      <c r="M44" s="395" t="n">
        <v>1750</v>
      </c>
      <c r="N44" s="1175" t="inlineStr">
        <is>
          <t>LED STRIP L12</t>
        </is>
      </c>
      <c r="Q44" s="452" t="inlineStr">
        <is>
          <t>2500-D</t>
        </is>
      </c>
      <c r="R44" s="892" t="n">
        <v>1875.5216</v>
      </c>
      <c r="S44" s="598" t="n">
        <v>1769.36</v>
      </c>
      <c r="T44" s="1170">
        <f>R44*1.06</f>
        <v/>
      </c>
      <c r="U44" s="415" t="inlineStr">
        <is>
          <t>TANK INSTALL</t>
        </is>
      </c>
      <c r="V44" s="415" t="n"/>
      <c r="W44" s="415" t="n"/>
      <c r="Y44" s="1170" t="inlineStr">
        <is>
          <t>UVR6L-3   3.6 M³/s</t>
        </is>
      </c>
      <c r="Z44" s="406" t="inlineStr">
        <is>
          <t>UVR6L-3</t>
        </is>
      </c>
      <c r="AA44" s="909" t="n">
        <v>2704.2084</v>
      </c>
      <c r="AB44" s="598" t="n">
        <v>2551.14</v>
      </c>
      <c r="AC44" s="395" t="n">
        <v>6</v>
      </c>
      <c r="AD44" s="406" t="inlineStr">
        <is>
          <t>L</t>
        </is>
      </c>
      <c r="AE44" s="395" t="n">
        <v>3</v>
      </c>
      <c r="AF44" s="396">
        <f>IF(AD44="S",AC44*#REF!*AE44,AC44*$AD$3*AE44)</f>
        <v/>
      </c>
      <c r="AJ44" s="1051" t="n"/>
      <c r="AK44" s="405" t="inlineStr">
        <is>
          <t>NTC-4  SENSOR</t>
        </is>
      </c>
      <c r="AL44" s="1170" t="inlineStr">
        <is>
          <t>1 PER SECTION</t>
        </is>
      </c>
      <c r="AM44" s="909" t="n">
        <v>7.229200000000001</v>
      </c>
      <c r="AN44" s="596" t="n">
        <v>6.82</v>
      </c>
      <c r="AO44" s="602" t="n"/>
      <c r="AP44" s="405" t="n"/>
      <c r="AU44" s="823" t="inlineStr">
        <is>
          <t>MCB 8-WAY 250A</t>
        </is>
      </c>
      <c r="AV44" s="1173" t="n"/>
      <c r="AW44" s="408" t="n"/>
      <c r="AX44" s="915" t="n">
        <v>737.7282</v>
      </c>
      <c r="AY44" s="601" t="n">
        <v>695.97</v>
      </c>
      <c r="BB44" s="823" t="n"/>
    </row>
    <row r="45" ht="14.5" customHeight="1" s="1085">
      <c r="A45" s="405" t="inlineStr">
        <is>
          <t>UVX-M</t>
        </is>
      </c>
      <c r="B45" s="401" t="inlineStr">
        <is>
          <t>KSA</t>
        </is>
      </c>
      <c r="C45" s="401" t="inlineStr">
        <is>
          <t>PSU</t>
        </is>
      </c>
      <c r="E45" s="905" t="inlineStr">
        <is>
          <t>BURNLEY 296</t>
        </is>
      </c>
      <c r="F45" s="892" t="n">
        <v>672.0400000000001</v>
      </c>
      <c r="G45" s="598" t="n">
        <v>634</v>
      </c>
      <c r="H45" s="404" t="n"/>
      <c r="M45" s="395" t="n">
        <v>2000</v>
      </c>
      <c r="N45" s="1175" t="inlineStr">
        <is>
          <t>LED STRIP L12</t>
        </is>
      </c>
      <c r="Q45" s="452" t="inlineStr">
        <is>
          <t>3000-D</t>
        </is>
      </c>
      <c r="R45" s="892" t="n">
        <v>2131.4162</v>
      </c>
      <c r="S45" s="598" t="n">
        <v>2010.77</v>
      </c>
      <c r="T45" s="1170">
        <f>R45*1.06</f>
        <v/>
      </c>
      <c r="U45" s="405" t="inlineStr">
        <is>
          <t>1 TANK</t>
        </is>
      </c>
      <c r="V45" s="916" t="n">
        <v>700</v>
      </c>
      <c r="W45" s="596" t="n">
        <v>700</v>
      </c>
      <c r="Y45" s="1170" t="inlineStr">
        <is>
          <t>UVR6L-4   4.8 M³/s</t>
        </is>
      </c>
      <c r="Z45" s="406" t="inlineStr">
        <is>
          <t>UVR6L-4</t>
        </is>
      </c>
      <c r="AA45" s="909" t="n">
        <v>3494.6398</v>
      </c>
      <c r="AB45" s="598" t="n">
        <v>3296.83</v>
      </c>
      <c r="AC45" s="395" t="n">
        <v>6</v>
      </c>
      <c r="AD45" s="406" t="inlineStr">
        <is>
          <t>L</t>
        </is>
      </c>
      <c r="AE45" s="395" t="n">
        <v>4</v>
      </c>
      <c r="AF45" s="396">
        <f>IF(AD45="S",AC45*#REF!*AE45,AC45*$AD$3*AE45)</f>
        <v/>
      </c>
      <c r="AJ45" s="1051" t="n"/>
      <c r="AK45" s="405" t="inlineStr">
        <is>
          <t>LIR-2 SENSOR</t>
        </is>
      </c>
      <c r="AL45" s="405" t="inlineStr">
        <is>
          <t>1 PER SECTION</t>
        </is>
      </c>
      <c r="AM45" s="909" t="n">
        <v>136.8354</v>
      </c>
      <c r="AN45" s="596" t="n">
        <v>129.09</v>
      </c>
      <c r="AO45" s="602" t="n"/>
      <c r="AP45" s="423" t="inlineStr">
        <is>
          <t>HEPA FILTERS</t>
        </is>
      </c>
      <c r="AQ45" s="417" t="n"/>
      <c r="AR45" s="417" t="n"/>
      <c r="AS45" s="417" t="n"/>
      <c r="AU45" s="823" t="inlineStr">
        <is>
          <t>MCB 16-WAY 250A</t>
        </is>
      </c>
      <c r="AV45" s="1173" t="n"/>
      <c r="AW45" s="408" t="n"/>
      <c r="AX45" s="915" t="n">
        <v>779.4498000000001</v>
      </c>
      <c r="AY45" s="601" t="n">
        <v>735.33</v>
      </c>
      <c r="BB45" s="823" t="n"/>
    </row>
    <row r="46" ht="14.5" customHeight="1" s="1085">
      <c r="A46" s="405" t="inlineStr">
        <is>
          <t>UVI</t>
        </is>
      </c>
      <c r="B46" s="401" t="inlineStr">
        <is>
          <t>KSA</t>
        </is>
      </c>
      <c r="C46" s="401" t="inlineStr">
        <is>
          <t>PSU</t>
        </is>
      </c>
      <c r="E46" s="905" t="inlineStr">
        <is>
          <t>BURTON UPON TRENT 175</t>
        </is>
      </c>
      <c r="F46" s="892" t="n">
        <v>598.9</v>
      </c>
      <c r="G46" s="598" t="n">
        <v>565</v>
      </c>
      <c r="H46" s="404" t="n"/>
      <c r="M46" s="395" t="n">
        <v>2250</v>
      </c>
      <c r="N46" s="1175" t="inlineStr">
        <is>
          <t>LED STRIP L12</t>
        </is>
      </c>
      <c r="S46" s="1175" t="n"/>
      <c r="U46" s="405" t="inlineStr">
        <is>
          <t>1 TANK DISTANCE</t>
        </is>
      </c>
      <c r="V46" s="916" t="n">
        <v>930</v>
      </c>
      <c r="W46" s="596" t="n">
        <v>930</v>
      </c>
      <c r="Y46" s="1170" t="inlineStr">
        <is>
          <t>UVR6L-5   6.0 M³/s</t>
        </is>
      </c>
      <c r="Z46" s="406" t="inlineStr">
        <is>
          <t>UVR6L-5</t>
        </is>
      </c>
      <c r="AA46" s="909" t="n">
        <v>4285.0712</v>
      </c>
      <c r="AB46" s="598" t="n">
        <v>4042.52</v>
      </c>
      <c r="AC46" s="395" t="n">
        <v>6</v>
      </c>
      <c r="AD46" s="406" t="inlineStr">
        <is>
          <t>L</t>
        </is>
      </c>
      <c r="AE46" s="395" t="n">
        <v>5</v>
      </c>
      <c r="AF46" s="396">
        <f>IF(AD46="S",AC46*#REF!*AE46,AC46*$AD$3*AE46)</f>
        <v/>
      </c>
      <c r="AJ46" s="1051" t="n"/>
      <c r="AK46" s="1170" t="inlineStr">
        <is>
          <t>MOTORISED DAMPER</t>
        </is>
      </c>
      <c r="AL46" s="405" t="inlineStr">
        <is>
          <t>600/400 X 300MM  1 PER SPIGOT</t>
        </is>
      </c>
      <c r="AM46" s="909" t="n">
        <v>409.2236</v>
      </c>
      <c r="AN46" s="596" t="n">
        <v>386.06</v>
      </c>
      <c r="AO46" s="602" t="n"/>
      <c r="AP46" s="414" t="inlineStr">
        <is>
          <t>Size</t>
        </is>
      </c>
      <c r="AQ46" s="1175" t="n">
        <v>0</v>
      </c>
      <c r="AR46" s="894" t="n"/>
      <c r="AS46" s="894" t="n"/>
      <c r="AU46" s="823" t="inlineStr">
        <is>
          <t>MCB 16-WAY 250A</t>
        </is>
      </c>
      <c r="AV46" s="1173" t="n"/>
      <c r="AW46" s="408" t="n"/>
      <c r="AX46" s="915" t="n">
        <v>906.8724</v>
      </c>
      <c r="AY46" s="601" t="n">
        <v>855.54</v>
      </c>
      <c r="BB46" s="823" t="n"/>
    </row>
    <row r="47" ht="14.5" customHeight="1" s="1085">
      <c r="A47" s="405" t="inlineStr">
        <is>
          <t>UVF</t>
        </is>
      </c>
      <c r="B47" s="401" t="inlineStr">
        <is>
          <t>KSA</t>
        </is>
      </c>
      <c r="C47" s="401" t="inlineStr">
        <is>
          <t>PSU</t>
        </is>
      </c>
      <c r="E47" s="905" t="inlineStr">
        <is>
          <t>BURY ST EDMUNDS 98</t>
        </is>
      </c>
      <c r="F47" s="892" t="n">
        <v>408.1</v>
      </c>
      <c r="G47" s="598" t="n">
        <v>385</v>
      </c>
      <c r="H47" s="404" t="n"/>
      <c r="M47" s="395" t="n">
        <v>2500</v>
      </c>
      <c r="N47" s="1175" t="inlineStr">
        <is>
          <t>LED STRIP L18</t>
        </is>
      </c>
      <c r="S47" s="1175" t="n"/>
      <c r="U47" s="405" t="inlineStr">
        <is>
          <t>2 TANK</t>
        </is>
      </c>
      <c r="V47" s="916" t="n">
        <v>1250</v>
      </c>
      <c r="W47" s="596" t="n">
        <v>1250</v>
      </c>
      <c r="Y47" s="1170" t="inlineStr">
        <is>
          <t>UVR6L-6    7.2 M³/s</t>
        </is>
      </c>
      <c r="Z47" s="406" t="inlineStr">
        <is>
          <t>UVR6L-6</t>
        </is>
      </c>
      <c r="AA47" s="909" t="n">
        <v>5075.502600000001</v>
      </c>
      <c r="AB47" s="598" t="n">
        <v>4788.21</v>
      </c>
      <c r="AC47" s="395" t="n">
        <v>6</v>
      </c>
      <c r="AD47" s="406" t="inlineStr">
        <is>
          <t>L</t>
        </is>
      </c>
      <c r="AE47" s="395" t="n">
        <v>6</v>
      </c>
      <c r="AF47" s="396">
        <f>IF(AD47="S",AC47*#REF!*AE47,AC47*$AD$3*AE47)</f>
        <v/>
      </c>
      <c r="AJ47" s="1051" t="n"/>
      <c r="AK47" s="1170" t="inlineStr">
        <is>
          <t>HFA CIRC. DAMPER</t>
        </is>
      </c>
      <c r="AL47" s="1170" t="inlineStr">
        <is>
          <t xml:space="preserve">250MM DIAMETER </t>
        </is>
      </c>
      <c r="AM47" s="909" t="n">
        <v>298.3264</v>
      </c>
      <c r="AN47" s="596" t="n">
        <v>281.44</v>
      </c>
      <c r="AO47" s="602" t="n"/>
      <c r="AP47" s="414" t="inlineStr">
        <is>
          <t>PS01 600mm</t>
        </is>
      </c>
      <c r="AQ47" s="1175">
        <f>(POLLUSTOP!$G$39*0.6)+AR47</f>
        <v/>
      </c>
      <c r="AR47" s="916" t="n">
        <v>984.74</v>
      </c>
      <c r="AS47" s="596" t="n">
        <v>929</v>
      </c>
      <c r="AU47" s="823" t="inlineStr">
        <is>
          <t>MCB 18-WAY 250A</t>
        </is>
      </c>
      <c r="AV47" s="1173" t="n"/>
      <c r="AW47" s="408" t="n"/>
      <c r="AX47" s="915" t="n">
        <v>969.8470000000001</v>
      </c>
      <c r="AY47" s="601" t="n">
        <v>914.95</v>
      </c>
      <c r="BB47" s="823" t="n"/>
    </row>
    <row r="48" ht="14.5" customHeight="1" s="1085">
      <c r="A48" s="405" t="inlineStr">
        <is>
          <t>UV-C POD</t>
        </is>
      </c>
      <c r="B48" s="401" t="inlineStr">
        <is>
          <t>KSA</t>
        </is>
      </c>
      <c r="C48" s="401" t="inlineStr">
        <is>
          <t>PSU</t>
        </is>
      </c>
      <c r="E48" s="905" t="inlineStr">
        <is>
          <t>CAMBRIDGE 85</t>
        </is>
      </c>
      <c r="F48" s="892" t="n">
        <v>455.8</v>
      </c>
      <c r="G48" s="598" t="n">
        <v>430</v>
      </c>
      <c r="H48" s="404" t="n"/>
      <c r="M48" s="395" t="n">
        <v>2750</v>
      </c>
      <c r="N48" s="1175" t="inlineStr">
        <is>
          <t>LED STRIP L18</t>
        </is>
      </c>
      <c r="Q48" s="415" t="inlineStr">
        <is>
          <t>EXTRAS</t>
        </is>
      </c>
      <c r="R48" s="415" t="n">
        <v>0</v>
      </c>
      <c r="S48" s="415" t="n">
        <v>0</v>
      </c>
      <c r="U48" s="405" t="inlineStr">
        <is>
          <t>2 TANK DISTANCE</t>
        </is>
      </c>
      <c r="V48" s="916" t="n">
        <v>1480</v>
      </c>
      <c r="W48" s="596" t="n">
        <v>1480</v>
      </c>
      <c r="Y48" s="1170" t="inlineStr">
        <is>
          <t>UVR6L-7   8.4 M³/s</t>
        </is>
      </c>
      <c r="Z48" s="406" t="inlineStr">
        <is>
          <t>UVR6L-7</t>
        </is>
      </c>
      <c r="AA48" s="909" t="n">
        <v>5865.934</v>
      </c>
      <c r="AB48" s="598" t="n">
        <v>5533.9</v>
      </c>
      <c r="AC48" s="395" t="n">
        <v>6</v>
      </c>
      <c r="AD48" s="406" t="inlineStr">
        <is>
          <t>L</t>
        </is>
      </c>
      <c r="AE48" s="395" t="n">
        <v>7</v>
      </c>
      <c r="AF48" s="396">
        <f>IF(AD48="S",AC48*#REF!*AE48,AC48*$AD$3*AE48)</f>
        <v/>
      </c>
      <c r="AJ48" s="1051" t="n"/>
      <c r="AK48" s="1170" t="inlineStr">
        <is>
          <t>HFR RECT. DAMPER</t>
        </is>
      </c>
      <c r="AL48" s="1170" t="inlineStr">
        <is>
          <t>315MM INLET 500X400 OUTLET</t>
        </is>
      </c>
      <c r="AM48" s="909" t="n">
        <v>333.635</v>
      </c>
      <c r="AN48" s="596" t="n">
        <v>314.75</v>
      </c>
      <c r="AO48" s="602" t="n"/>
      <c r="AP48" s="414" t="inlineStr">
        <is>
          <t>PS02 600mm</t>
        </is>
      </c>
      <c r="AQ48" s="1175">
        <f>AR48+(POLLUSTOP!$G$40*0.6)</f>
        <v/>
      </c>
      <c r="AR48" s="916" t="n">
        <v>1375.88</v>
      </c>
      <c r="AS48" s="596" t="n">
        <v>1298</v>
      </c>
      <c r="AU48" s="823" t="inlineStr">
        <is>
          <t>MCB 24-WAY 250A</t>
        </is>
      </c>
      <c r="AV48" s="1173" t="n"/>
      <c r="AW48" s="408" t="n"/>
      <c r="AX48" s="915" t="n">
        <v>1235.3558</v>
      </c>
      <c r="AY48" s="601" t="n">
        <v>1165.43</v>
      </c>
      <c r="BB48" s="823" t="n"/>
    </row>
    <row r="49" ht="14.5" customHeight="1" s="1085">
      <c r="A49" s="405" t="inlineStr">
        <is>
          <t>CMWI</t>
        </is>
      </c>
      <c r="B49" s="401" t="inlineStr">
        <is>
          <t>WW PODS</t>
        </is>
      </c>
      <c r="C49" s="401" t="inlineStr">
        <is>
          <t>PSU</t>
        </is>
      </c>
      <c r="E49" s="905" t="inlineStr">
        <is>
          <t>CANNOCK 175</t>
        </is>
      </c>
      <c r="F49" s="892" t="n">
        <v>651.9</v>
      </c>
      <c r="G49" s="598" t="n">
        <v>615</v>
      </c>
      <c r="H49" s="404" t="n"/>
      <c r="M49" s="395" t="n">
        <v>3000</v>
      </c>
      <c r="N49" s="1175" t="inlineStr">
        <is>
          <t>LED STRIP L18</t>
        </is>
      </c>
      <c r="Q49" s="405" t="inlineStr">
        <is>
          <t>CMW  PIPEWORK HWS/CWS</t>
        </is>
      </c>
      <c r="S49" s="1175" t="n"/>
      <c r="U49" s="405" t="inlineStr">
        <is>
          <t>3 TANK</t>
        </is>
      </c>
      <c r="V49" s="916" t="n">
        <v>1800</v>
      </c>
      <c r="W49" s="596" t="n">
        <v>1800</v>
      </c>
      <c r="Y49" s="1170" t="inlineStr">
        <is>
          <t>UVR6L-8   9.6 M³/s</t>
        </is>
      </c>
      <c r="Z49" s="406" t="inlineStr">
        <is>
          <t>UVR6L-8</t>
        </is>
      </c>
      <c r="AA49" s="909" t="n">
        <v>6656.365400000001</v>
      </c>
      <c r="AB49" s="598" t="n">
        <v>6279.59</v>
      </c>
      <c r="AC49" s="395" t="n">
        <v>6</v>
      </c>
      <c r="AD49" s="406" t="inlineStr">
        <is>
          <t>L</t>
        </is>
      </c>
      <c r="AE49" s="395" t="n">
        <v>8</v>
      </c>
      <c r="AF49" s="396">
        <f>IF(AD49="S",AC49*#REF!*AE49,AC49*$AD$3*AE49)</f>
        <v/>
      </c>
      <c r="AJ49" s="1051" t="n"/>
      <c r="AP49" s="414" t="inlineStr">
        <is>
          <t>PS03 600mm</t>
        </is>
      </c>
      <c r="AQ49" s="1175">
        <f>AR49+(POLLUSTOP!$G$41*0.6)</f>
        <v/>
      </c>
      <c r="AR49" s="916" t="n">
        <v>1770.2</v>
      </c>
      <c r="AS49" s="596" t="n">
        <v>1670</v>
      </c>
      <c r="AU49" s="493" t="n"/>
      <c r="AV49" s="1173" t="n"/>
      <c r="AW49" s="408" t="n"/>
      <c r="AX49" s="808" t="n"/>
    </row>
    <row r="50" ht="14.5" customHeight="1" s="1085">
      <c r="A50" s="405" t="inlineStr">
        <is>
          <t>CMWF</t>
        </is>
      </c>
      <c r="B50" s="401" t="inlineStr">
        <is>
          <t>WW PODS</t>
        </is>
      </c>
      <c r="C50" s="401" t="inlineStr">
        <is>
          <t>PSU</t>
        </is>
      </c>
      <c r="E50" s="905" t="inlineStr">
        <is>
          <t>CANTERBURY 30</t>
        </is>
      </c>
      <c r="F50" s="892" t="n">
        <v>344.5</v>
      </c>
      <c r="G50" s="598" t="n">
        <v>325</v>
      </c>
      <c r="H50" s="404" t="n"/>
      <c r="U50" s="405" t="inlineStr">
        <is>
          <t>3 TANK DISTANCE</t>
        </is>
      </c>
      <c r="V50" s="916" t="n">
        <v>2160</v>
      </c>
      <c r="W50" s="596" t="n">
        <v>2160</v>
      </c>
      <c r="Y50" s="405" t="inlineStr">
        <is>
          <t>UVR6L-9   10.8 M³/s</t>
        </is>
      </c>
      <c r="Z50" s="406" t="inlineStr">
        <is>
          <t>UVR6L-9</t>
        </is>
      </c>
      <c r="AA50" s="909" t="n">
        <v>7446.7968</v>
      </c>
      <c r="AB50" s="598" t="n">
        <v>7025.28</v>
      </c>
      <c r="AC50" s="395" t="n">
        <v>6</v>
      </c>
      <c r="AD50" s="406" t="inlineStr">
        <is>
          <t>L</t>
        </is>
      </c>
      <c r="AE50" s="395" t="n">
        <v>9</v>
      </c>
      <c r="AF50" s="396">
        <f>IF(AD50="S",AC50*#REF!*AE50,AC50*$AD$3*AE50)</f>
        <v/>
      </c>
      <c r="AJ50" s="1051" t="n"/>
      <c r="AP50" s="414" t="inlineStr">
        <is>
          <t>PS04 600mm</t>
        </is>
      </c>
      <c r="AQ50" s="1175">
        <f>AR50+(POLLUSTOP!$G$41*0.6)</f>
        <v/>
      </c>
      <c r="AR50" s="916" t="n">
        <v>1965.24</v>
      </c>
      <c r="AS50" s="596" t="n">
        <v>1854</v>
      </c>
      <c r="AU50" s="493" t="inlineStr">
        <is>
          <t>REMOTE RCD &amp; HOUSING</t>
        </is>
      </c>
      <c r="AV50" s="1173" t="n"/>
      <c r="AW50" s="408" t="n"/>
      <c r="AX50" s="1060" t="n">
        <v>151.7284</v>
      </c>
      <c r="AY50" s="601" t="n">
        <v>143.14</v>
      </c>
    </row>
    <row r="51" ht="14.5" customHeight="1" s="1085">
      <c r="A51" s="405" t="inlineStr">
        <is>
          <t>CXW</t>
        </is>
      </c>
      <c r="B51" s="401" t="inlineStr">
        <is>
          <t>GRILLE</t>
        </is>
      </c>
      <c r="C51" s="401" t="inlineStr">
        <is>
          <t>J BOX</t>
        </is>
      </c>
      <c r="E51" s="905" t="inlineStr">
        <is>
          <t>CARDIFF 192</t>
        </is>
      </c>
      <c r="F51" s="892" t="n">
        <v>673.1</v>
      </c>
      <c r="G51" s="598" t="n">
        <v>635</v>
      </c>
      <c r="H51" s="404" t="n"/>
      <c r="U51" s="405" t="inlineStr">
        <is>
          <t>4 TANK</t>
        </is>
      </c>
      <c r="V51" s="916" t="n">
        <v>2100</v>
      </c>
      <c r="W51" s="596" t="n">
        <v>2100</v>
      </c>
      <c r="Y51" s="1170" t="inlineStr">
        <is>
          <t>UVR6L-10  12.0 M³/s</t>
        </is>
      </c>
      <c r="Z51" s="406" t="inlineStr">
        <is>
          <t>UVR6L-10</t>
        </is>
      </c>
      <c r="AA51" s="909" t="n">
        <v>8237.228200000001</v>
      </c>
      <c r="AB51" s="598" t="n">
        <v>7770.97</v>
      </c>
      <c r="AC51" s="395" t="n">
        <v>6</v>
      </c>
      <c r="AD51" s="406" t="inlineStr">
        <is>
          <t>L</t>
        </is>
      </c>
      <c r="AE51" s="395" t="n">
        <v>10</v>
      </c>
      <c r="AF51" s="396">
        <f>IF(AD51="S",AC51*#REF!*AE51,AC51*$AD$3*AE51)</f>
        <v/>
      </c>
      <c r="AJ51" s="1051" t="n"/>
      <c r="AK51" s="417" t="inlineStr">
        <is>
          <t>CANOPY COMPONENTS</t>
        </is>
      </c>
      <c r="AL51" s="417" t="inlineStr">
        <is>
          <t>EXTRACT PLENUM</t>
        </is>
      </c>
      <c r="AM51" s="417" t="n"/>
      <c r="AP51" s="414" t="inlineStr">
        <is>
          <t>PS05 600mm</t>
        </is>
      </c>
      <c r="AQ51" s="1175">
        <f>AR51+(POLLUSTOP!$G$42*0.6)</f>
        <v/>
      </c>
      <c r="AR51" s="916" t="n">
        <v>2354.26</v>
      </c>
      <c r="AS51" s="596" t="n">
        <v>2221</v>
      </c>
      <c r="AU51" s="408" t="n"/>
      <c r="AV51" s="1173" t="n"/>
      <c r="AX51" s="1060" t="n"/>
    </row>
    <row r="52" ht="14.5" customHeight="1" s="1085">
      <c r="A52" s="405" t="inlineStr">
        <is>
          <t>CXW-M</t>
        </is>
      </c>
      <c r="B52" s="401" t="inlineStr">
        <is>
          <t>GRILLE</t>
        </is>
      </c>
      <c r="C52" s="401" t="inlineStr">
        <is>
          <t>J BOX</t>
        </is>
      </c>
      <c r="E52" s="905" t="inlineStr">
        <is>
          <t>CARLISLE 356</t>
        </is>
      </c>
      <c r="F52" s="892" t="n">
        <v>1113</v>
      </c>
      <c r="G52" s="598" t="n">
        <v>1050</v>
      </c>
      <c r="H52" s="404" t="n"/>
      <c r="U52" s="405" t="inlineStr">
        <is>
          <t>4 TANK DISTANCE</t>
        </is>
      </c>
      <c r="V52" s="916" t="n">
        <v>2460</v>
      </c>
      <c r="W52" s="596" t="n">
        <v>2460</v>
      </c>
      <c r="Y52" s="1170" t="inlineStr">
        <is>
          <t>UVR6L-11  13.2 M³/s</t>
        </is>
      </c>
      <c r="Z52" s="406" t="inlineStr">
        <is>
          <t>UVR6L-11</t>
        </is>
      </c>
      <c r="AA52" s="909" t="n">
        <v>9027.659600000001</v>
      </c>
      <c r="AB52" s="598" t="n">
        <v>8516.66</v>
      </c>
      <c r="AC52" s="395" t="n">
        <v>6</v>
      </c>
      <c r="AD52" s="406" t="inlineStr">
        <is>
          <t>L</t>
        </is>
      </c>
      <c r="AE52" s="395" t="n">
        <v>11</v>
      </c>
      <c r="AF52" s="396">
        <f>IF(AD52="S",AC52*#REF!*AE52,AC52*$AD$3*AE52)</f>
        <v/>
      </c>
      <c r="AJ52" s="1051" t="n"/>
      <c r="AM52" s="890" t="n"/>
      <c r="AN52" s="596" t="n">
        <v>243.96</v>
      </c>
      <c r="AO52" s="602" t="n"/>
      <c r="AP52" s="414" t="inlineStr">
        <is>
          <t>PS06 600mm</t>
        </is>
      </c>
      <c r="AQ52" s="1175">
        <f>AR52+(POLLUSTOP!$G$42*0.6)</f>
        <v/>
      </c>
      <c r="AR52" s="916" t="n">
        <v>2540.82</v>
      </c>
      <c r="AS52" s="596" t="n">
        <v>2397</v>
      </c>
      <c r="AU52" s="408" t="inlineStr">
        <is>
          <t>SHUNT TRIP + KO</t>
        </is>
      </c>
      <c r="AV52" s="1169" t="inlineStr">
        <is>
          <t>On Request for Schneider ONLY</t>
        </is>
      </c>
      <c r="AX52" s="1060" t="n">
        <v>0</v>
      </c>
      <c r="AY52" s="601" t="n">
        <v>0</v>
      </c>
      <c r="AZ52" s="405" t="inlineStr">
        <is>
          <t>Shunt is included in the ABB costs that we curerently use as advised by S.Steers</t>
        </is>
      </c>
    </row>
    <row r="53" ht="14.5" customHeight="1" s="1085">
      <c r="A53" s="405" t="inlineStr">
        <is>
          <t>KVV</t>
        </is>
      </c>
      <c r="B53" s="401" t="inlineStr">
        <is>
          <t>NF</t>
        </is>
      </c>
      <c r="C53" s="401" t="inlineStr">
        <is>
          <t>J BOX</t>
        </is>
      </c>
      <c r="E53" s="905" t="inlineStr">
        <is>
          <t>CARMARTHEN 252</t>
        </is>
      </c>
      <c r="F53" s="892" t="n">
        <v>890.4000000000001</v>
      </c>
      <c r="G53" s="598" t="n">
        <v>840</v>
      </c>
      <c r="H53" s="404" t="n"/>
      <c r="U53" s="405" t="inlineStr">
        <is>
          <t>5 TANK</t>
        </is>
      </c>
      <c r="V53" s="916" t="n">
        <v>2550</v>
      </c>
      <c r="W53" s="596" t="n">
        <v>2550</v>
      </c>
      <c r="Y53" s="1170" t="inlineStr">
        <is>
          <t>UVR6L-12  14.4 M³/s</t>
        </is>
      </c>
      <c r="Z53" s="406" t="inlineStr">
        <is>
          <t>UVR6L-12</t>
        </is>
      </c>
      <c r="AA53" s="909" t="n">
        <v>9818.091</v>
      </c>
      <c r="AB53" s="598" t="n">
        <v>9262.35</v>
      </c>
      <c r="AC53" s="395" t="n">
        <v>6</v>
      </c>
      <c r="AD53" s="406" t="inlineStr">
        <is>
          <t>L</t>
        </is>
      </c>
      <c r="AE53" s="395" t="n">
        <v>12</v>
      </c>
      <c r="AF53" s="396">
        <f>IF(AD53="S",AC53*#REF!*AE53,AC53*$AD$3*AE53)</f>
        <v/>
      </c>
      <c r="AJ53" s="1051" t="n"/>
      <c r="AM53" s="890" t="n"/>
      <c r="AN53" s="596" t="n">
        <v>0</v>
      </c>
      <c r="AO53" s="602" t="n"/>
      <c r="AP53" s="414" t="inlineStr">
        <is>
          <t>PS07 600mm</t>
        </is>
      </c>
      <c r="AQ53" s="1175">
        <f>AR53+(POLLUSTOP!$G$43*0.6)</f>
        <v/>
      </c>
      <c r="AR53" s="916" t="n">
        <v>3072.94</v>
      </c>
      <c r="AS53" s="596" t="n">
        <v>2899</v>
      </c>
      <c r="AU53" s="408" t="inlineStr">
        <is>
          <t>ADDITIONAL KO</t>
        </is>
      </c>
      <c r="AV53" s="1173" t="n"/>
      <c r="AW53" s="408" t="n"/>
      <c r="AX53" s="1060">
        <f>AY53*1.06</f>
        <v/>
      </c>
      <c r="AY53" s="601" t="n">
        <v>36.05</v>
      </c>
    </row>
    <row r="54" ht="14.5" customHeight="1" s="1085">
      <c r="A54" s="405" t="inlineStr">
        <is>
          <t>PSU</t>
        </is>
      </c>
      <c r="B54" s="937" t="inlineStr">
        <is>
          <t>PSU</t>
        </is>
      </c>
      <c r="E54" s="905" t="inlineStr">
        <is>
          <t>CHELMSFORD 51</t>
        </is>
      </c>
      <c r="F54" s="892" t="n">
        <v>371</v>
      </c>
      <c r="G54" s="598" t="n">
        <v>350</v>
      </c>
      <c r="H54" s="404" t="n"/>
      <c r="U54" s="405" t="inlineStr">
        <is>
          <t>5 TANK DISTANCE</t>
        </is>
      </c>
      <c r="V54" s="916" t="n">
        <v>3230</v>
      </c>
      <c r="W54" s="596" t="n">
        <v>3230</v>
      </c>
      <c r="Y54" s="1170" t="inlineStr">
        <is>
          <t>UVR8S-1   0.8 M³/s</t>
        </is>
      </c>
      <c r="Z54" s="406" t="inlineStr">
        <is>
          <t>UVR8S-1</t>
        </is>
      </c>
      <c r="AA54" s="909" t="n">
        <v>1231.0204</v>
      </c>
      <c r="AB54" s="598" t="n">
        <v>1161.34</v>
      </c>
      <c r="AC54" s="395" t="n">
        <v>8</v>
      </c>
      <c r="AD54" s="406" t="inlineStr">
        <is>
          <t>S</t>
        </is>
      </c>
      <c r="AE54" s="395" t="n">
        <v>1</v>
      </c>
      <c r="AF54" s="396">
        <f>IF(AD54="S",AC54*$AD$1*AE54,AC54*$AD$3*AE54)</f>
        <v/>
      </c>
      <c r="AJ54" s="1051" t="n"/>
      <c r="AM54" s="890" t="n"/>
      <c r="AN54" s="596" t="n">
        <v>271.78</v>
      </c>
      <c r="AO54" s="602" t="n"/>
      <c r="AP54" s="414" t="inlineStr">
        <is>
          <t>PS08 600mm</t>
        </is>
      </c>
      <c r="AQ54" s="1175">
        <f>AR54+(POLLUSTOP!$G$43*0.6)</f>
        <v/>
      </c>
      <c r="AR54" s="916" t="n">
        <v>3340.06</v>
      </c>
      <c r="AS54" s="596" t="n">
        <v>3151</v>
      </c>
      <c r="AU54" s="493" t="inlineStr">
        <is>
          <t>ISO/  OUTLET (NO MCB)</t>
        </is>
      </c>
      <c r="AV54" s="1173" t="n"/>
      <c r="AW54" s="408" t="n"/>
      <c r="AX54" s="808" t="n"/>
    </row>
    <row r="55" ht="14.5" customHeight="1" s="1085">
      <c r="E55" s="905" t="inlineStr">
        <is>
          <t>CHELTENHAM 148</t>
        </is>
      </c>
      <c r="F55" s="892" t="n">
        <v>540.6</v>
      </c>
      <c r="G55" s="598" t="n">
        <v>510</v>
      </c>
      <c r="H55" s="404" t="n"/>
      <c r="U55" s="405" t="inlineStr">
        <is>
          <t>6 TANK</t>
        </is>
      </c>
      <c r="V55" s="916" t="n">
        <v>2550</v>
      </c>
      <c r="W55" s="596" t="n">
        <v>2550</v>
      </c>
      <c r="Y55" s="1170" t="inlineStr">
        <is>
          <t>UVR8S-2   1.6 M³/s</t>
        </is>
      </c>
      <c r="Z55" s="406" t="inlineStr">
        <is>
          <t>UVR8S-2</t>
        </is>
      </c>
      <c r="AA55" s="909" t="n">
        <v>2129.1266</v>
      </c>
      <c r="AB55" s="598" t="n">
        <v>2008.61</v>
      </c>
      <c r="AC55" s="395" t="n">
        <v>8</v>
      </c>
      <c r="AD55" s="406" t="inlineStr">
        <is>
          <t>S</t>
        </is>
      </c>
      <c r="AE55" s="395" t="n">
        <v>2</v>
      </c>
      <c r="AF55" s="396">
        <f>IF(AD55="S",AC55*$AD$1*AE55,AC55*$AD$3*AE55)</f>
        <v/>
      </c>
      <c r="AJ55" s="1051" t="n"/>
      <c r="AM55" s="890" t="n"/>
      <c r="AN55" s="596" t="n">
        <v>118.77</v>
      </c>
      <c r="AO55" s="602" t="n"/>
      <c r="AP55" s="414" t="inlineStr">
        <is>
          <t>PS09 600mm</t>
        </is>
      </c>
      <c r="AQ55" s="1175">
        <f>AR55+(POLLUSTOP!$G$43*0.6)</f>
        <v/>
      </c>
      <c r="AR55" s="916" t="n">
        <v>3781.02</v>
      </c>
      <c r="AS55" s="596" t="n">
        <v>3567</v>
      </c>
      <c r="AU55" s="493" t="n"/>
      <c r="AV55" s="1173" t="n"/>
      <c r="AW55" s="408" t="n"/>
      <c r="AX55" s="808" t="n"/>
    </row>
    <row r="56" ht="14.5" customHeight="1" s="1085">
      <c r="A56" s="405" t="n"/>
      <c r="B56" s="401" t="n"/>
      <c r="C56" s="401" t="n"/>
      <c r="E56" s="905" t="inlineStr">
        <is>
          <t>CHESTER 268</t>
        </is>
      </c>
      <c r="F56" s="892" t="n">
        <v>890.4000000000001</v>
      </c>
      <c r="G56" s="598" t="n">
        <v>840</v>
      </c>
      <c r="H56" s="404" t="n"/>
      <c r="U56" s="405" t="inlineStr">
        <is>
          <t>6 TANK DISTANCE</t>
        </is>
      </c>
      <c r="V56" s="916" t="n">
        <v>3230</v>
      </c>
      <c r="W56" s="596" t="n">
        <v>3230</v>
      </c>
      <c r="Y56" s="1170" t="inlineStr">
        <is>
          <t>UVR8S-3   2.4 M³/s</t>
        </is>
      </c>
      <c r="Z56" s="406" t="inlineStr">
        <is>
          <t>UVR8S-3</t>
        </is>
      </c>
      <c r="AA56" s="909" t="n">
        <v>3027.2328</v>
      </c>
      <c r="AB56" s="598" t="n">
        <v>2855.88</v>
      </c>
      <c r="AC56" s="395" t="n">
        <v>8</v>
      </c>
      <c r="AD56" s="406" t="inlineStr">
        <is>
          <t>S</t>
        </is>
      </c>
      <c r="AE56" s="395" t="n">
        <v>3</v>
      </c>
      <c r="AF56" s="396">
        <f>IF(AD56="S",AC56*$AD$1*AE56,AC56*$AD$3*AE56)</f>
        <v/>
      </c>
      <c r="AJ56" s="1051" t="n"/>
      <c r="AM56" s="890" t="n"/>
      <c r="AN56" s="596" t="n">
        <v>0</v>
      </c>
      <c r="AO56" s="602" t="n"/>
      <c r="AP56" s="414" t="inlineStr">
        <is>
          <t>PS10 600mm</t>
        </is>
      </c>
      <c r="AQ56" s="1175">
        <f>AR56+(POLLUSTOP!$G$44*0.6)</f>
        <v/>
      </c>
      <c r="AR56" s="916" t="n">
        <v>4185.940000000001</v>
      </c>
      <c r="AS56" s="596" t="n">
        <v>3949</v>
      </c>
      <c r="AU56" s="1128" t="inlineStr">
        <is>
          <t>16 AMP 1-PH ISO/OUTLET(NO MCB)</t>
        </is>
      </c>
      <c r="AV56" s="1173" t="n"/>
      <c r="AW56" s="408" t="n"/>
      <c r="AX56" s="915" t="n">
        <v>97.1066</v>
      </c>
      <c r="AY56" s="601" t="n">
        <v>91.61</v>
      </c>
    </row>
    <row r="57" ht="14.5" customHeight="1" s="1085">
      <c r="A57" s="405" t="n"/>
      <c r="B57" s="401" t="n"/>
      <c r="C57" s="401" t="n"/>
      <c r="E57" s="905" t="inlineStr">
        <is>
          <t>COVENTRY 146</t>
        </is>
      </c>
      <c r="F57" s="892" t="n">
        <v>556.5</v>
      </c>
      <c r="G57" s="598" t="n">
        <v>525</v>
      </c>
      <c r="H57" s="404" t="n"/>
      <c r="U57" s="405" t="n"/>
      <c r="Y57" s="1170" t="inlineStr">
        <is>
          <t>UVR8S-4   3.2 M³/s</t>
        </is>
      </c>
      <c r="Z57" s="406" t="inlineStr">
        <is>
          <t>UVR8S-4</t>
        </is>
      </c>
      <c r="AA57" s="909" t="n">
        <v>3925.339</v>
      </c>
      <c r="AB57" s="598" t="n">
        <v>3703.15</v>
      </c>
      <c r="AC57" s="395" t="n">
        <v>8</v>
      </c>
      <c r="AD57" s="406" t="inlineStr">
        <is>
          <t>S</t>
        </is>
      </c>
      <c r="AE57" s="395" t="n">
        <v>4</v>
      </c>
      <c r="AF57" s="396">
        <f>IF(AD57="S",AC57*$AD$1*AE57,AC57*$AD$3*AE57)</f>
        <v/>
      </c>
      <c r="AJ57" s="1051" t="n"/>
      <c r="AM57" s="890" t="n"/>
      <c r="AN57" s="596" t="n">
        <v>0</v>
      </c>
      <c r="AO57" s="602" t="n"/>
      <c r="AP57" s="405" t="n"/>
      <c r="AU57" s="1128" t="inlineStr">
        <is>
          <t>32 AMP 1-PH ISO/OUTLET(NO MCB)</t>
        </is>
      </c>
      <c r="AV57" s="1173" t="n"/>
      <c r="AW57" s="408" t="n"/>
      <c r="AX57" s="915" t="n">
        <v>108.226</v>
      </c>
      <c r="AY57" s="601" t="n">
        <v>102.1</v>
      </c>
    </row>
    <row r="58" ht="14.5" customHeight="1" s="1085">
      <c r="A58" s="405" t="n"/>
      <c r="B58" s="401" t="n"/>
      <c r="C58" s="401" t="n"/>
      <c r="E58" s="905" t="inlineStr">
        <is>
          <t>CHIPPENHAM 136</t>
        </is>
      </c>
      <c r="F58" s="892" t="n">
        <v>540.6</v>
      </c>
      <c r="G58" s="598" t="n">
        <v>510</v>
      </c>
      <c r="H58" s="404" t="n"/>
      <c r="Y58" s="1170" t="inlineStr">
        <is>
          <t>UVR8S-5   4.0 M³/s</t>
        </is>
      </c>
      <c r="Z58" s="406" t="inlineStr">
        <is>
          <t>UVR8S-5</t>
        </is>
      </c>
      <c r="AA58" s="909" t="n">
        <v>4823.4452</v>
      </c>
      <c r="AB58" s="598" t="n">
        <v>4550.42</v>
      </c>
      <c r="AC58" s="395" t="n">
        <v>8</v>
      </c>
      <c r="AD58" s="406" t="inlineStr">
        <is>
          <t>S</t>
        </is>
      </c>
      <c r="AE58" s="395" t="n">
        <v>5</v>
      </c>
      <c r="AF58" s="396">
        <f>IF(AD58="S",AC58*$AD$1*AE58,AC58*$AD$3*AE58)</f>
        <v/>
      </c>
      <c r="AJ58" s="1051" t="n"/>
      <c r="AK58" s="417" t="inlineStr">
        <is>
          <t>MOTORISED DAMPERS</t>
        </is>
      </c>
      <c r="AL58" s="416" t="n"/>
      <c r="AM58" s="417" t="n"/>
      <c r="AP58" s="423" t="inlineStr">
        <is>
          <t>HEAT RECLAIM COIL</t>
        </is>
      </c>
      <c r="AQ58" s="417" t="n"/>
      <c r="AR58" s="417" t="n"/>
      <c r="AS58" s="417" t="n"/>
      <c r="AU58" s="1128" t="inlineStr">
        <is>
          <t>16 AMP 3-PH ISO/OUTLET(NO MCB)</t>
        </is>
      </c>
      <c r="AV58" s="1173" t="n"/>
      <c r="AW58" s="408" t="n"/>
      <c r="AX58" s="915" t="n">
        <v>102.3006</v>
      </c>
      <c r="AY58" s="601" t="n">
        <v>96.51000000000001</v>
      </c>
    </row>
    <row r="59" ht="14.5" customHeight="1" s="1085">
      <c r="A59" s="405" t="n"/>
      <c r="B59" s="401" t="n"/>
      <c r="C59" s="401" t="n"/>
      <c r="E59" s="905" t="inlineStr">
        <is>
          <t>COLCHESTER 78</t>
        </is>
      </c>
      <c r="F59" s="892" t="n">
        <v>424</v>
      </c>
      <c r="G59" s="599" t="n">
        <v>400</v>
      </c>
      <c r="H59" s="404" t="n"/>
      <c r="Y59" s="1170" t="inlineStr">
        <is>
          <t>UVR8S-6   4.8 M³/s</t>
        </is>
      </c>
      <c r="Z59" s="406" t="inlineStr">
        <is>
          <t>UVR8S-6</t>
        </is>
      </c>
      <c r="AA59" s="909" t="n">
        <v>5721.5514</v>
      </c>
      <c r="AB59" s="598" t="n">
        <v>5397.69</v>
      </c>
      <c r="AC59" s="395" t="n">
        <v>8</v>
      </c>
      <c r="AD59" s="406" t="inlineStr">
        <is>
          <t>S</t>
        </is>
      </c>
      <c r="AE59" s="395" t="n">
        <v>6</v>
      </c>
      <c r="AF59" s="396">
        <f>IF(AD59="S",AC59*$AD$1*AE59,AC59*$AD$3*AE59)</f>
        <v/>
      </c>
      <c r="AJ59" s="1051" t="n"/>
      <c r="AK59" s="1170" t="inlineStr">
        <is>
          <t>UKV RECT DAMPER</t>
        </is>
      </c>
      <c r="AL59" s="1170" t="inlineStr">
        <is>
          <t>0.440M3/S - 1.600M3/S</t>
        </is>
      </c>
      <c r="AM59" s="892" t="n">
        <v>387.96</v>
      </c>
      <c r="AN59" s="596" t="n">
        <v>366</v>
      </c>
      <c r="AO59" s="602" t="n"/>
      <c r="AP59" s="414" t="inlineStr">
        <is>
          <t>Size</t>
        </is>
      </c>
      <c r="AQ59" s="1175" t="n">
        <v>0</v>
      </c>
      <c r="AR59" s="894" t="n"/>
      <c r="AS59" s="894" t="n"/>
      <c r="AU59" s="1128" t="inlineStr">
        <is>
          <t>32 AMP 3-PH ISO/OUTLET(NO MCB)</t>
        </is>
      </c>
      <c r="AV59" s="1173" t="n"/>
      <c r="AW59" s="408" t="n"/>
      <c r="AX59" s="915" t="n">
        <v>120.469</v>
      </c>
      <c r="AY59" s="601" t="n">
        <v>113.65</v>
      </c>
    </row>
    <row r="60" ht="14.5" customHeight="1" s="1085">
      <c r="A60" s="405" t="n"/>
      <c r="B60" s="401" t="n"/>
      <c r="C60" s="401" t="n"/>
      <c r="E60" s="905" t="inlineStr">
        <is>
          <t>CORBY 128</t>
        </is>
      </c>
      <c r="F60" s="892" t="n">
        <v>434.6</v>
      </c>
      <c r="G60" s="599" t="n">
        <v>410</v>
      </c>
      <c r="H60" s="404" t="n"/>
      <c r="Y60" s="1170" t="inlineStr">
        <is>
          <t>UVR8S-7   5.6 M³/s</t>
        </is>
      </c>
      <c r="Z60" s="406" t="inlineStr">
        <is>
          <t>UVR8S-7</t>
        </is>
      </c>
      <c r="AA60" s="909" t="n">
        <v>6619.6576</v>
      </c>
      <c r="AB60" s="598" t="n">
        <v>6244.96</v>
      </c>
      <c r="AC60" s="395" t="n">
        <v>8</v>
      </c>
      <c r="AD60" s="406" t="inlineStr">
        <is>
          <t>S</t>
        </is>
      </c>
      <c r="AE60" s="395" t="n">
        <v>7</v>
      </c>
      <c r="AF60" s="396">
        <f>IF(AD60="S",AC60*$AD$1*AE60,AC60*$AD$3*AE60)</f>
        <v/>
      </c>
      <c r="AJ60" s="1051" t="n"/>
      <c r="AK60" s="1170" t="inlineStr">
        <is>
          <t>UKV RECT DAMPER</t>
        </is>
      </c>
      <c r="AL60" s="1170" t="inlineStr">
        <is>
          <t>0.528M3/S - 1.920M3/S</t>
        </is>
      </c>
      <c r="AM60" s="892" t="n">
        <v>398.56</v>
      </c>
      <c r="AN60" s="596" t="n">
        <v>376</v>
      </c>
      <c r="AO60" s="602" t="n"/>
      <c r="AP60" s="414" t="inlineStr">
        <is>
          <t>PS01 600mm</t>
        </is>
      </c>
      <c r="AQ60" s="1175">
        <f>(POLLUSTOP!$G$39*0.6)+AR60</f>
        <v/>
      </c>
      <c r="AR60" s="916" t="n">
        <v>1102.4</v>
      </c>
      <c r="AS60" s="596" t="n">
        <v>1040</v>
      </c>
      <c r="AU60" s="1128" t="inlineStr">
        <is>
          <t>63 AMP 3-PH ISO/OUTLET(NO MCB)</t>
        </is>
      </c>
      <c r="AV60" s="1173" t="n"/>
      <c r="AW60" s="408" t="n"/>
      <c r="AX60" s="915" t="n">
        <v>215.0634</v>
      </c>
      <c r="AY60" s="601" t="n">
        <v>202.89</v>
      </c>
    </row>
    <row r="61" ht="14.5" customHeight="1" s="1085">
      <c r="A61" s="405" t="n"/>
      <c r="B61" s="401" t="n"/>
      <c r="C61" s="401" t="n"/>
      <c r="E61" s="905" t="inlineStr">
        <is>
          <t>DARTMOUTH 245</t>
        </is>
      </c>
      <c r="F61" s="892" t="n">
        <v>890.4000000000001</v>
      </c>
      <c r="G61" s="599" t="n">
        <v>840</v>
      </c>
      <c r="H61" s="404" t="n"/>
      <c r="Y61" s="1170" t="inlineStr">
        <is>
          <t>UVR8S-8   6.4 M³/s</t>
        </is>
      </c>
      <c r="Z61" s="406" t="inlineStr">
        <is>
          <t>UVR8S-8</t>
        </is>
      </c>
      <c r="AA61" s="909" t="n">
        <v>7517.7638</v>
      </c>
      <c r="AB61" s="598" t="n">
        <v>7092.23</v>
      </c>
      <c r="AC61" s="395" t="n">
        <v>8</v>
      </c>
      <c r="AD61" s="406" t="inlineStr">
        <is>
          <t>S</t>
        </is>
      </c>
      <c r="AE61" s="395" t="n">
        <v>8</v>
      </c>
      <c r="AF61" s="396">
        <f>IF(AD61="S",AC61*$AD$1*AE61,AC61*$AD$3*AE61)</f>
        <v/>
      </c>
      <c r="AJ61" s="1051" t="n"/>
      <c r="AK61" s="1170" t="inlineStr">
        <is>
          <t>UKV RECT DAMPER</t>
        </is>
      </c>
      <c r="AL61" s="1170" t="inlineStr">
        <is>
          <t>0.616M3/S - 2.240M3/S</t>
        </is>
      </c>
      <c r="AM61" s="892" t="n">
        <v>412.34</v>
      </c>
      <c r="AN61" s="596" t="n">
        <v>389</v>
      </c>
      <c r="AO61" s="602" t="n"/>
      <c r="AP61" s="414" t="inlineStr">
        <is>
          <t>PS02 600mm</t>
        </is>
      </c>
      <c r="AQ61" s="1175">
        <f>AR61+(POLLUSTOP!$G$40*0.6)</f>
        <v/>
      </c>
      <c r="AR61" s="916" t="n">
        <v>1445.84</v>
      </c>
      <c r="AS61" s="596" t="n">
        <v>1364</v>
      </c>
      <c r="AU61" s="1128" t="inlineStr">
        <is>
          <t>125 AMP 3-PH ISO/OUTLET(NO MCB)</t>
        </is>
      </c>
      <c r="AV61" s="1173" t="n"/>
      <c r="AW61" s="408" t="n"/>
      <c r="AX61" s="915" t="n">
        <v>461.3332</v>
      </c>
      <c r="AY61" s="601" t="n">
        <v>435.22</v>
      </c>
    </row>
    <row r="62" ht="14.5" customHeight="1" s="1085">
      <c r="A62" s="405" t="n"/>
      <c r="B62" s="401" t="n"/>
      <c r="C62" s="401" t="n"/>
      <c r="E62" s="905" t="inlineStr">
        <is>
          <t>DERBY 178</t>
        </is>
      </c>
      <c r="F62" s="892" t="n">
        <v>636</v>
      </c>
      <c r="G62" s="599" t="n">
        <v>600</v>
      </c>
      <c r="H62" s="404" t="n"/>
      <c r="Y62" s="1170" t="inlineStr">
        <is>
          <t>UVR8S-9   7.2 M³/s</t>
        </is>
      </c>
      <c r="Z62" s="406" t="inlineStr">
        <is>
          <t>UVR8S-9</t>
        </is>
      </c>
      <c r="AA62" s="909" t="n">
        <v>8415.870000000001</v>
      </c>
      <c r="AB62" s="598" t="n">
        <v>7939.5</v>
      </c>
      <c r="AC62" s="395" t="n">
        <v>8</v>
      </c>
      <c r="AD62" s="406" t="inlineStr">
        <is>
          <t>S</t>
        </is>
      </c>
      <c r="AE62" s="395" t="n">
        <v>9</v>
      </c>
      <c r="AF62" s="396">
        <f>IF(AD62="S",AC62*$AD$1*AE62,AC62*$AD$3*AE62)</f>
        <v/>
      </c>
      <c r="AJ62" s="1051" t="n"/>
      <c r="AK62" s="1170" t="inlineStr">
        <is>
          <t>UKV RECT DAMPER</t>
        </is>
      </c>
      <c r="AL62" s="1170" t="inlineStr">
        <is>
          <t>0.880M3/S - 3.200M3/S</t>
        </is>
      </c>
      <c r="AM62" s="892" t="n">
        <v>481.24</v>
      </c>
      <c r="AN62" s="596" t="n">
        <v>454</v>
      </c>
      <c r="AO62" s="602" t="n"/>
      <c r="AP62" s="414" t="inlineStr">
        <is>
          <t>PS03 600mm</t>
        </is>
      </c>
      <c r="AQ62" s="1175">
        <f>AR62+(POLLUSTOP!$G$41*0.6)</f>
        <v/>
      </c>
      <c r="AR62" s="916" t="n">
        <v>1724.62</v>
      </c>
      <c r="AS62" s="596" t="n">
        <v>1627</v>
      </c>
      <c r="AU62" s="1128" t="n"/>
      <c r="AV62" s="1173" t="n"/>
      <c r="AW62" s="408" t="n"/>
      <c r="AX62" s="819" t="n"/>
    </row>
    <row r="63" ht="14.5" customHeight="1" s="1085">
      <c r="E63" s="403" t="n"/>
      <c r="F63" s="892" t="n"/>
      <c r="G63" s="599" t="n"/>
      <c r="H63" s="404" t="n"/>
      <c r="Y63" s="1170" t="inlineStr">
        <is>
          <t>UVR8S-10  8.0 M³/s</t>
        </is>
      </c>
      <c r="Z63" s="406" t="inlineStr">
        <is>
          <t>UVR8S-10</t>
        </is>
      </c>
      <c r="AA63" s="909" t="n">
        <v>9313.976200000001</v>
      </c>
      <c r="AB63" s="598" t="n">
        <v>8786.77</v>
      </c>
      <c r="AC63" s="395" t="n">
        <v>8</v>
      </c>
      <c r="AD63" s="406" t="inlineStr">
        <is>
          <t>S</t>
        </is>
      </c>
      <c r="AE63" s="395" t="n">
        <v>10</v>
      </c>
      <c r="AF63" s="396">
        <f>IF(AD63="S",AC63*$AD$1*AE63,AC63*$AD$3*AE63)</f>
        <v/>
      </c>
      <c r="AJ63" s="1051" t="n"/>
      <c r="AK63" s="1170" t="inlineStr">
        <is>
          <t>UKV RECT DAMPER</t>
        </is>
      </c>
      <c r="AL63" s="1170" t="inlineStr">
        <is>
          <t>1.100M3/S - 4.000M3/S</t>
        </is>
      </c>
      <c r="AM63" s="892" t="n">
        <v>517.28</v>
      </c>
      <c r="AN63" s="596" t="n">
        <v>488</v>
      </c>
      <c r="AO63" s="602" t="n"/>
      <c r="AP63" s="414" t="inlineStr">
        <is>
          <t>PS04 600mm</t>
        </is>
      </c>
      <c r="AQ63" s="1175">
        <f>AR63+(POLLUSTOP!$G$41*0.6)</f>
        <v/>
      </c>
      <c r="AR63" s="916" t="n">
        <v>2110.46</v>
      </c>
      <c r="AS63" s="596" t="n">
        <v>1991</v>
      </c>
      <c r="AU63" s="493" t="inlineStr">
        <is>
          <t>ISO / OUTLET (MCB)</t>
        </is>
      </c>
      <c r="AV63" s="1173" t="n"/>
      <c r="AW63" s="408" t="n"/>
      <c r="AX63" s="808" t="n"/>
      <c r="BA63" s="405" t="inlineStr">
        <is>
          <t>Size factor</t>
        </is>
      </c>
    </row>
    <row r="64" ht="14.5" customHeight="1" s="1085">
      <c r="E64" s="905" t="inlineStr">
        <is>
          <t>DONCASTER 203</t>
        </is>
      </c>
      <c r="F64" s="892" t="n">
        <v>858.6</v>
      </c>
      <c r="G64" s="599" t="n">
        <v>810</v>
      </c>
      <c r="H64" s="404" t="n"/>
      <c r="Y64" s="1170" t="inlineStr">
        <is>
          <t>UVR8S-11  8.8 M³/s</t>
        </is>
      </c>
      <c r="Z64" s="406" t="inlineStr">
        <is>
          <t>UVR8S-11</t>
        </is>
      </c>
      <c r="AA64" s="909" t="n">
        <v>10212.0824</v>
      </c>
      <c r="AB64" s="598" t="n">
        <v>9634.040000000001</v>
      </c>
      <c r="AC64" s="395" t="n">
        <v>8</v>
      </c>
      <c r="AD64" s="406" t="inlineStr">
        <is>
          <t>S</t>
        </is>
      </c>
      <c r="AE64" s="395" t="n">
        <v>11</v>
      </c>
      <c r="AF64" s="396">
        <f>IF(AD64="S",AC64*$AD$1*AE64,AC64*$AD$3*AE64)</f>
        <v/>
      </c>
      <c r="AJ64" s="1051" t="n"/>
      <c r="AK64" s="1170" t="inlineStr">
        <is>
          <t>UKV RECT DAMPER</t>
        </is>
      </c>
      <c r="AL64" s="1170" t="inlineStr">
        <is>
          <t>1.760M3/S - 6.400M3/S</t>
        </is>
      </c>
      <c r="AM64" s="892" t="n">
        <v>570.28</v>
      </c>
      <c r="AN64" s="596" t="n">
        <v>538</v>
      </c>
      <c r="AO64" s="602" t="n"/>
      <c r="AP64" s="414" t="inlineStr">
        <is>
          <t>PS05 600mm</t>
        </is>
      </c>
      <c r="AQ64" s="1175">
        <f>AR64+(POLLUSTOP!$G$42*0.6)</f>
        <v/>
      </c>
      <c r="AR64" s="916" t="n">
        <v>2462.38</v>
      </c>
      <c r="AS64" s="596" t="n">
        <v>2323</v>
      </c>
      <c r="AU64" s="493" t="n"/>
      <c r="AV64" s="1173" t="n"/>
      <c r="AW64" s="408" t="n"/>
      <c r="AX64" s="808" t="n"/>
      <c r="BA64" s="405" t="n"/>
    </row>
    <row r="65" ht="14.5" customHeight="1" s="1085">
      <c r="E65" s="905" t="inlineStr">
        <is>
          <t>DORCHESTER 160</t>
        </is>
      </c>
      <c r="F65" s="892" t="n">
        <v>556.5</v>
      </c>
      <c r="G65" s="599" t="n">
        <v>525</v>
      </c>
      <c r="H65" s="404" t="n"/>
      <c r="Y65" s="1170" t="inlineStr">
        <is>
          <t>UVR8S-12  9.6 M³/s</t>
        </is>
      </c>
      <c r="Z65" s="406" t="inlineStr">
        <is>
          <t>UVR8S-12</t>
        </is>
      </c>
      <c r="AA65" s="909" t="n">
        <v>11110.1886</v>
      </c>
      <c r="AB65" s="598" t="n">
        <v>10481.31</v>
      </c>
      <c r="AC65" s="395" t="n">
        <v>8</v>
      </c>
      <c r="AD65" s="406" t="inlineStr">
        <is>
          <t>S</t>
        </is>
      </c>
      <c r="AE65" s="395" t="n">
        <v>12</v>
      </c>
      <c r="AF65" s="396">
        <f>IF(AD65="S",AC65*$AD$1*AE65,AC65*$AD$3*AE65)</f>
        <v/>
      </c>
      <c r="AJ65" s="1051" t="n"/>
      <c r="AK65" s="1170" t="inlineStr">
        <is>
          <t>UKV RECT DAMPER</t>
        </is>
      </c>
      <c r="AL65" s="1170" t="inlineStr">
        <is>
          <t>1.760M3/S - 6.400M3/S</t>
        </is>
      </c>
      <c r="AM65" s="892" t="n">
        <v>602.08</v>
      </c>
      <c r="AN65" s="596" t="n">
        <v>568</v>
      </c>
      <c r="AO65" s="602" t="n"/>
      <c r="AP65" s="414" t="inlineStr">
        <is>
          <t>PS06 600mm</t>
        </is>
      </c>
      <c r="AQ65" s="1175">
        <f>AR65+(POLLUSTOP!$G$42*0.6)</f>
        <v/>
      </c>
      <c r="AR65" s="916" t="n">
        <v>2776.14</v>
      </c>
      <c r="AS65" s="596" t="n">
        <v>2619</v>
      </c>
      <c r="AU65" s="1128" t="inlineStr">
        <is>
          <t>16 AMP 1-PH ISO/OUTLET(MCB)</t>
        </is>
      </c>
      <c r="AV65" s="1173" t="n"/>
      <c r="AW65" s="408" t="n"/>
      <c r="AX65" s="915" t="n">
        <v>207.7918</v>
      </c>
      <c r="AY65" s="601" t="n">
        <v>196.03</v>
      </c>
      <c r="BA65" s="824" t="n">
        <v>0.33</v>
      </c>
    </row>
    <row r="66" ht="14.5" customHeight="1" s="1085">
      <c r="A66" s="405" t="inlineStr">
        <is>
          <t>KVI-LL</t>
        </is>
      </c>
      <c r="B66" s="401" t="inlineStr">
        <is>
          <t>KSA</t>
        </is>
      </c>
      <c r="C66" s="401" t="n"/>
      <c r="E66" s="905" t="inlineStr">
        <is>
          <t>DORKING 46</t>
        </is>
      </c>
      <c r="F66" s="892" t="n">
        <v>323.3</v>
      </c>
      <c r="G66" s="599" t="n">
        <v>305</v>
      </c>
      <c r="H66" s="404" t="n"/>
      <c r="Y66" s="1170" t="inlineStr">
        <is>
          <t>UVR8L-1   1.6 M³/s</t>
        </is>
      </c>
      <c r="Z66" s="406" t="inlineStr">
        <is>
          <t>UVR8L-1</t>
        </is>
      </c>
      <c r="AA66" s="909" t="n">
        <v>1264.6436</v>
      </c>
      <c r="AB66" s="598" t="n">
        <v>1193.06</v>
      </c>
      <c r="AC66" s="395" t="n">
        <v>8</v>
      </c>
      <c r="AD66" s="406" t="inlineStr">
        <is>
          <t>L</t>
        </is>
      </c>
      <c r="AE66" s="395" t="n">
        <v>1</v>
      </c>
      <c r="AF66" s="396">
        <f>IF(AD66="S",AC66*#REF!*AE66,AC66*$AD$3*AE66)</f>
        <v/>
      </c>
      <c r="AJ66" s="1051" t="n"/>
      <c r="AP66" s="414" t="inlineStr">
        <is>
          <t>PS07 600mm</t>
        </is>
      </c>
      <c r="AQ66" s="1175">
        <f>AR66+(POLLUSTOP!$G$43*0.6)</f>
        <v/>
      </c>
      <c r="AR66" s="916" t="n">
        <v>3365.5</v>
      </c>
      <c r="AS66" s="596" t="n">
        <v>3175</v>
      </c>
      <c r="AU66" s="1128" t="inlineStr">
        <is>
          <t>32 AMP 1-PH ISO/OUTLET(MCB)</t>
        </is>
      </c>
      <c r="AV66" s="1173" t="n"/>
      <c r="AW66" s="408" t="n"/>
      <c r="AX66" s="915" t="n">
        <v>212.371</v>
      </c>
      <c r="AY66" s="601" t="n">
        <v>200.35</v>
      </c>
      <c r="BA66" s="824" t="n">
        <v>0.33</v>
      </c>
    </row>
    <row r="67" ht="14.5" customHeight="1" s="1085">
      <c r="A67" s="405" t="inlineStr">
        <is>
          <t>UVI-LL</t>
        </is>
      </c>
      <c r="B67" s="401" t="inlineStr">
        <is>
          <t>KSA</t>
        </is>
      </c>
      <c r="C67" s="401" t="n"/>
      <c r="E67" s="905" t="inlineStr">
        <is>
          <t>DOVER 45</t>
        </is>
      </c>
      <c r="F67" s="892" t="n">
        <v>344.5</v>
      </c>
      <c r="G67" s="599" t="n">
        <v>325</v>
      </c>
      <c r="H67" s="404" t="n"/>
      <c r="Y67" s="1170" t="inlineStr">
        <is>
          <t>UVR8L-2   3.2 M³/s</t>
        </is>
      </c>
      <c r="Z67" s="406" t="inlineStr">
        <is>
          <t>UVR8L-2</t>
        </is>
      </c>
      <c r="AA67" s="909" t="n">
        <v>2148.673</v>
      </c>
      <c r="AB67" s="598" t="n">
        <v>2027.05</v>
      </c>
      <c r="AC67" s="395" t="n">
        <v>8</v>
      </c>
      <c r="AD67" s="406" t="inlineStr">
        <is>
          <t>L</t>
        </is>
      </c>
      <c r="AE67" s="395" t="n">
        <v>2</v>
      </c>
      <c r="AF67" s="396">
        <f>IF(AD67="S",AC67*#REF!*AE67,AC67*$AD$3*AE67)</f>
        <v/>
      </c>
      <c r="AJ67" s="1051" t="n"/>
      <c r="AP67" s="414" t="inlineStr">
        <is>
          <t>PS08 600mm</t>
        </is>
      </c>
      <c r="AQ67" s="1175">
        <f>AR67+(POLLUSTOP!$G$43*0.6)</f>
        <v/>
      </c>
      <c r="AR67" s="916" t="n">
        <v>3977.12</v>
      </c>
      <c r="AS67" s="596" t="n">
        <v>3752</v>
      </c>
      <c r="AU67" s="1128" t="inlineStr">
        <is>
          <t>16 AMP 3-PH ISO/OUTLET(MCB + VIGI)</t>
        </is>
      </c>
      <c r="AV67" s="1173" t="n"/>
      <c r="AW67" s="408" t="n"/>
      <c r="AX67" s="915" t="n">
        <v>346.2702</v>
      </c>
      <c r="AY67" s="601" t="n">
        <v>326.67</v>
      </c>
      <c r="BA67" s="824" t="n">
        <v>2</v>
      </c>
    </row>
    <row r="68" ht="14.5" customHeight="1" s="1085">
      <c r="A68" s="405" t="inlineStr">
        <is>
          <t>CMW-I-MUAP</t>
        </is>
      </c>
      <c r="B68" s="401" t="inlineStr">
        <is>
          <t>WW PODS</t>
        </is>
      </c>
      <c r="C68" s="401" t="n"/>
      <c r="E68" s="905" t="inlineStr">
        <is>
          <t>DUNDEE 499</t>
        </is>
      </c>
      <c r="F68" s="892" t="n">
        <v>1711.9</v>
      </c>
      <c r="G68" s="599" t="n">
        <v>1615</v>
      </c>
      <c r="H68" s="404" t="n"/>
      <c r="Y68" s="1170" t="inlineStr">
        <is>
          <t>UVR8L-3   4.8 M³/s</t>
        </is>
      </c>
      <c r="Z68" s="406" t="inlineStr">
        <is>
          <t>UVR8L-3</t>
        </is>
      </c>
      <c r="AA68" s="909" t="n">
        <v>3128.1024</v>
      </c>
      <c r="AB68" s="598" t="n">
        <v>2951.04</v>
      </c>
      <c r="AC68" s="395" t="n">
        <v>8</v>
      </c>
      <c r="AD68" s="406" t="inlineStr">
        <is>
          <t>L</t>
        </is>
      </c>
      <c r="AE68" s="395" t="n">
        <v>3</v>
      </c>
      <c r="AF68" s="396">
        <f>IF(AD68="S",AC68*#REF!*AE68,AC68*$AD$3*AE68)</f>
        <v/>
      </c>
      <c r="AJ68" s="1051" t="n"/>
      <c r="AK68" s="417" t="inlineStr">
        <is>
          <t>DELIVER &amp; INSTALLATION</t>
        </is>
      </c>
      <c r="AL68" s="416" t="n"/>
      <c r="AM68" s="417" t="n"/>
      <c r="AN68" s="417" t="n"/>
      <c r="AP68" s="414" t="inlineStr">
        <is>
          <t>PS09 600mm</t>
        </is>
      </c>
      <c r="AQ68" s="1175">
        <f>AR68+(POLLUSTOP!$G$43*0.6)</f>
        <v/>
      </c>
      <c r="AR68" s="916" t="n">
        <v>4307.84</v>
      </c>
      <c r="AS68" s="596" t="n">
        <v>4064</v>
      </c>
      <c r="AU68" s="1128" t="inlineStr">
        <is>
          <t>32 AMP 3-PH ISO/OUTLET(MCB + VIGI)</t>
        </is>
      </c>
      <c r="AV68" s="1173" t="n"/>
      <c r="AW68" s="408" t="n"/>
      <c r="AX68" s="915" t="n">
        <v>362.944</v>
      </c>
      <c r="AY68" s="601" t="n">
        <v>342.4</v>
      </c>
      <c r="BA68" s="824" t="n">
        <v>2</v>
      </c>
    </row>
    <row r="69" ht="14.5" customHeight="1" s="1085">
      <c r="A69" s="405" t="inlineStr">
        <is>
          <t>CV-I-MUAP</t>
        </is>
      </c>
      <c r="B69" s="401" t="inlineStr">
        <is>
          <t>CENTREX</t>
        </is>
      </c>
      <c r="C69" s="401" t="n"/>
      <c r="E69" s="905" t="inlineStr">
        <is>
          <t>DURHAM 299</t>
        </is>
      </c>
      <c r="F69" s="892" t="n">
        <v>969.9000000000001</v>
      </c>
      <c r="G69" s="599" t="n">
        <v>915</v>
      </c>
      <c r="H69" s="404" t="n"/>
      <c r="Y69" s="1170" t="inlineStr">
        <is>
          <t>UVR8L-4   6.4 M³/s</t>
        </is>
      </c>
      <c r="Z69" s="406" t="inlineStr">
        <is>
          <t>UVR8L-4</t>
        </is>
      </c>
      <c r="AA69" s="909" t="n">
        <v>4059.8318</v>
      </c>
      <c r="AB69" s="598" t="n">
        <v>3830.03</v>
      </c>
      <c r="AC69" s="395" t="n">
        <v>8</v>
      </c>
      <c r="AD69" s="406" t="inlineStr">
        <is>
          <t>L</t>
        </is>
      </c>
      <c r="AE69" s="395" t="n">
        <v>4</v>
      </c>
      <c r="AF69" s="396">
        <f>IF(AD69="S",AC69*#REF!*AE69,AC69*$AD$3*AE69)</f>
        <v/>
      </c>
      <c r="AJ69" s="1051" t="n"/>
      <c r="AK69" s="1170" t="inlineStr">
        <is>
          <t>PROGRAMMING</t>
        </is>
      </c>
      <c r="AL69" s="405" t="inlineStr">
        <is>
          <t>4HRS</t>
        </is>
      </c>
      <c r="AM69" s="892" t="n">
        <v>127.2</v>
      </c>
      <c r="AN69" s="596" t="n">
        <v>120</v>
      </c>
      <c r="AO69" s="602" t="n"/>
      <c r="AP69" s="414" t="inlineStr">
        <is>
          <t>PS10 600mm</t>
        </is>
      </c>
      <c r="AQ69" s="1175">
        <f>AR69+(POLLUSTOP!$G$44*0.6)</f>
        <v/>
      </c>
      <c r="AR69" s="916" t="n">
        <v>5139.940000000001</v>
      </c>
      <c r="AS69" s="596" t="n">
        <v>4849</v>
      </c>
      <c r="AU69" s="1128" t="inlineStr">
        <is>
          <t>63 AMP 3-PH ISO/OUTLET(MCB)</t>
        </is>
      </c>
      <c r="AV69" s="1173" t="n"/>
      <c r="AW69" s="408" t="n"/>
      <c r="AX69" s="915" t="n">
        <v>311.4174</v>
      </c>
      <c r="AY69" s="601" t="n">
        <v>293.79</v>
      </c>
      <c r="BA69" s="824" t="n">
        <v>1</v>
      </c>
    </row>
    <row r="70" ht="14.5" customHeight="1" s="1085">
      <c r="A70" s="405" t="inlineStr">
        <is>
          <t>CV-W-MUAP</t>
        </is>
      </c>
      <c r="B70" s="401" t="inlineStr">
        <is>
          <t>CENTREX</t>
        </is>
      </c>
      <c r="C70" s="401" t="n"/>
      <c r="E70" s="905" t="inlineStr">
        <is>
          <t>EASTBOURNE 57</t>
        </is>
      </c>
      <c r="F70" s="892" t="n">
        <v>482.3</v>
      </c>
      <c r="G70" s="599" t="n">
        <v>455</v>
      </c>
      <c r="H70" s="404" t="n"/>
      <c r="Y70" s="1170" t="inlineStr">
        <is>
          <t>UVR8L-5   8.0 M³/s</t>
        </is>
      </c>
      <c r="Z70" s="406" t="inlineStr">
        <is>
          <t>UVR8L-5</t>
        </is>
      </c>
      <c r="AA70" s="909" t="n">
        <v>4991.561200000001</v>
      </c>
      <c r="AB70" s="598" t="n">
        <v>4709.02</v>
      </c>
      <c r="AC70" s="395" t="n">
        <v>8</v>
      </c>
      <c r="AD70" s="406" t="inlineStr">
        <is>
          <t>L</t>
        </is>
      </c>
      <c r="AE70" s="395" t="n">
        <v>5</v>
      </c>
      <c r="AF70" s="396">
        <f>IF(AD70="S",AC70*#REF!*AE70,AC70*$AD$3*AE70)</f>
        <v/>
      </c>
      <c r="AJ70" s="1051" t="n"/>
      <c r="AK70" s="1170" t="inlineStr">
        <is>
          <t>WORKSHOP INSTALL</t>
        </is>
      </c>
      <c r="AL70" s="405" t="inlineStr">
        <is>
          <t>4HRS PER SECTION</t>
        </is>
      </c>
      <c r="AM70" s="892" t="n">
        <v>127.2</v>
      </c>
      <c r="AN70" s="596" t="n">
        <v>120</v>
      </c>
      <c r="AO70" s="602" t="n"/>
      <c r="AP70" s="405" t="n"/>
      <c r="AU70" s="1128" t="inlineStr">
        <is>
          <t>125 AMP 3-PH ISO/OUTLET(MCB)</t>
        </is>
      </c>
      <c r="AV70" s="1173" t="n"/>
      <c r="AW70" s="408" t="n"/>
      <c r="AX70" s="915" t="n">
        <v>927.0124</v>
      </c>
      <c r="AY70" s="601" t="n">
        <v>874.54</v>
      </c>
      <c r="BA70" s="824" t="n">
        <v>1</v>
      </c>
    </row>
    <row r="71" ht="14.5" customHeight="1" s="1085">
      <c r="E71" s="905" t="inlineStr">
        <is>
          <t>EASTLEIGH 109</t>
        </is>
      </c>
      <c r="F71" s="892" t="n">
        <v>424</v>
      </c>
      <c r="G71" s="599" t="n">
        <v>400</v>
      </c>
      <c r="H71" s="404" t="n"/>
      <c r="Y71" s="1170" t="inlineStr">
        <is>
          <t>UVR8L-6   9.6 M³/s</t>
        </is>
      </c>
      <c r="Z71" s="406" t="inlineStr">
        <is>
          <t>UVR8L-6</t>
        </is>
      </c>
      <c r="AA71" s="909" t="n">
        <v>5923.2906</v>
      </c>
      <c r="AB71" s="598" t="n">
        <v>5588.01</v>
      </c>
      <c r="AC71" s="395" t="n">
        <v>8</v>
      </c>
      <c r="AD71" s="406" t="inlineStr">
        <is>
          <t>L</t>
        </is>
      </c>
      <c r="AE71" s="395" t="n">
        <v>6</v>
      </c>
      <c r="AF71" s="396">
        <f>IF(AD71="S",AC71*#REF!*AE71,AC71*$AD$3*AE71)</f>
        <v/>
      </c>
      <c r="AJ71" s="1051" t="n"/>
      <c r="AK71" s="1170" t="inlineStr">
        <is>
          <t>SITE INSTALLATION</t>
        </is>
      </c>
      <c r="AL71" s="1170" t="inlineStr">
        <is>
          <t>4 SECTIONS PER DAY</t>
        </is>
      </c>
      <c r="AM71" s="892" t="n">
        <v>583</v>
      </c>
      <c r="AN71" s="596" t="n">
        <v>550</v>
      </c>
      <c r="AO71" s="602" t="n"/>
      <c r="AP71" s="423" t="inlineStr">
        <is>
          <t>CARBON FILTERS</t>
        </is>
      </c>
      <c r="AQ71" s="417" t="n"/>
      <c r="AR71" s="417" t="n"/>
      <c r="AS71" s="417" t="n"/>
      <c r="AU71" s="913" t="inlineStr">
        <is>
          <t>16 AMP 3-PH ISO/OUTLET(MCB + RCD)</t>
        </is>
      </c>
      <c r="AV71" s="911" t="n"/>
      <c r="AW71" s="912" t="n"/>
      <c r="AX71" s="915" t="n">
        <v>351.0402</v>
      </c>
      <c r="AY71" s="601" t="n">
        <v>331.17</v>
      </c>
      <c r="BA71" s="824" t="n">
        <v>1</v>
      </c>
    </row>
    <row r="72" ht="14.5" customHeight="1" s="1085">
      <c r="E72" s="905" t="inlineStr">
        <is>
          <t>EDINBURGH 428</t>
        </is>
      </c>
      <c r="F72" s="892" t="n">
        <v>1469.16</v>
      </c>
      <c r="G72" s="599" t="n">
        <v>1386</v>
      </c>
      <c r="H72" s="404" t="n"/>
      <c r="Y72" s="1170" t="inlineStr">
        <is>
          <t>UVR8L-7   11.2 M³/s</t>
        </is>
      </c>
      <c r="Z72" s="406" t="inlineStr">
        <is>
          <t>UVR8L-7</t>
        </is>
      </c>
      <c r="AA72" s="909" t="n">
        <v>6855.02</v>
      </c>
      <c r="AB72" s="598" t="n">
        <v>6467</v>
      </c>
      <c r="AC72" s="395" t="n">
        <v>8</v>
      </c>
      <c r="AD72" s="406" t="inlineStr">
        <is>
          <t>L</t>
        </is>
      </c>
      <c r="AE72" s="395" t="n">
        <v>7</v>
      </c>
      <c r="AF72" s="396">
        <f>IF(AD72="S",AC72*#REF!*AE72,AC72*$AD$3*AE72)</f>
        <v/>
      </c>
      <c r="AJ72" s="1051" t="n"/>
      <c r="AK72" s="1170" t="inlineStr">
        <is>
          <t xml:space="preserve">CONSUMABLES </t>
        </is>
      </c>
      <c r="AL72" s="1170" t="inlineStr">
        <is>
          <t>PER SYSTEM</t>
        </is>
      </c>
      <c r="AM72" s="892" t="n">
        <v>127.2</v>
      </c>
      <c r="AN72" s="596" t="n">
        <v>120</v>
      </c>
      <c r="AO72" s="602" t="n"/>
      <c r="AP72" s="414" t="inlineStr">
        <is>
          <t>Size</t>
        </is>
      </c>
      <c r="AQ72" s="1175" t="n">
        <v>0</v>
      </c>
      <c r="AR72" s="894" t="n"/>
      <c r="AS72" s="894" t="n"/>
      <c r="AU72" s="913" t="inlineStr">
        <is>
          <t>32 AMP 3-PH ISO/OUTLET(MCB + RCD)</t>
        </is>
      </c>
      <c r="AV72" s="911" t="n"/>
      <c r="AW72" s="912" t="n"/>
      <c r="AX72" s="915" t="n">
        <v>367.714</v>
      </c>
      <c r="AY72" s="601" t="n">
        <v>346.9</v>
      </c>
      <c r="BA72" s="824" t="n">
        <v>1</v>
      </c>
    </row>
    <row r="73" ht="14.5" customHeight="1" s="1085">
      <c r="E73" s="905" t="inlineStr">
        <is>
          <t>ENFIELD 49</t>
        </is>
      </c>
      <c r="F73" s="892" t="n">
        <v>371</v>
      </c>
      <c r="G73" s="599" t="n">
        <v>350</v>
      </c>
      <c r="H73" s="404" t="n"/>
      <c r="Y73" s="1170" t="inlineStr">
        <is>
          <t>UVR8L-8   12.8 M³/s</t>
        </is>
      </c>
      <c r="Z73" s="406" t="inlineStr">
        <is>
          <t>UVR8L-8</t>
        </is>
      </c>
      <c r="AA73" s="909" t="n">
        <v>7786.749400000001</v>
      </c>
      <c r="AB73" s="598" t="n">
        <v>7345.99</v>
      </c>
      <c r="AC73" s="395" t="n">
        <v>8</v>
      </c>
      <c r="AD73" s="406" t="inlineStr">
        <is>
          <t>L</t>
        </is>
      </c>
      <c r="AE73" s="395" t="n">
        <v>8</v>
      </c>
      <c r="AF73" s="396">
        <f>IF(AD73="S",AC73*#REF!*AE73,AC73*$AD$3*AE73)</f>
        <v/>
      </c>
      <c r="AJ73" s="1051" t="n"/>
      <c r="AK73" s="1170" t="inlineStr">
        <is>
          <t>1st TEST &amp; COMMISSION</t>
        </is>
      </c>
      <c r="AL73" s="1170" t="inlineStr">
        <is>
          <t>4 SECTIONS PER DAY</t>
        </is>
      </c>
      <c r="AM73" s="892" t="n">
        <v>603</v>
      </c>
      <c r="AN73" s="596" t="n">
        <v>423</v>
      </c>
      <c r="AO73" s="602" t="n"/>
      <c r="AP73" s="414" t="inlineStr">
        <is>
          <t>PS01 800mm</t>
        </is>
      </c>
      <c r="AQ73" s="1175">
        <f>(POLLUSTOP!$G$39*0.8)+AR73</f>
        <v/>
      </c>
      <c r="AR73" s="916">
        <f>AS73*1.06</f>
        <v/>
      </c>
      <c r="AS73" s="596" t="n">
        <v>1218</v>
      </c>
      <c r="AU73" s="493" t="n"/>
      <c r="AV73" s="1173" t="n"/>
      <c r="AW73" s="408" t="n"/>
      <c r="AX73" s="808" t="n"/>
    </row>
    <row r="74" ht="14.5" customHeight="1" s="1085">
      <c r="E74" s="905" t="inlineStr">
        <is>
          <t>EXETER 205</t>
        </is>
      </c>
      <c r="F74" s="892" t="n">
        <v>858.6</v>
      </c>
      <c r="G74" s="599" t="n">
        <v>810</v>
      </c>
      <c r="H74" s="404" t="n"/>
      <c r="Y74" s="1170" t="inlineStr">
        <is>
          <t>UVR8L-9   14.4 M³/s</t>
        </is>
      </c>
      <c r="Z74" s="406" t="inlineStr">
        <is>
          <t>UVR8L-9</t>
        </is>
      </c>
      <c r="AA74" s="909" t="n">
        <v>8718.478800000001</v>
      </c>
      <c r="AB74" s="598" t="n">
        <v>8224.98</v>
      </c>
      <c r="AC74" s="395" t="n">
        <v>8</v>
      </c>
      <c r="AD74" s="406" t="inlineStr">
        <is>
          <t>L</t>
        </is>
      </c>
      <c r="AE74" s="395" t="n">
        <v>9</v>
      </c>
      <c r="AF74" s="396">
        <f>IF(AD74="S",AC74*#REF!*AE74,AC74*$AD$3*AE74)</f>
        <v/>
      </c>
      <c r="AJ74" s="1051" t="n"/>
      <c r="AK74" s="1170" t="inlineStr">
        <is>
          <t>2nd TEST &amp; COMMISSION</t>
        </is>
      </c>
      <c r="AL74" s="1170" t="inlineStr">
        <is>
          <t>1 DAY PER SYSTEM</t>
        </is>
      </c>
      <c r="AM74" s="892" t="n">
        <v>603</v>
      </c>
      <c r="AN74" s="596" t="n">
        <v>423</v>
      </c>
      <c r="AO74" s="602" t="n"/>
      <c r="AP74" s="414" t="inlineStr">
        <is>
          <t>PS02 800mm</t>
        </is>
      </c>
      <c r="AQ74" s="1175">
        <f>AR74+(POLLUSTOP!$G$40*0.8)</f>
        <v/>
      </c>
      <c r="AR74" s="916">
        <f>AS74*1.06</f>
        <v/>
      </c>
      <c r="AS74" s="596" t="n">
        <v>1861</v>
      </c>
      <c r="AU74" s="493" t="n"/>
      <c r="AV74" s="1173" t="n"/>
      <c r="AW74" s="408" t="n"/>
      <c r="AX74" s="808" t="n"/>
    </row>
    <row r="75" ht="14.5" customHeight="1" s="1085">
      <c r="E75" s="905" t="inlineStr">
        <is>
          <t>EXMOUTH 207</t>
        </is>
      </c>
      <c r="F75" s="892" t="n">
        <v>858.6</v>
      </c>
      <c r="G75" s="599" t="n">
        <v>810</v>
      </c>
      <c r="H75" s="404" t="n"/>
      <c r="Y75" s="1170" t="inlineStr">
        <is>
          <t>UVR8L-10  16.0 M³/s</t>
        </is>
      </c>
      <c r="Z75" s="406" t="inlineStr">
        <is>
          <t>UVR8L-10</t>
        </is>
      </c>
      <c r="AA75" s="909" t="n">
        <v>9650.208199999999</v>
      </c>
      <c r="AB75" s="598" t="n">
        <v>9103.969999999999</v>
      </c>
      <c r="AC75" s="395" t="n">
        <v>8</v>
      </c>
      <c r="AD75" s="406" t="inlineStr">
        <is>
          <t>L</t>
        </is>
      </c>
      <c r="AE75" s="395" t="n">
        <v>10</v>
      </c>
      <c r="AF75" s="396">
        <f>IF(AD75="S",AC75*#REF!*AE75,AC75*$AD$3*AE75)</f>
        <v/>
      </c>
      <c r="AJ75" s="1051" t="n"/>
      <c r="AP75" s="414" t="inlineStr">
        <is>
          <t>PS03 800mm</t>
        </is>
      </c>
      <c r="AQ75" s="1175">
        <f>AR75+(POLLUSTOP!$G$41*0.8)</f>
        <v/>
      </c>
      <c r="AR75" s="916">
        <f>AS75*1.06</f>
        <v/>
      </c>
      <c r="AS75" s="596" t="n">
        <v>2482</v>
      </c>
      <c r="AU75" s="408" t="inlineStr">
        <is>
          <t>3-PHASE ISOLATOR/OUTLET</t>
        </is>
      </c>
      <c r="AV75" s="1173" t="n"/>
      <c r="AW75" s="408" t="n"/>
      <c r="AX75" s="808" t="n"/>
    </row>
    <row r="76" ht="14.5" customHeight="1" s="1085">
      <c r="E76" s="905" t="inlineStr">
        <is>
          <t>FELIXSTOWE 103</t>
        </is>
      </c>
      <c r="F76" s="892" t="n">
        <v>424</v>
      </c>
      <c r="G76" s="599" t="n">
        <v>400</v>
      </c>
      <c r="H76" s="404" t="n"/>
      <c r="Y76" s="1170" t="inlineStr">
        <is>
          <t>UVR8L-11  17.6 M³/s</t>
        </is>
      </c>
      <c r="Z76" s="406" t="inlineStr">
        <is>
          <t>UVR8L-11</t>
        </is>
      </c>
      <c r="AA76" s="909" t="n">
        <v>10581.9376</v>
      </c>
      <c r="AB76" s="598" t="n">
        <v>9982.959999999999</v>
      </c>
      <c r="AC76" s="395" t="n">
        <v>8</v>
      </c>
      <c r="AD76" s="406" t="inlineStr">
        <is>
          <t>L</t>
        </is>
      </c>
      <c r="AE76" s="395" t="n">
        <v>11</v>
      </c>
      <c r="AF76" s="396">
        <f>IF(AD76="S",AC76*#REF!*AE76,AC76*$AD$3*AE76)</f>
        <v/>
      </c>
      <c r="AJ76" s="1051" t="n"/>
      <c r="AP76" s="414" t="inlineStr">
        <is>
          <t>PS04 800mm</t>
        </is>
      </c>
      <c r="AQ76" s="1175">
        <f>AR76+(POLLUSTOP!$G$41*0.8)</f>
        <v/>
      </c>
      <c r="AR76" s="916">
        <f>AS76*1.06</f>
        <v/>
      </c>
      <c r="AS76" s="596" t="n">
        <v>3045</v>
      </c>
      <c r="AU76" s="408" t="n"/>
      <c r="AV76" s="1173" t="n"/>
      <c r="AW76" s="408" t="n"/>
      <c r="AX76" s="808" t="n"/>
    </row>
    <row r="77" ht="14.5" customHeight="1" s="1085">
      <c r="E77" s="905" t="inlineStr">
        <is>
          <t>GATWICK 44</t>
        </is>
      </c>
      <c r="F77" s="892" t="n">
        <v>323.3</v>
      </c>
      <c r="G77" s="599" t="n">
        <v>305</v>
      </c>
      <c r="H77" s="404" t="n"/>
      <c r="Y77" s="1170" t="inlineStr">
        <is>
          <t>UVR8L-12  19.2 M³/s</t>
        </is>
      </c>
      <c r="Z77" s="406" t="inlineStr">
        <is>
          <t>UVR8L-12</t>
        </is>
      </c>
      <c r="AA77" s="909" t="n">
        <v>11513.667</v>
      </c>
      <c r="AB77" s="598" t="n">
        <v>10861.95</v>
      </c>
      <c r="AC77" s="395" t="n">
        <v>8</v>
      </c>
      <c r="AD77" s="406" t="inlineStr">
        <is>
          <t>L</t>
        </is>
      </c>
      <c r="AE77" s="395" t="n">
        <v>12</v>
      </c>
      <c r="AF77" s="396">
        <f>IF(AD77="S",AC77*#REF!*AE77,AC77*$AD$3*AE77)</f>
        <v/>
      </c>
      <c r="AJ77" s="1051" t="n"/>
      <c r="AP77" s="414" t="inlineStr">
        <is>
          <t>PS05 800mm</t>
        </is>
      </c>
      <c r="AQ77" s="1175">
        <f>AR77+(POLLUSTOP!$G$42*0.8)</f>
        <v/>
      </c>
      <c r="AR77" s="916">
        <f>AS77*1.06</f>
        <v/>
      </c>
      <c r="AS77" s="596" t="n">
        <v>4062</v>
      </c>
      <c r="AU77" s="408" t="n"/>
      <c r="AV77" s="1173" t="n"/>
      <c r="AW77" s="408" t="n"/>
      <c r="AX77" s="808" t="n"/>
    </row>
    <row r="78" ht="14.5" customHeight="1" s="1085">
      <c r="E78" s="905" t="inlineStr">
        <is>
          <t>GLASGOW 456</t>
        </is>
      </c>
      <c r="F78" s="892" t="n">
        <v>1590</v>
      </c>
      <c r="G78" s="599" t="n">
        <v>1500</v>
      </c>
      <c r="H78" s="404" t="n"/>
      <c r="AP78" s="414" t="inlineStr">
        <is>
          <t>PS06 800mm</t>
        </is>
      </c>
      <c r="AQ78" s="1175">
        <f>AR78+(POLLUSTOP!$G$42*0.8)</f>
        <v/>
      </c>
      <c r="AR78" s="916">
        <f>AS78*1.06</f>
        <v/>
      </c>
      <c r="AS78" s="596" t="n">
        <v>4134</v>
      </c>
      <c r="AU78" s="493" t="n"/>
      <c r="AV78" s="1173" t="n"/>
      <c r="AW78" s="493" t="n"/>
      <c r="AX78" s="808" t="n"/>
    </row>
    <row r="79" ht="14.5" customHeight="1" s="1085">
      <c r="E79" s="905" t="inlineStr">
        <is>
          <t>GLASTONBURY 164</t>
        </is>
      </c>
      <c r="F79" s="892" t="n">
        <v>598.9</v>
      </c>
      <c r="G79" s="599" t="n">
        <v>565</v>
      </c>
      <c r="H79" s="404" t="n"/>
      <c r="AP79" s="414" t="inlineStr">
        <is>
          <t>PS07 800mm</t>
        </is>
      </c>
      <c r="AQ79" s="1175">
        <f>AR79+(POLLUSTOP!$G$43*0.8)</f>
        <v/>
      </c>
      <c r="AR79" s="916">
        <f>AS79*1.06</f>
        <v/>
      </c>
      <c r="AS79" s="596" t="n">
        <v>5600</v>
      </c>
      <c r="AU79" s="493" t="n"/>
      <c r="AV79" s="1173" t="n"/>
      <c r="AW79" s="493" t="n"/>
      <c r="AX79" s="808" t="n"/>
    </row>
    <row r="80" ht="14.5" customHeight="1" s="1085">
      <c r="E80" s="905" t="inlineStr">
        <is>
          <t>GLOUCESTER 151</t>
        </is>
      </c>
      <c r="F80" s="892" t="n">
        <v>545.9</v>
      </c>
      <c r="G80" s="599" t="n">
        <v>515</v>
      </c>
      <c r="H80" s="404" t="n"/>
      <c r="AP80" s="414" t="inlineStr">
        <is>
          <t>PS08 800mm</t>
        </is>
      </c>
      <c r="AQ80" s="1175">
        <f>AR80+(POLLUSTOP!$G$43*0.8)</f>
        <v/>
      </c>
      <c r="AR80" s="916">
        <f>AS80*1.06</f>
        <v/>
      </c>
      <c r="AS80" s="596" t="n">
        <v>5778</v>
      </c>
      <c r="AU80" s="493" t="n"/>
      <c r="AV80" s="1173" t="n"/>
      <c r="AW80" s="408" t="n"/>
      <c r="AX80" s="808" t="n"/>
    </row>
    <row r="81" ht="14.5" customHeight="1" s="1085">
      <c r="E81" s="905" t="inlineStr">
        <is>
          <t>GRANTHAM 143</t>
        </is>
      </c>
      <c r="F81" s="892" t="n">
        <v>567.1</v>
      </c>
      <c r="G81" s="599" t="n">
        <v>535</v>
      </c>
      <c r="H81" s="404" t="n"/>
      <c r="AP81" s="414" t="inlineStr">
        <is>
          <t>PS09 800mm</t>
        </is>
      </c>
      <c r="AQ81" s="1175">
        <f>AR81+(POLLUSTOP!$G$43*0.8)</f>
        <v/>
      </c>
      <c r="AR81" s="916">
        <f>AS81*1.06</f>
        <v/>
      </c>
      <c r="AS81" s="596" t="n">
        <v>7288</v>
      </c>
      <c r="AU81" s="408" t="n"/>
      <c r="AV81" s="1173" t="n"/>
      <c r="AW81" s="408" t="n"/>
      <c r="AX81" s="808" t="n"/>
    </row>
    <row r="82" ht="14.5" customHeight="1" s="1085">
      <c r="E82" s="905" t="inlineStr">
        <is>
          <t>GREAT YARMOUTH 147</t>
        </is>
      </c>
      <c r="F82" s="892" t="n">
        <v>567.1</v>
      </c>
      <c r="G82" s="599" t="n">
        <v>535</v>
      </c>
      <c r="H82" s="404" t="n"/>
      <c r="AP82" s="414" t="inlineStr">
        <is>
          <t>PS10 800mm</t>
        </is>
      </c>
      <c r="AQ82" s="1175">
        <f>AR82+(POLLUSTOP!$G$44*0.8)</f>
        <v/>
      </c>
      <c r="AR82" s="916">
        <f>AS82*1.06</f>
        <v/>
      </c>
      <c r="AS82" s="596" t="n">
        <v>7806</v>
      </c>
      <c r="AU82" s="408" t="n"/>
      <c r="AV82" s="1173" t="n"/>
      <c r="AW82" s="408" t="n"/>
      <c r="AX82" s="808" t="n"/>
    </row>
    <row r="83" ht="14.5" customHeight="1" s="1085">
      <c r="E83" s="905" t="inlineStr">
        <is>
          <t>GRIMSBY 215</t>
        </is>
      </c>
      <c r="F83" s="892" t="n">
        <v>863.9000000000001</v>
      </c>
      <c r="G83" s="599" t="n">
        <v>815</v>
      </c>
      <c r="H83" s="404" t="n"/>
      <c r="AP83" s="405" t="n"/>
      <c r="AU83" s="408" t="n"/>
      <c r="AV83" s="1173" t="n"/>
      <c r="AW83" s="408" t="n"/>
      <c r="AX83" s="808" t="n"/>
    </row>
    <row r="84" ht="14.5" customHeight="1" s="1085">
      <c r="E84" s="905" t="inlineStr">
        <is>
          <t>GUILDFORD 59</t>
        </is>
      </c>
      <c r="F84" s="892" t="n">
        <v>344.5</v>
      </c>
      <c r="G84" s="599" t="n">
        <v>325</v>
      </c>
      <c r="H84" s="404" t="n"/>
      <c r="AP84" s="423" t="inlineStr">
        <is>
          <t>FAN SECTION</t>
        </is>
      </c>
      <c r="AQ84" s="417" t="n"/>
      <c r="AR84" s="417" t="n"/>
      <c r="AS84" s="417" t="n"/>
      <c r="AU84" s="408" t="n"/>
      <c r="AV84" s="1173" t="n"/>
      <c r="AW84" s="408" t="n"/>
      <c r="AX84" s="808" t="n"/>
    </row>
    <row r="85" ht="14.5" customHeight="1" s="1085">
      <c r="E85" s="905" t="inlineStr">
        <is>
          <t>HARLOW 47</t>
        </is>
      </c>
      <c r="F85" s="892" t="n">
        <v>344.5</v>
      </c>
      <c r="G85" s="599" t="n">
        <v>325</v>
      </c>
      <c r="H85" s="404" t="n"/>
      <c r="AP85" s="414" t="inlineStr">
        <is>
          <t>Size</t>
        </is>
      </c>
      <c r="AQ85" s="1175" t="n">
        <v>0</v>
      </c>
      <c r="AR85" s="904" t="n"/>
      <c r="AS85" s="904" t="n"/>
      <c r="AU85" s="408" t="inlineStr">
        <is>
          <t>RING MAIN</t>
        </is>
      </c>
      <c r="AV85" s="1173" t="n"/>
      <c r="AW85" s="408" t="inlineStr">
        <is>
          <t>INC 2NO SSO</t>
        </is>
      </c>
      <c r="AX85" s="1060" t="n">
        <v>90.6194</v>
      </c>
      <c r="AY85" s="601" t="n">
        <v>85.48999999999999</v>
      </c>
    </row>
    <row r="86" ht="14.5" customHeight="1" s="1085">
      <c r="E86" s="905" t="inlineStr">
        <is>
          <t>HARROGATE 236</t>
        </is>
      </c>
      <c r="F86" s="892" t="n">
        <v>890.4000000000001</v>
      </c>
      <c r="G86" s="599" t="n">
        <v>840</v>
      </c>
      <c r="H86" s="404" t="n"/>
      <c r="AP86" s="414" t="inlineStr">
        <is>
          <t>PS01 1560mm</t>
        </is>
      </c>
      <c r="AQ86" s="1175">
        <f>(POLLUSTOP!$G$39*0.126)+AR86</f>
        <v/>
      </c>
      <c r="AR86" s="916">
        <f>AS86*1.06</f>
        <v/>
      </c>
      <c r="AS86" s="596" t="n">
        <v>1889</v>
      </c>
      <c r="AU86" s="408" t="inlineStr">
        <is>
          <t>ADDITIONAL SSO</t>
        </is>
      </c>
      <c r="AV86" s="1173" t="n"/>
      <c r="AW86" s="408" t="n"/>
      <c r="AX86" s="1060" t="n">
        <v>40.3966</v>
      </c>
      <c r="AY86" s="601" t="n">
        <v>38.11</v>
      </c>
    </row>
    <row r="87" ht="14.5" customHeight="1" s="1085">
      <c r="E87" s="905" t="inlineStr">
        <is>
          <t>HARTLEPOOL 286</t>
        </is>
      </c>
      <c r="F87" s="892" t="n">
        <v>940.22</v>
      </c>
      <c r="G87" s="599" t="n">
        <v>887</v>
      </c>
      <c r="H87" s="404" t="n"/>
      <c r="AP87" s="18" t="inlineStr">
        <is>
          <t>PS02 1560mm</t>
        </is>
      </c>
      <c r="AQ87" s="1175">
        <f>AR87+(POLLUSTOP!$G$40*1.56)</f>
        <v/>
      </c>
      <c r="AR87" s="916">
        <f>AS87*1.06</f>
        <v/>
      </c>
      <c r="AS87" s="596" t="n">
        <v>2142</v>
      </c>
      <c r="AU87" s="405" t="inlineStr">
        <is>
          <t>BS 6173 CT1750</t>
        </is>
      </c>
      <c r="AV87" s="406" t="n"/>
      <c r="AW87" s="408" t="inlineStr">
        <is>
          <t>GAS INTERLOCK EX-WORKS</t>
        </is>
      </c>
      <c r="AX87" s="910" t="n">
        <v>836.34</v>
      </c>
      <c r="AY87" s="601" t="n">
        <v>789</v>
      </c>
    </row>
    <row r="88" ht="14.5" customHeight="1" s="1085">
      <c r="E88" s="905" t="inlineStr">
        <is>
          <t>HASTINGS 40</t>
        </is>
      </c>
      <c r="F88" s="892" t="n">
        <v>445.2</v>
      </c>
      <c r="G88" s="599" t="n">
        <v>420</v>
      </c>
      <c r="H88" s="404" t="n"/>
      <c r="AP88" s="18" t="inlineStr">
        <is>
          <t>PS03 1560mm</t>
        </is>
      </c>
      <c r="AQ88" s="1175">
        <f>AR88+(POLLUSTOP!$G$41*1.56)</f>
        <v/>
      </c>
      <c r="AR88" s="916">
        <f>AS88*1.06</f>
        <v/>
      </c>
      <c r="AS88" s="596" t="n">
        <v>2980</v>
      </c>
      <c r="AU88" s="408" t="inlineStr">
        <is>
          <t>RING MAIN</t>
        </is>
      </c>
      <c r="AV88" s="1173" t="n"/>
      <c r="AW88" s="408" t="inlineStr">
        <is>
          <t>INC 2NO SSO WITH MCB</t>
        </is>
      </c>
      <c r="AX88" s="1060" t="n">
        <v>146.3012</v>
      </c>
      <c r="AY88" s="601" t="n">
        <v>138.02</v>
      </c>
    </row>
    <row r="89" ht="14.5" customHeight="1" s="1085">
      <c r="E89" s="905" t="inlineStr">
        <is>
          <t>HEXHAM 325</t>
        </is>
      </c>
      <c r="F89" s="892" t="n">
        <v>1060</v>
      </c>
      <c r="G89" s="599" t="n">
        <v>1000</v>
      </c>
      <c r="H89" s="404" t="n"/>
      <c r="AP89" s="18" t="inlineStr">
        <is>
          <t>PS04 1560mm</t>
        </is>
      </c>
      <c r="AQ89" s="1175">
        <f>AR89+(POLLUSTOP!$G$41*1.56)</f>
        <v/>
      </c>
      <c r="AR89" s="916">
        <f>AS89*1.06</f>
        <v/>
      </c>
      <c r="AS89" s="596" t="n">
        <v>3464</v>
      </c>
      <c r="AU89" s="423" t="inlineStr">
        <is>
          <t>GAS (MF MECH)</t>
        </is>
      </c>
      <c r="AV89" s="424" t="n"/>
      <c r="AW89" s="425" t="n"/>
      <c r="AX89" s="423" t="n"/>
      <c r="AY89" s="1059" t="n"/>
    </row>
    <row r="90" ht="14.5" customHeight="1" s="1085">
      <c r="E90" s="905" t="inlineStr">
        <is>
          <t>HEREFORD 184</t>
        </is>
      </c>
      <c r="F90" s="892" t="n">
        <v>726.1</v>
      </c>
      <c r="G90" s="599" t="n">
        <v>685</v>
      </c>
      <c r="H90" s="404" t="n"/>
      <c r="AP90" s="18" t="inlineStr">
        <is>
          <t>PS05 2060mm</t>
        </is>
      </c>
      <c r="AQ90" s="1175">
        <f>AR90+(POLLUSTOP!$G$42*1.56)</f>
        <v/>
      </c>
      <c r="AR90" s="916">
        <f>AS90*1.06</f>
        <v/>
      </c>
      <c r="AS90" s="596" t="n">
        <v>4074</v>
      </c>
      <c r="AU90" s="408" t="inlineStr">
        <is>
          <t>GAS MANIFOLD</t>
        </is>
      </c>
      <c r="AV90" s="1173" t="n"/>
      <c r="AW90" s="408" t="inlineStr">
        <is>
          <t>50MM UP TO 6M</t>
        </is>
      </c>
      <c r="AX90" s="910" t="n">
        <v>422.5372</v>
      </c>
      <c r="AY90" s="601" t="n">
        <v>398.62</v>
      </c>
    </row>
    <row r="91" ht="14.5" customHeight="1" s="1085">
      <c r="E91" s="905" t="inlineStr">
        <is>
          <t>HIGH WYCOMBE 80</t>
        </is>
      </c>
      <c r="F91" s="892" t="n">
        <v>386.9</v>
      </c>
      <c r="G91" s="599" t="n">
        <v>365</v>
      </c>
      <c r="H91" s="404" t="n"/>
      <c r="AP91" s="18" t="inlineStr">
        <is>
          <t>PS06 2060mm</t>
        </is>
      </c>
      <c r="AQ91" s="1175">
        <f>AR91+(POLLUSTOP!$G$42*1.56)</f>
        <v/>
      </c>
      <c r="AR91" s="916">
        <f>AS91*1.06</f>
        <v/>
      </c>
      <c r="AS91" s="596" t="n">
        <v>4380</v>
      </c>
      <c r="AU91" s="408" t="inlineStr">
        <is>
          <t>GAS MANIFOLD</t>
        </is>
      </c>
      <c r="AV91" s="1173" t="n"/>
      <c r="AW91" s="408" t="inlineStr">
        <is>
          <t>40MM UP TO 6M</t>
        </is>
      </c>
      <c r="AX91" s="910" t="n">
        <v>355.4392</v>
      </c>
      <c r="AY91" s="601" t="n">
        <v>335.32</v>
      </c>
    </row>
    <row r="92" ht="14.5" customHeight="1" s="1085">
      <c r="E92" s="905" t="inlineStr">
        <is>
          <t>HIGHBRIDGE 187</t>
        </is>
      </c>
      <c r="F92" s="892" t="n">
        <v>651.9</v>
      </c>
      <c r="G92" s="599" t="n">
        <v>615</v>
      </c>
      <c r="H92" s="404" t="n"/>
      <c r="AP92" s="18" t="inlineStr">
        <is>
          <t>PS07 2060mm</t>
        </is>
      </c>
      <c r="AQ92" s="1175">
        <f>AR92+(POLLUSTOP!$G$43*1.56)</f>
        <v/>
      </c>
      <c r="AR92" s="916">
        <f>AS92*1.06</f>
        <v/>
      </c>
      <c r="AS92" s="596" t="n">
        <v>5466</v>
      </c>
      <c r="AU92" s="408" t="inlineStr">
        <is>
          <t>GAS MANIFOLD</t>
        </is>
      </c>
      <c r="AV92" s="1173" t="n"/>
      <c r="AW92" s="408" t="inlineStr">
        <is>
          <t>32MM UP TO 6M</t>
        </is>
      </c>
      <c r="AX92" s="910" t="n">
        <v>344.4364</v>
      </c>
      <c r="AY92" s="601" t="n">
        <v>324.94</v>
      </c>
    </row>
    <row r="93" ht="14.5" customHeight="1" s="1085">
      <c r="E93" s="905" t="inlineStr">
        <is>
          <t>HOLYHEAD 347</t>
        </is>
      </c>
      <c r="F93" s="892" t="n">
        <v>1203.1</v>
      </c>
      <c r="G93" s="599" t="n">
        <v>1135</v>
      </c>
      <c r="H93" s="404" t="n"/>
      <c r="AP93" s="18" t="inlineStr">
        <is>
          <t>PS08 2060mm</t>
        </is>
      </c>
      <c r="AQ93" s="1175">
        <f>AR93+(POLLUSTOP!$G$43*2.06)</f>
        <v/>
      </c>
      <c r="AR93" s="916">
        <f>AS93*1.06</f>
        <v/>
      </c>
      <c r="AS93" s="596" t="n">
        <v>6244</v>
      </c>
      <c r="AU93" s="408" t="inlineStr">
        <is>
          <t>GAS MANIFOLD</t>
        </is>
      </c>
      <c r="AV93" s="1173" t="n"/>
      <c r="AW93" s="408" t="inlineStr">
        <is>
          <t>25MM UP TO 6M</t>
        </is>
      </c>
      <c r="AX93" s="910" t="n">
        <v>301.8562</v>
      </c>
      <c r="AY93" s="601" t="n">
        <v>284.77</v>
      </c>
    </row>
    <row r="94" ht="14.5" customHeight="1" s="1085">
      <c r="E94" s="905" t="inlineStr">
        <is>
          <t>HONITON 190</t>
        </is>
      </c>
      <c r="F94" s="892" t="n">
        <v>651.9</v>
      </c>
      <c r="G94" s="599" t="n">
        <v>615</v>
      </c>
      <c r="H94" s="404" t="n"/>
      <c r="AP94" s="18" t="inlineStr">
        <is>
          <t>PS09 2060mm</t>
        </is>
      </c>
      <c r="AQ94" s="1175">
        <f>AR94+(POLLUSTOP!$G$43*2.06)</f>
        <v/>
      </c>
      <c r="AR94" s="916">
        <f>AS94*1.06</f>
        <v/>
      </c>
      <c r="AS94" s="596" t="n">
        <v>6651</v>
      </c>
      <c r="AU94" s="408" t="inlineStr">
        <is>
          <t>GAS CONNECTION</t>
        </is>
      </c>
      <c r="AV94" s="1173" t="n"/>
      <c r="AW94" s="408" t="inlineStr">
        <is>
          <t>15MM</t>
        </is>
      </c>
      <c r="AX94" s="910" t="n">
        <v>70.3416</v>
      </c>
      <c r="AY94" s="601" t="n">
        <v>66.36</v>
      </c>
    </row>
    <row r="95" ht="14.5" customHeight="1" s="1085">
      <c r="E95" s="905" t="inlineStr">
        <is>
          <t>HORSHAM 55</t>
        </is>
      </c>
      <c r="F95" s="892" t="n">
        <v>344.5</v>
      </c>
      <c r="G95" s="599" t="n">
        <v>325</v>
      </c>
      <c r="H95" s="404" t="n"/>
      <c r="AP95" s="18" t="inlineStr">
        <is>
          <t>PS10 2060mm</t>
        </is>
      </c>
      <c r="AQ95" s="1175">
        <f>AR95+(POLLUSTOP!$G$44*2.06)</f>
        <v/>
      </c>
      <c r="AR95" s="916">
        <f>AS95*1.06</f>
        <v/>
      </c>
      <c r="AS95" s="596" t="n">
        <v>6803</v>
      </c>
      <c r="AU95" s="408" t="inlineStr">
        <is>
          <t>GAS CONNECTION</t>
        </is>
      </c>
      <c r="AV95" s="1173" t="n"/>
      <c r="AW95" s="408" t="inlineStr">
        <is>
          <t>20MM</t>
        </is>
      </c>
      <c r="AX95" s="910" t="n">
        <v>76.4366</v>
      </c>
      <c r="AY95" s="601" t="n">
        <v>72.11</v>
      </c>
    </row>
    <row r="96" ht="14.5" customHeight="1" s="1085">
      <c r="E96" s="905" t="inlineStr">
        <is>
          <t>HOUNSLOW 55</t>
        </is>
      </c>
      <c r="F96" s="892" t="n">
        <v>344.5</v>
      </c>
      <c r="G96" s="599" t="n">
        <v>325</v>
      </c>
      <c r="H96" s="404" t="n"/>
      <c r="AP96" s="405" t="n"/>
      <c r="AU96" s="1170" t="inlineStr">
        <is>
          <t>GAS CONNECTION</t>
        </is>
      </c>
      <c r="AV96" s="406" t="n"/>
      <c r="AW96" s="408" t="inlineStr">
        <is>
          <t>25MM</t>
        </is>
      </c>
      <c r="AX96" s="910" t="n">
        <v>72.52520000000001</v>
      </c>
      <c r="AY96" s="601" t="n">
        <v>68.42</v>
      </c>
    </row>
    <row r="97" ht="14.5" customHeight="1" s="1085">
      <c r="E97" s="905" t="inlineStr">
        <is>
          <t>HUDDERSFIELD 239</t>
        </is>
      </c>
      <c r="F97" s="892" t="n">
        <v>906.3000000000001</v>
      </c>
      <c r="G97" s="599" t="n">
        <v>855</v>
      </c>
      <c r="H97" s="404" t="n"/>
      <c r="AP97" s="423" t="inlineStr">
        <is>
          <t>ACCESS SECTION</t>
        </is>
      </c>
      <c r="AQ97" s="417" t="n"/>
      <c r="AR97" s="417" t="n"/>
      <c r="AS97" s="417" t="n"/>
      <c r="AU97" s="1170" t="inlineStr">
        <is>
          <t>GAS CONNECTION</t>
        </is>
      </c>
      <c r="AV97" s="406" t="n"/>
      <c r="AW97" s="408" t="inlineStr">
        <is>
          <t>32MM</t>
        </is>
      </c>
      <c r="AX97" s="910" t="n">
        <v>109.7418</v>
      </c>
      <c r="AY97" s="601" t="n">
        <v>103.53</v>
      </c>
    </row>
    <row r="98" ht="14.5" customHeight="1" s="1085">
      <c r="E98" s="905" t="inlineStr">
        <is>
          <t>HULL 247</t>
        </is>
      </c>
      <c r="F98" s="892" t="n">
        <v>895.7</v>
      </c>
      <c r="G98" s="599" t="n">
        <v>845</v>
      </c>
      <c r="H98" s="404" t="n"/>
      <c r="AP98" s="414" t="inlineStr">
        <is>
          <t>Size</t>
        </is>
      </c>
      <c r="AQ98" s="1175" t="n">
        <v>0</v>
      </c>
      <c r="AR98" s="894" t="n"/>
      <c r="AS98" s="894" t="n"/>
      <c r="AU98" s="408" t="inlineStr">
        <is>
          <t>GAS SOLONOID VALVE</t>
        </is>
      </c>
      <c r="AV98" s="1173" t="n"/>
      <c r="AW98" s="408" t="inlineStr">
        <is>
          <t>25MM</t>
        </is>
      </c>
      <c r="AX98" s="910" t="n">
        <v>80.2632</v>
      </c>
      <c r="AY98" s="601" t="n">
        <v>75.72</v>
      </c>
    </row>
    <row r="99" ht="14.5" customHeight="1" s="1085">
      <c r="E99" s="905" t="inlineStr">
        <is>
          <t>HUNTINGDON 94</t>
        </is>
      </c>
      <c r="F99" s="892" t="n">
        <v>396.44</v>
      </c>
      <c r="G99" s="599" t="n">
        <v>374</v>
      </c>
      <c r="H99" s="404" t="n"/>
      <c r="AP99" s="414" t="inlineStr">
        <is>
          <t>PS01 600mm</t>
        </is>
      </c>
      <c r="AQ99" s="1175">
        <f>(POLLUSTOP!$G$39*0.6)+AR99</f>
        <v/>
      </c>
      <c r="AR99" s="916" t="n">
        <v>518.34</v>
      </c>
      <c r="AS99" s="596" t="n">
        <v>489</v>
      </c>
      <c r="AU99" s="408" t="inlineStr">
        <is>
          <t>GAS SOLONOID VALVE</t>
        </is>
      </c>
      <c r="AV99" s="1173" t="n"/>
      <c r="AW99" s="408" t="inlineStr">
        <is>
          <t>32MM</t>
        </is>
      </c>
      <c r="AX99" s="910" t="n">
        <v>105.8834</v>
      </c>
      <c r="AY99" s="601" t="n">
        <v>99.89</v>
      </c>
    </row>
    <row r="100" ht="14.5" customHeight="1" s="1085">
      <c r="E100" s="905" t="inlineStr">
        <is>
          <t>INVERNESS 619</t>
        </is>
      </c>
      <c r="F100" s="892" t="n">
        <v>2072.3</v>
      </c>
      <c r="G100" s="599" t="n">
        <v>1955</v>
      </c>
      <c r="H100" s="404" t="n"/>
      <c r="AP100" s="414" t="inlineStr">
        <is>
          <t>PS02 600mm</t>
        </is>
      </c>
      <c r="AQ100" s="1175">
        <f>AR100+(POLLUSTOP!$G$40*0.6)</f>
        <v/>
      </c>
      <c r="AR100" s="916" t="n">
        <v>608.4400000000001</v>
      </c>
      <c r="AS100" s="596" t="n">
        <v>574</v>
      </c>
      <c r="AU100" s="408" t="inlineStr">
        <is>
          <t>GAS SOLONOD VALVE</t>
        </is>
      </c>
      <c r="AV100" s="1173" t="n"/>
      <c r="AW100" s="408" t="inlineStr">
        <is>
          <t>40MM</t>
        </is>
      </c>
      <c r="AX100" s="910" t="n">
        <v>137.5668</v>
      </c>
      <c r="AY100" s="601" t="n">
        <v>129.78</v>
      </c>
    </row>
    <row r="101" ht="14.5" customHeight="1" s="1085">
      <c r="E101" s="905" t="inlineStr">
        <is>
          <t>IPSWICH 94</t>
        </is>
      </c>
      <c r="F101" s="892" t="n">
        <v>408.1</v>
      </c>
      <c r="G101" s="599" t="n">
        <v>385</v>
      </c>
      <c r="H101" s="404" t="n"/>
      <c r="AP101" s="414" t="inlineStr">
        <is>
          <t>PS03 600mm</t>
        </is>
      </c>
      <c r="AQ101" s="1175">
        <f>AR101+(POLLUSTOP!$G$41*0.6)</f>
        <v/>
      </c>
      <c r="AR101" s="916" t="n">
        <v>648.72</v>
      </c>
      <c r="AS101" s="596" t="n">
        <v>612</v>
      </c>
      <c r="AU101" s="408" t="inlineStr">
        <is>
          <t>GAS SOLONOID VALVE</t>
        </is>
      </c>
      <c r="AV101" s="1173" t="n"/>
      <c r="AW101" s="408" t="inlineStr">
        <is>
          <t xml:space="preserve">50MM  </t>
        </is>
      </c>
      <c r="AX101" s="910" t="n">
        <v>157.2192</v>
      </c>
      <c r="AY101" s="601" t="n">
        <v>148.32</v>
      </c>
    </row>
    <row r="102" ht="14.5" customHeight="1" s="1085">
      <c r="E102" s="403" t="inlineStr">
        <is>
          <t>IRELAND</t>
        </is>
      </c>
      <c r="F102" s="892" t="inlineStr">
        <is>
          <t>on application</t>
        </is>
      </c>
      <c r="G102" s="599" t="inlineStr">
        <is>
          <t>application</t>
        </is>
      </c>
      <c r="H102" s="404" t="n"/>
      <c r="AP102" s="414" t="inlineStr">
        <is>
          <t>PS04 600mm</t>
        </is>
      </c>
      <c r="AQ102" s="1175">
        <f>AR102+(POLLUSTOP!$G$41*0.6)</f>
        <v/>
      </c>
      <c r="AR102" s="916" t="n">
        <v>679.46</v>
      </c>
      <c r="AS102" s="596" t="n">
        <v>641</v>
      </c>
      <c r="AU102" s="423" t="inlineStr">
        <is>
          <t>WATER  (MF MECH)</t>
        </is>
      </c>
      <c r="AV102" s="424" t="n"/>
      <c r="AW102" s="416" t="n"/>
      <c r="AX102" s="423" t="n"/>
      <c r="AY102" s="1059" t="n"/>
    </row>
    <row r="103" ht="14.5" customHeight="1" s="1085">
      <c r="E103" s="905" t="inlineStr">
        <is>
          <t>KENDAL 321</t>
        </is>
      </c>
      <c r="F103" s="892" t="n">
        <v>1203.1</v>
      </c>
      <c r="G103" s="599" t="n">
        <v>1135</v>
      </c>
      <c r="H103" s="404" t="n"/>
      <c r="AP103" s="414" t="inlineStr">
        <is>
          <t>PS05 600mm</t>
        </is>
      </c>
      <c r="AQ103" s="1175">
        <f>AR103+(POLLUSTOP!$G$42*0.6)</f>
        <v/>
      </c>
      <c r="AR103" s="916" t="n">
        <v>739.88</v>
      </c>
      <c r="AS103" s="596" t="n">
        <v>698</v>
      </c>
      <c r="AU103" s="408" t="inlineStr">
        <is>
          <t>CWS MANIFOLD</t>
        </is>
      </c>
      <c r="AV103" s="1173" t="n"/>
      <c r="AW103" s="408" t="inlineStr">
        <is>
          <t>28MM UP TO 6M</t>
        </is>
      </c>
      <c r="AX103" s="910" t="n">
        <v>307.0184</v>
      </c>
      <c r="AY103" s="601" t="n">
        <v>289.64</v>
      </c>
    </row>
    <row r="104" ht="14.5" customHeight="1" s="1085">
      <c r="E104" s="905" t="inlineStr">
        <is>
          <t>KETTERING 127</t>
        </is>
      </c>
      <c r="F104" s="892" t="n">
        <v>434.6</v>
      </c>
      <c r="G104" s="599" t="n">
        <v>410</v>
      </c>
      <c r="H104" s="404" t="n"/>
      <c r="AP104" s="414" t="inlineStr">
        <is>
          <t>PS06 600mm</t>
        </is>
      </c>
      <c r="AQ104" s="1175">
        <f>AR104+(POLLUSTOP!$G$42*0.6)</f>
        <v/>
      </c>
      <c r="AR104" s="916" t="n">
        <v>791.8200000000001</v>
      </c>
      <c r="AS104" s="596" t="n">
        <v>747</v>
      </c>
      <c r="AU104" s="408" t="inlineStr">
        <is>
          <t>CWS MANIFOLD</t>
        </is>
      </c>
      <c r="AV104" s="1173" t="n"/>
      <c r="AW104" s="408" t="inlineStr">
        <is>
          <t>22MM UP TO 6M</t>
        </is>
      </c>
      <c r="AX104" s="910" t="n">
        <v>264.0778</v>
      </c>
      <c r="AY104" s="601" t="n">
        <v>249.13</v>
      </c>
    </row>
    <row r="105" ht="14.5" customHeight="1" s="1085">
      <c r="E105" s="905" t="inlineStr">
        <is>
          <t>KIDDERMINSTER 179</t>
        </is>
      </c>
      <c r="F105" s="892" t="n">
        <v>622.22</v>
      </c>
      <c r="G105" s="599" t="n">
        <v>587</v>
      </c>
      <c r="H105" s="404" t="n"/>
      <c r="AP105" s="414" t="inlineStr">
        <is>
          <t>PS07 600mm</t>
        </is>
      </c>
      <c r="AQ105" s="1175">
        <f>AR105+(POLLUSTOP!$G$43*0.6)</f>
        <v/>
      </c>
      <c r="AR105" s="916" t="n">
        <v>854.36</v>
      </c>
      <c r="AS105" s="596" t="n">
        <v>806</v>
      </c>
      <c r="AU105" s="408" t="inlineStr">
        <is>
          <t>CWS MANIFOLD</t>
        </is>
      </c>
      <c r="AV105" s="1173" t="n"/>
      <c r="AW105" s="408" t="inlineStr">
        <is>
          <t>15MM UP TO 6M</t>
        </is>
      </c>
      <c r="AX105" s="910" t="n">
        <v>147.5096</v>
      </c>
      <c r="AY105" s="601" t="n">
        <v>139.16</v>
      </c>
    </row>
    <row r="106" ht="14.5" customHeight="1" s="1085">
      <c r="E106" s="905" t="inlineStr">
        <is>
          <t>KILMARNOCK 449</t>
        </is>
      </c>
      <c r="F106" s="892" t="n">
        <v>1203.1</v>
      </c>
      <c r="G106" s="599" t="n">
        <v>1135</v>
      </c>
      <c r="H106" s="404" t="n"/>
      <c r="AP106" s="414" t="inlineStr">
        <is>
          <t>PS08 600mm</t>
        </is>
      </c>
      <c r="AQ106" s="1175">
        <f>AR106+(POLLUSTOP!$G$43*0.6)</f>
        <v/>
      </c>
      <c r="AR106" s="916" t="n">
        <v>899.9400000000001</v>
      </c>
      <c r="AS106" s="596" t="n">
        <v>849</v>
      </c>
      <c r="AU106" s="408" t="inlineStr">
        <is>
          <t>HWS MANIFOLD</t>
        </is>
      </c>
      <c r="AV106" s="1173" t="n"/>
      <c r="AW106" s="408" t="inlineStr">
        <is>
          <t>22/15MM UP TO 6M</t>
        </is>
      </c>
      <c r="AX106" s="910" t="n">
        <v>327.3916</v>
      </c>
      <c r="AY106" s="601" t="n">
        <v>308.86</v>
      </c>
    </row>
    <row r="107" ht="14.5" customHeight="1" s="1085">
      <c r="E107" s="905" t="inlineStr">
        <is>
          <t>KINGSTON UPON HULL 220</t>
        </is>
      </c>
      <c r="F107" s="892" t="n">
        <v>578.76</v>
      </c>
      <c r="G107" s="599" t="n">
        <v>546</v>
      </c>
      <c r="H107" s="404" t="n"/>
      <c r="AP107" s="414" t="inlineStr">
        <is>
          <t>PS09 600mm</t>
        </is>
      </c>
      <c r="AQ107" s="1175">
        <f>AR107+(POLLUSTOP!$G$43*0.6)</f>
        <v/>
      </c>
      <c r="AR107" s="916" t="n">
        <v>1045.16</v>
      </c>
      <c r="AS107" s="596" t="n">
        <v>986</v>
      </c>
      <c r="AU107" s="408" t="inlineStr">
        <is>
          <t>WATER CONNECTION</t>
        </is>
      </c>
      <c r="AV107" s="1173" t="n"/>
      <c r="AW107" s="408" t="inlineStr">
        <is>
          <t xml:space="preserve">15MM </t>
        </is>
      </c>
      <c r="AX107" s="910" t="n">
        <v>77.42240000000001</v>
      </c>
      <c r="AY107" s="601" t="n">
        <v>73.04000000000001</v>
      </c>
    </row>
    <row r="108" ht="14.5" customHeight="1" s="1085">
      <c r="E108" s="905" t="inlineStr">
        <is>
          <t>KINGSTON UPON THAMES 52</t>
        </is>
      </c>
      <c r="F108" s="892" t="n">
        <v>344.5</v>
      </c>
      <c r="G108" s="599" t="n">
        <v>325</v>
      </c>
      <c r="H108" s="404" t="n"/>
      <c r="AP108" s="414" t="inlineStr">
        <is>
          <t>PS10 600mm</t>
        </is>
      </c>
      <c r="AQ108" s="1175">
        <f>AR108+(POLLUSTOP!$G$44*0.6)</f>
        <v/>
      </c>
      <c r="AR108" s="916" t="n">
        <v>1182.96</v>
      </c>
      <c r="AS108" s="596" t="n">
        <v>1116</v>
      </c>
      <c r="AU108" s="408" t="inlineStr">
        <is>
          <t>WATER CONNECTION</t>
        </is>
      </c>
      <c r="AV108" s="1173" t="n"/>
      <c r="AW108" s="408" t="inlineStr">
        <is>
          <t xml:space="preserve">22MM </t>
        </is>
      </c>
      <c r="AX108" s="910" t="n">
        <v>80.98400000000001</v>
      </c>
      <c r="AY108" s="601" t="n">
        <v>76.40000000000001</v>
      </c>
    </row>
    <row r="109" ht="14.5" customHeight="1" s="1085">
      <c r="E109" s="905" t="inlineStr">
        <is>
          <t>LANCASTER 290</t>
        </is>
      </c>
      <c r="F109" s="892" t="n">
        <v>943.4000000000001</v>
      </c>
      <c r="G109" s="599" t="n">
        <v>890</v>
      </c>
      <c r="H109" s="404" t="n"/>
      <c r="AP109" s="405" t="n"/>
      <c r="AU109" s="408" t="inlineStr">
        <is>
          <t>WATER CONNECTION</t>
        </is>
      </c>
      <c r="AV109" s="1173" t="n"/>
      <c r="AW109" s="408" t="inlineStr">
        <is>
          <t xml:space="preserve">28MM </t>
        </is>
      </c>
      <c r="AX109" s="910" t="n">
        <v>93.651</v>
      </c>
      <c r="AY109" s="601" t="n">
        <v>88.34999999999999</v>
      </c>
    </row>
    <row r="110" ht="14.5" customHeight="1" s="1085">
      <c r="E110" s="905" t="inlineStr">
        <is>
          <t>LAUNCESTON 251</t>
        </is>
      </c>
      <c r="F110" s="892" t="n">
        <v>906.3000000000001</v>
      </c>
      <c r="G110" s="599" t="n">
        <v>855</v>
      </c>
      <c r="H110" s="404" t="n"/>
      <c r="AP110" s="423" t="inlineStr">
        <is>
          <t>ESP SECTION</t>
        </is>
      </c>
      <c r="AQ110" s="417" t="n"/>
      <c r="AR110" s="417" t="n"/>
      <c r="AS110" s="417" t="n"/>
      <c r="AU110" s="408" t="inlineStr">
        <is>
          <t>INSULATION</t>
        </is>
      </c>
      <c r="AV110" s="1173" t="n"/>
      <c r="AW110" s="408" t="inlineStr">
        <is>
          <t>PER METRE</t>
        </is>
      </c>
      <c r="AX110" s="910" t="n">
        <v>16.377</v>
      </c>
      <c r="AY110" s="601" t="n">
        <v>15.45</v>
      </c>
    </row>
    <row r="111" ht="14.5" customHeight="1" s="1085">
      <c r="E111" s="905" t="inlineStr">
        <is>
          <t>LEAMINGTON SPA 146</t>
        </is>
      </c>
      <c r="F111" s="892" t="n">
        <v>540.6</v>
      </c>
      <c r="G111" s="599" t="n">
        <v>510</v>
      </c>
      <c r="H111" s="404" t="n"/>
      <c r="AP111" s="414" t="inlineStr">
        <is>
          <t>Size</t>
        </is>
      </c>
      <c r="AQ111" s="1175" t="n">
        <v>0</v>
      </c>
      <c r="AR111" s="894" t="n"/>
      <c r="AS111" s="894" t="n"/>
      <c r="AU111" s="408" t="inlineStr">
        <is>
          <t>TAPS (FAUCETS)</t>
        </is>
      </c>
      <c r="AV111" s="914" t="n"/>
      <c r="AW111" s="914" t="inlineStr">
        <is>
          <t>DIE-PAT</t>
        </is>
      </c>
      <c r="AX111" s="910" t="n">
        <v>93.28</v>
      </c>
      <c r="AY111" s="601" t="n">
        <v>88</v>
      </c>
    </row>
    <row r="112" ht="14.5" customHeight="1" s="1085">
      <c r="E112" s="905" t="inlineStr">
        <is>
          <t>LEEDS 231</t>
        </is>
      </c>
      <c r="F112" s="892" t="n">
        <v>885.1</v>
      </c>
      <c r="G112" s="599" t="n">
        <v>835</v>
      </c>
      <c r="H112" s="404" t="n"/>
      <c r="AP112" s="414" t="inlineStr">
        <is>
          <t>PS01 800mm</t>
        </is>
      </c>
      <c r="AQ112" s="1175">
        <f>(POLLUSTOP!$G$39*0.6)+AR112</f>
        <v/>
      </c>
      <c r="AR112" s="916" t="n">
        <v>2133.515</v>
      </c>
      <c r="AS112" s="596" t="n">
        <v>2012.75</v>
      </c>
      <c r="AX112" s="808" t="n">
        <v>0</v>
      </c>
      <c r="AY112" s="601" t="n">
        <v>0</v>
      </c>
    </row>
    <row r="113" ht="14.5" customHeight="1" s="1085">
      <c r="E113" s="905" t="inlineStr">
        <is>
          <t>LEICESTER 151</t>
        </is>
      </c>
      <c r="F113" s="892" t="n">
        <v>636</v>
      </c>
      <c r="G113" s="599" t="n">
        <v>600</v>
      </c>
      <c r="H113" s="404" t="n"/>
      <c r="AP113" s="414" t="inlineStr">
        <is>
          <t>PS02 800mm</t>
        </is>
      </c>
      <c r="AQ113" s="1175">
        <f>AR113+(POLLUSTOP!$G$40*0.6)</f>
        <v/>
      </c>
      <c r="AR113" s="916" t="n">
        <v>3052.5774</v>
      </c>
      <c r="AS113" s="596" t="n">
        <v>2879.79</v>
      </c>
      <c r="AU113" s="1170" t="inlineStr">
        <is>
          <t>CRATING</t>
        </is>
      </c>
      <c r="AX113" s="910" t="n">
        <v>116.6</v>
      </c>
      <c r="AY113" s="601" t="n">
        <v>110</v>
      </c>
    </row>
    <row r="114" ht="14.5" customHeight="1" s="1085">
      <c r="E114" s="403" t="n"/>
      <c r="F114" s="892" t="n"/>
      <c r="G114" s="599" t="n"/>
      <c r="H114" s="404" t="n"/>
      <c r="AP114" s="414" t="inlineStr">
        <is>
          <t>PS03 940mm</t>
        </is>
      </c>
      <c r="AQ114" s="1175">
        <f>AR114+(POLLUSTOP!$G$41*0.6)</f>
        <v/>
      </c>
      <c r="AR114" s="916" t="n">
        <v>4191.9502</v>
      </c>
      <c r="AS114" s="596" t="n">
        <v>3954.67</v>
      </c>
      <c r="AU114" s="1170" t="inlineStr">
        <is>
          <t>DELIVERY C/W CANOPY</t>
        </is>
      </c>
      <c r="AW114" s="1170" t="inlineStr">
        <is>
          <t>SELECT LOCATION…</t>
        </is>
      </c>
      <c r="AX114" s="808" t="n">
        <v>0</v>
      </c>
      <c r="AY114" s="601" t="n">
        <v>0</v>
      </c>
    </row>
    <row r="115" ht="14.5" customHeight="1" s="1085">
      <c r="E115" s="905" t="inlineStr">
        <is>
          <t>LEIGH ON SEA 45</t>
        </is>
      </c>
      <c r="F115" s="892" t="n">
        <v>344.5</v>
      </c>
      <c r="G115" s="599" t="n">
        <v>325</v>
      </c>
      <c r="H115" s="404" t="n"/>
      <c r="AP115" s="414" t="inlineStr">
        <is>
          <t>PS04 940mm</t>
        </is>
      </c>
      <c r="AQ115" s="1175">
        <f>AR115+(POLLUSTOP!$G$41*0.6)</f>
        <v/>
      </c>
      <c r="AR115" s="916" t="n">
        <v>4800.2418</v>
      </c>
      <c r="AS115" s="596" t="n">
        <v>4528.53</v>
      </c>
      <c r="AU115" s="1170" t="inlineStr">
        <is>
          <t>INSTALLATION</t>
        </is>
      </c>
      <c r="AW115" s="1170" t="inlineStr">
        <is>
          <t>CARCASS</t>
        </is>
      </c>
      <c r="AX115" s="910" t="n">
        <v>583</v>
      </c>
      <c r="AY115" s="601" t="n">
        <v>550</v>
      </c>
    </row>
    <row r="116" ht="14.5" customHeight="1" s="1085">
      <c r="E116" s="905" t="inlineStr">
        <is>
          <t>LEWISHAM 29</t>
        </is>
      </c>
      <c r="F116" s="892" t="n">
        <v>344.5</v>
      </c>
      <c r="G116" s="599" t="n">
        <v>325</v>
      </c>
      <c r="H116" s="404" t="n"/>
      <c r="AP116" s="414" t="inlineStr">
        <is>
          <t>PS05 940mm</t>
        </is>
      </c>
      <c r="AQ116" s="1175">
        <f>AR116+(POLLUSTOP!$G$42*0.6)</f>
        <v/>
      </c>
      <c r="AR116" s="916" t="n">
        <v>5895.380800000001</v>
      </c>
      <c r="AS116" s="596" t="n">
        <v>5561.68</v>
      </c>
      <c r="AU116" s="1170" t="inlineStr">
        <is>
          <t>INSTALLATION</t>
        </is>
      </c>
      <c r="AW116" s="1170" t="inlineStr">
        <is>
          <t>M&amp;E SERVICES</t>
        </is>
      </c>
      <c r="AX116" s="910" t="n">
        <v>583</v>
      </c>
      <c r="AY116" s="601" t="n">
        <v>550</v>
      </c>
    </row>
    <row r="117" ht="14.5" customHeight="1" s="1085">
      <c r="E117" s="905" t="inlineStr">
        <is>
          <t>LINCOLN 179</t>
        </is>
      </c>
      <c r="F117" s="892" t="n">
        <v>651.9</v>
      </c>
      <c r="G117" s="599" t="n">
        <v>615</v>
      </c>
      <c r="H117" s="404" t="n"/>
      <c r="AP117" s="414" t="inlineStr">
        <is>
          <t>PS06 940mm</t>
        </is>
      </c>
      <c r="AQ117" s="1175">
        <f>AR117+(POLLUSTOP!$G$42*0.6)</f>
        <v/>
      </c>
      <c r="AR117" s="916" t="n">
        <v>6484.030600000001</v>
      </c>
      <c r="AS117" s="596" t="n">
        <v>6117.01</v>
      </c>
      <c r="AU117" s="1170" t="inlineStr">
        <is>
          <t>OVERNIGHT</t>
        </is>
      </c>
      <c r="AX117" s="910" t="n">
        <v>0</v>
      </c>
      <c r="AY117" s="601" t="n">
        <v>0</v>
      </c>
    </row>
    <row r="118" ht="14.5" customHeight="1" s="1085">
      <c r="E118" s="403" t="n"/>
      <c r="F118" s="892" t="n"/>
      <c r="G118" s="599" t="n">
        <v>383.16</v>
      </c>
      <c r="H118" s="404" t="n"/>
      <c r="AP118" s="414" t="inlineStr">
        <is>
          <t>PS07 940mm</t>
        </is>
      </c>
      <c r="AQ118" s="1175">
        <f>AR118+(POLLUSTOP!$G$43*0.6)</f>
        <v/>
      </c>
      <c r="AR118" s="916" t="n">
        <v>8054.738600000001</v>
      </c>
      <c r="AS118" s="596" t="n">
        <v>7598.81</v>
      </c>
      <c r="AU118" s="1170" t="inlineStr">
        <is>
          <t xml:space="preserve">CONSUMABLES </t>
        </is>
      </c>
      <c r="AX118" s="910" t="n">
        <v>0</v>
      </c>
      <c r="AY118" s="601" t="n">
        <v>0</v>
      </c>
    </row>
    <row r="119" ht="14.5" customHeight="1" s="1085">
      <c r="E119" s="905" t="inlineStr">
        <is>
          <t>LIVERPOOL 258</t>
        </is>
      </c>
      <c r="F119" s="892" t="n">
        <v>895.7</v>
      </c>
      <c r="G119" s="599" t="n">
        <v>845</v>
      </c>
      <c r="H119" s="404" t="n"/>
      <c r="AP119" s="414" t="inlineStr">
        <is>
          <t>PS08 940mm</t>
        </is>
      </c>
      <c r="AQ119" s="1175">
        <f>AR119+(POLLUSTOP!$G$43*0.6)</f>
        <v/>
      </c>
      <c r="AR119" s="916" t="n">
        <v>8897.057000000001</v>
      </c>
      <c r="AS119" s="596" t="n">
        <v>8393.450000000001</v>
      </c>
      <c r="AU119" s="1170" t="inlineStr">
        <is>
          <t>SITE LIVE TEST</t>
        </is>
      </c>
      <c r="AW119" s="1170" t="inlineStr">
        <is>
          <t>OPTION</t>
        </is>
      </c>
      <c r="AX119" s="910" t="n">
        <v>640.24</v>
      </c>
      <c r="AY119" s="601" t="n">
        <v>604</v>
      </c>
    </row>
    <row r="120" ht="14.5" customHeight="1" s="1085">
      <c r="E120" s="905" t="inlineStr">
        <is>
          <t>LLANDUDNO 309</t>
        </is>
      </c>
      <c r="F120" s="892" t="n">
        <v>1203.1</v>
      </c>
      <c r="G120" s="599" t="n">
        <v>1135</v>
      </c>
      <c r="H120" s="404" t="n"/>
      <c r="AP120" s="414" t="inlineStr">
        <is>
          <t>PS09 940mm</t>
        </is>
      </c>
      <c r="AQ120" s="1175">
        <f>AR120+(POLLUSTOP!$G$43*0.6)</f>
        <v/>
      </c>
      <c r="AR120" s="916" t="n">
        <v>10627.0088</v>
      </c>
      <c r="AS120" s="596" t="n">
        <v>10025.48</v>
      </c>
    </row>
    <row r="121" ht="14.5" customHeight="1" s="1085">
      <c r="E121" s="906" t="inlineStr">
        <is>
          <t>LONDON in FORS GOLD(varies)</t>
        </is>
      </c>
      <c r="F121" s="892" t="n">
        <v>349.8</v>
      </c>
      <c r="G121" s="599" t="n">
        <v>330</v>
      </c>
      <c r="H121" s="404" t="n"/>
      <c r="AP121" s="414" t="inlineStr">
        <is>
          <t>PS10 940mm</t>
        </is>
      </c>
      <c r="AQ121" s="1175">
        <f>AR121+(POLLUSTOP!$G$44*0.6)</f>
        <v/>
      </c>
      <c r="AR121" s="916" t="n">
        <v>11815.4172</v>
      </c>
      <c r="AS121" s="596" t="n">
        <v>11146.62</v>
      </c>
    </row>
    <row r="122" ht="14.5" customHeight="1" s="1085">
      <c r="E122" s="905" t="inlineStr">
        <is>
          <t>LUTON 80</t>
        </is>
      </c>
      <c r="F122" s="892" t="n">
        <v>386.9</v>
      </c>
      <c r="G122" s="599" t="n">
        <v>365</v>
      </c>
      <c r="H122" s="404" t="n"/>
    </row>
    <row r="123" ht="14.5" customHeight="1" s="1085">
      <c r="E123" s="905" t="inlineStr">
        <is>
          <t>MABLETHORPE 182</t>
        </is>
      </c>
      <c r="F123" s="892" t="n">
        <v>651.9</v>
      </c>
      <c r="G123" s="599" t="n">
        <v>615</v>
      </c>
      <c r="H123" s="404" t="n"/>
      <c r="AP123" s="409" t="n"/>
    </row>
    <row r="124" ht="14.5" customHeight="1" s="1085">
      <c r="E124" s="905" t="inlineStr">
        <is>
          <t>MACCLESFIELD 244</t>
        </is>
      </c>
      <c r="F124" s="892" t="n">
        <v>906.3000000000001</v>
      </c>
      <c r="G124" s="599" t="n">
        <v>855</v>
      </c>
      <c r="H124" s="404" t="n"/>
    </row>
    <row r="125" ht="14.5" customHeight="1" s="1085">
      <c r="E125" s="905" t="inlineStr">
        <is>
          <t>MANCHESTER 251</t>
        </is>
      </c>
      <c r="F125" s="892" t="n">
        <v>906.3000000000001</v>
      </c>
      <c r="G125" s="599" t="n">
        <v>855</v>
      </c>
      <c r="H125" s="404" t="n"/>
    </row>
    <row r="126" ht="14.5" customHeight="1" s="1085">
      <c r="E126" s="905" t="inlineStr">
        <is>
          <t>MARGATE 46</t>
        </is>
      </c>
      <c r="F126" s="892" t="n">
        <v>344.5</v>
      </c>
      <c r="G126" s="599" t="n">
        <v>325</v>
      </c>
      <c r="H126" s="404" t="n"/>
    </row>
    <row r="127" ht="14.5" customHeight="1" s="1085">
      <c r="E127" s="905" t="inlineStr">
        <is>
          <t>MIDDLESBROUGH 286</t>
        </is>
      </c>
      <c r="F127" s="892" t="n">
        <v>948.7</v>
      </c>
      <c r="G127" s="599" t="n">
        <v>895</v>
      </c>
      <c r="H127" s="404" t="n"/>
    </row>
    <row r="128" ht="14.5" customHeight="1" s="1085">
      <c r="E128" s="905" t="inlineStr">
        <is>
          <t>MILFORD HAVEN 289</t>
        </is>
      </c>
      <c r="F128" s="892" t="n">
        <v>940.22</v>
      </c>
      <c r="G128" s="599" t="n">
        <v>887</v>
      </c>
      <c r="H128" s="404" t="n"/>
    </row>
    <row r="129" ht="14.5" customHeight="1" s="1085">
      <c r="E129" s="905" t="inlineStr">
        <is>
          <t>MILTON KEYNES 101</t>
        </is>
      </c>
      <c r="F129" s="892" t="n">
        <v>413.4</v>
      </c>
      <c r="G129" s="599" t="n">
        <v>390</v>
      </c>
      <c r="H129" s="404" t="n"/>
    </row>
    <row r="130" ht="14.5" customHeight="1" s="1085">
      <c r="E130" s="905" t="inlineStr">
        <is>
          <t>MORPETH 327</t>
        </is>
      </c>
      <c r="F130" s="892" t="n">
        <v>1049.4</v>
      </c>
      <c r="G130" s="599" t="n">
        <v>990</v>
      </c>
      <c r="H130" s="404" t="n"/>
    </row>
    <row r="131" ht="14.5" customHeight="1" s="1085">
      <c r="E131" s="905" t="inlineStr">
        <is>
          <t>NANTWICH 232</t>
        </is>
      </c>
      <c r="F131" s="892" t="n">
        <v>906.3000000000001</v>
      </c>
      <c r="G131" s="599" t="n">
        <v>855</v>
      </c>
      <c r="H131" s="404" t="n"/>
    </row>
    <row r="132" ht="14.5" customHeight="1" s="1085">
      <c r="E132" s="905" t="inlineStr">
        <is>
          <t>NEWBURY 101</t>
        </is>
      </c>
      <c r="F132" s="892" t="n">
        <v>396.44</v>
      </c>
      <c r="G132" s="599" t="n">
        <v>374</v>
      </c>
      <c r="H132" s="404" t="n"/>
    </row>
    <row r="133" ht="14.5" customHeight="1" s="1085">
      <c r="E133" s="905" t="inlineStr">
        <is>
          <t>NEWCASTLE 308</t>
        </is>
      </c>
      <c r="F133" s="892" t="n">
        <v>1028.2</v>
      </c>
      <c r="G133" s="599" t="n">
        <v>970</v>
      </c>
      <c r="H133" s="404" t="n"/>
    </row>
    <row r="134" ht="14.5" customHeight="1" s="1085">
      <c r="E134" s="905" t="inlineStr">
        <is>
          <t>NEWPORT 178</t>
        </is>
      </c>
      <c r="F134" s="892" t="n">
        <v>622.22</v>
      </c>
      <c r="G134" s="599" t="n">
        <v>587</v>
      </c>
      <c r="H134" s="404" t="n"/>
    </row>
    <row r="135" ht="14.5" customHeight="1" s="1085">
      <c r="E135" s="905" t="inlineStr">
        <is>
          <t>NEWQUAY 178</t>
        </is>
      </c>
      <c r="F135" s="892" t="n">
        <v>940.22</v>
      </c>
      <c r="G135" s="599" t="n">
        <v>887</v>
      </c>
      <c r="H135" s="404" t="n"/>
    </row>
    <row r="136" ht="14.5" customHeight="1" s="1085">
      <c r="E136" s="403" t="n"/>
      <c r="F136" s="892" t="n"/>
      <c r="G136" s="599" t="n"/>
      <c r="H136" s="404" t="n"/>
      <c r="AP136" s="409" t="n"/>
    </row>
    <row r="137" ht="14.5" customHeight="1" s="1085">
      <c r="E137" s="905" t="inlineStr">
        <is>
          <t>NORTHAMPTON 116</t>
        </is>
      </c>
      <c r="F137" s="892" t="n">
        <v>424</v>
      </c>
      <c r="G137" s="599" t="n">
        <v>400</v>
      </c>
      <c r="H137" s="404" t="n"/>
    </row>
    <row r="138" ht="14.5" customHeight="1" s="1085">
      <c r="E138" s="905" t="inlineStr">
        <is>
          <t>NORTHUMBERLAND 341</t>
        </is>
      </c>
      <c r="F138" s="892" t="n">
        <v>1203.1</v>
      </c>
      <c r="G138" s="599" t="n">
        <v>1135</v>
      </c>
      <c r="H138" s="404" t="n"/>
    </row>
    <row r="139" ht="14.5" customHeight="1" s="1085">
      <c r="E139" s="905" t="inlineStr">
        <is>
          <t>NORWICH 136</t>
        </is>
      </c>
      <c r="F139" s="892" t="n">
        <v>551.2</v>
      </c>
      <c r="G139" s="599" t="n">
        <v>520</v>
      </c>
      <c r="H139" s="404" t="n"/>
    </row>
    <row r="140" ht="14.5" customHeight="1" s="1085">
      <c r="E140" s="905" t="inlineStr">
        <is>
          <t>NOTTINGHAM 177</t>
        </is>
      </c>
      <c r="F140" s="892" t="n">
        <v>651.9</v>
      </c>
      <c r="G140" s="599" t="n">
        <v>615</v>
      </c>
      <c r="H140" s="404" t="n"/>
    </row>
    <row r="141" ht="14.5" customHeight="1" s="1085">
      <c r="E141" s="905" t="inlineStr">
        <is>
          <t>OKEHAMPTON 232</t>
        </is>
      </c>
      <c r="F141" s="892" t="n">
        <v>906.3000000000001</v>
      </c>
      <c r="G141" s="599" t="n">
        <v>855</v>
      </c>
      <c r="H141" s="404" t="n"/>
    </row>
    <row r="142" ht="14.5" customHeight="1" s="1085">
      <c r="E142" s="905" t="inlineStr">
        <is>
          <t>OXFORD 106</t>
        </is>
      </c>
      <c r="F142" s="892" t="n">
        <v>424</v>
      </c>
      <c r="G142" s="599" t="n">
        <v>400</v>
      </c>
      <c r="H142" s="404" t="n"/>
    </row>
    <row r="143" ht="14.5" customHeight="1" s="1085">
      <c r="E143" s="905" t="inlineStr">
        <is>
          <t>PENRITH 316</t>
        </is>
      </c>
      <c r="F143" s="892" t="n">
        <v>1028.2</v>
      </c>
      <c r="G143" s="599" t="n">
        <v>970</v>
      </c>
      <c r="H143" s="404" t="n"/>
    </row>
    <row r="144" ht="14.5" customHeight="1" s="1085">
      <c r="E144" s="905" t="inlineStr">
        <is>
          <t>PENZANCE 318</t>
        </is>
      </c>
      <c r="F144" s="892" t="n">
        <v>1028.2</v>
      </c>
      <c r="G144" s="599" t="n">
        <v>970</v>
      </c>
      <c r="H144" s="404" t="n"/>
    </row>
    <row r="145" ht="14.5" customHeight="1" s="1085">
      <c r="E145" s="905" t="inlineStr">
        <is>
          <t>PERTH 477</t>
        </is>
      </c>
      <c r="F145" s="892" t="n">
        <v>1203.1</v>
      </c>
      <c r="G145" s="599" t="n">
        <v>1135</v>
      </c>
      <c r="H145" s="404" t="n"/>
    </row>
    <row r="146" ht="14.5" customHeight="1" s="1085">
      <c r="E146" s="905" t="inlineStr">
        <is>
          <t>PETERBOROUGH 124</t>
        </is>
      </c>
      <c r="F146" s="892" t="n">
        <v>540.6</v>
      </c>
      <c r="G146" s="599" t="n">
        <v>510</v>
      </c>
      <c r="H146" s="404" t="n"/>
    </row>
    <row r="147" ht="14.5" customHeight="1" s="1085">
      <c r="E147" s="905" t="inlineStr">
        <is>
          <t>PETERSFIELD 87</t>
        </is>
      </c>
      <c r="F147" s="892" t="n">
        <v>478.06</v>
      </c>
      <c r="G147" s="599" t="n">
        <v>451</v>
      </c>
      <c r="H147" s="404" t="n"/>
    </row>
    <row r="148" ht="14.5" customHeight="1" s="1085">
      <c r="E148" s="905" t="inlineStr">
        <is>
          <t>PETWORTH 71</t>
        </is>
      </c>
      <c r="F148" s="892" t="n">
        <v>478.06</v>
      </c>
      <c r="G148" s="599" t="n">
        <v>451</v>
      </c>
      <c r="H148" s="404" t="n"/>
    </row>
    <row r="149" ht="14.5" customHeight="1" s="1085">
      <c r="E149" s="905" t="inlineStr">
        <is>
          <t>PLYMOUTH 247</t>
        </is>
      </c>
      <c r="F149" s="892" t="n">
        <v>890.4000000000001</v>
      </c>
      <c r="G149" s="599" t="n">
        <v>840</v>
      </c>
      <c r="H149" s="404" t="n"/>
    </row>
    <row r="150" ht="14.5" customHeight="1" s="1085">
      <c r="E150" s="905" t="inlineStr">
        <is>
          <t>PONTEFRACT 221</t>
        </is>
      </c>
      <c r="F150" s="892" t="n">
        <v>906.3000000000001</v>
      </c>
      <c r="G150" s="599" t="n">
        <v>855</v>
      </c>
      <c r="H150" s="404" t="n"/>
    </row>
    <row r="151" ht="14.5" customHeight="1" s="1085">
      <c r="E151" s="905" t="inlineStr">
        <is>
          <t>POOLE 144</t>
        </is>
      </c>
      <c r="F151" s="892" t="n">
        <v>540.6</v>
      </c>
      <c r="G151" s="599" t="n">
        <v>510</v>
      </c>
      <c r="H151" s="404" t="n"/>
      <c r="AP151" s="409" t="n"/>
    </row>
    <row r="152" ht="14.5" customHeight="1" s="1085">
      <c r="E152" s="905" t="inlineStr">
        <is>
          <t>PORTSMOUTH 102</t>
        </is>
      </c>
      <c r="F152" s="892" t="n">
        <v>418.7</v>
      </c>
      <c r="G152" s="599" t="n">
        <v>395</v>
      </c>
      <c r="H152" s="404" t="n"/>
    </row>
    <row r="153" ht="14.5" customHeight="1" s="1085">
      <c r="E153" s="905" t="inlineStr">
        <is>
          <t>READING 88</t>
        </is>
      </c>
      <c r="F153" s="892" t="n">
        <v>408.1</v>
      </c>
      <c r="G153" s="599" t="n">
        <v>385</v>
      </c>
      <c r="H153" s="404" t="n"/>
    </row>
    <row r="154" ht="14.5" customHeight="1" s="1085">
      <c r="E154" s="905" t="inlineStr">
        <is>
          <t>REIGATE 39</t>
        </is>
      </c>
      <c r="F154" s="892" t="n">
        <v>344.5</v>
      </c>
      <c r="G154" s="599" t="n">
        <v>325</v>
      </c>
      <c r="H154" s="404" t="n"/>
    </row>
    <row r="155" ht="14.5" customHeight="1" s="1085">
      <c r="E155" s="905" t="inlineStr">
        <is>
          <t>RINGWOOD 130</t>
        </is>
      </c>
      <c r="F155" s="892" t="n">
        <v>540.6</v>
      </c>
      <c r="G155" s="599" t="n">
        <v>510</v>
      </c>
      <c r="H155" s="404" t="n"/>
    </row>
    <row r="156" ht="14.5" customHeight="1" s="1085">
      <c r="E156" s="905" t="inlineStr">
        <is>
          <t>ROSS-ON-WYE 171</t>
        </is>
      </c>
      <c r="F156" s="892" t="n">
        <v>622.22</v>
      </c>
      <c r="G156" s="599" t="n">
        <v>587</v>
      </c>
      <c r="H156" s="404" t="n"/>
    </row>
    <row r="157" ht="14.5" customHeight="1" s="1085">
      <c r="E157" s="905" t="inlineStr">
        <is>
          <t>ROTHERHAM 203</t>
        </is>
      </c>
      <c r="F157" s="892" t="n">
        <v>578.76</v>
      </c>
      <c r="G157" s="599" t="n">
        <v>546</v>
      </c>
      <c r="H157" s="404" t="n"/>
    </row>
    <row r="158" ht="14.5" customHeight="1" s="1085">
      <c r="E158" s="905" t="inlineStr">
        <is>
          <t>SALISBURY 120</t>
        </is>
      </c>
      <c r="F158" s="892" t="n">
        <v>524.7</v>
      </c>
      <c r="G158" s="599" t="n">
        <v>495</v>
      </c>
      <c r="H158" s="404" t="n"/>
    </row>
    <row r="159" ht="14.5" customHeight="1" s="1085">
      <c r="E159" s="905" t="inlineStr">
        <is>
          <t>SCARBOROUGH 277</t>
        </is>
      </c>
      <c r="F159" s="892" t="n">
        <v>940.22</v>
      </c>
      <c r="G159" s="599" t="n">
        <v>887</v>
      </c>
      <c r="H159" s="404" t="n"/>
    </row>
    <row r="160" ht="14.5" customHeight="1" s="1085">
      <c r="E160" s="905" t="inlineStr">
        <is>
          <t>SCUNTHORPE 204</t>
        </is>
      </c>
      <c r="F160" s="892" t="n">
        <v>858.6</v>
      </c>
      <c r="G160" s="599" t="n">
        <v>810</v>
      </c>
      <c r="H160" s="404" t="n"/>
    </row>
    <row r="161" ht="14.5" customHeight="1" s="1085">
      <c r="E161" s="905" t="inlineStr">
        <is>
          <t>SHEFFIELD 205</t>
        </is>
      </c>
      <c r="F161" s="892" t="n">
        <v>858.6</v>
      </c>
      <c r="G161" s="599" t="n">
        <v>810</v>
      </c>
      <c r="H161" s="404" t="n"/>
    </row>
    <row r="162" ht="14.5" customHeight="1" s="1085">
      <c r="E162" s="905" t="inlineStr">
        <is>
          <t>SHREWSBURY 207</t>
        </is>
      </c>
      <c r="F162" s="892" t="n">
        <v>858.6</v>
      </c>
      <c r="G162" s="599" t="n">
        <v>810</v>
      </c>
      <c r="H162" s="404" t="n"/>
    </row>
    <row r="163" ht="14.5" customHeight="1" s="1085">
      <c r="E163" s="905" t="inlineStr">
        <is>
          <t>SHROPSHIRE 218</t>
        </is>
      </c>
      <c r="F163" s="892" t="n">
        <v>906.3000000000001</v>
      </c>
      <c r="G163" s="599" t="n">
        <v>855</v>
      </c>
      <c r="H163" s="404" t="n"/>
    </row>
    <row r="164" ht="14.5" customHeight="1" s="1085">
      <c r="E164" s="905" t="inlineStr">
        <is>
          <t>SLOUGH 72</t>
        </is>
      </c>
      <c r="F164" s="892" t="n">
        <v>396.44</v>
      </c>
      <c r="G164" s="599" t="n">
        <v>374</v>
      </c>
      <c r="H164" s="404" t="n"/>
    </row>
    <row r="165" ht="14.5" customHeight="1" s="1085">
      <c r="E165" s="905" t="inlineStr">
        <is>
          <t>SOUTH SHIELDS 310</t>
        </is>
      </c>
      <c r="F165" s="892" t="n">
        <v>1203.1</v>
      </c>
      <c r="G165" s="599" t="n">
        <v>1135</v>
      </c>
      <c r="H165" s="404" t="n"/>
    </row>
    <row r="166" ht="14.5" customHeight="1" s="1085">
      <c r="E166" s="905" t="inlineStr">
        <is>
          <t>SOUTHAMPTON 112</t>
        </is>
      </c>
      <c r="F166" s="892" t="n">
        <v>424</v>
      </c>
      <c r="G166" s="599" t="n">
        <v>400</v>
      </c>
      <c r="H166" s="404" t="n"/>
    </row>
    <row r="167" ht="14.5" customHeight="1" s="1085">
      <c r="E167" s="905" t="inlineStr">
        <is>
          <t>SOUTHEND 52</t>
        </is>
      </c>
      <c r="F167" s="892" t="n">
        <v>371</v>
      </c>
      <c r="G167" s="599" t="n">
        <v>350</v>
      </c>
      <c r="H167" s="404" t="n"/>
    </row>
    <row r="168" ht="14.5" customHeight="1" s="1085">
      <c r="E168" s="905" t="inlineStr">
        <is>
          <t>SOUTHPORT 279</t>
        </is>
      </c>
      <c r="F168" s="892" t="n">
        <v>940.22</v>
      </c>
      <c r="G168" s="599" t="n">
        <v>887</v>
      </c>
      <c r="H168" s="404" t="n"/>
    </row>
    <row r="169" ht="14.5" customHeight="1" s="1085">
      <c r="E169" s="905" t="inlineStr">
        <is>
          <t>SPALDING 143</t>
        </is>
      </c>
      <c r="F169" s="892" t="n">
        <v>545.9</v>
      </c>
      <c r="G169" s="599" t="n">
        <v>515</v>
      </c>
      <c r="H169" s="404" t="n"/>
    </row>
    <row r="170" ht="14.5" customHeight="1" s="1085">
      <c r="E170" s="905" t="inlineStr">
        <is>
          <t>ST ALBANS 62</t>
        </is>
      </c>
      <c r="F170" s="892" t="n">
        <v>355.1</v>
      </c>
      <c r="G170" s="599" t="n">
        <v>335</v>
      </c>
      <c r="H170" s="404" t="n"/>
    </row>
    <row r="171" ht="14.5" customHeight="1" s="1085">
      <c r="E171" s="905" t="inlineStr">
        <is>
          <t>ST IVES 317</t>
        </is>
      </c>
      <c r="F171" s="892" t="n">
        <v>1038.8</v>
      </c>
      <c r="G171" s="599" t="n">
        <v>980</v>
      </c>
      <c r="H171" s="404" t="n"/>
    </row>
    <row r="172" ht="14.5" customHeight="1" s="1085">
      <c r="E172" s="905" t="inlineStr">
        <is>
          <t>STAFFORD 187</t>
        </is>
      </c>
      <c r="F172" s="892" t="n">
        <v>731.4000000000001</v>
      </c>
      <c r="G172" s="599" t="n">
        <v>690</v>
      </c>
      <c r="H172" s="404" t="n"/>
    </row>
    <row r="173" ht="14.5" customHeight="1" s="1085">
      <c r="E173" s="905" t="inlineStr">
        <is>
          <t>STAINES 61</t>
        </is>
      </c>
      <c r="F173" s="892" t="n">
        <v>355.1</v>
      </c>
      <c r="G173" s="599" t="n">
        <v>335</v>
      </c>
      <c r="H173" s="404" t="n"/>
    </row>
    <row r="174" ht="14.5" customHeight="1" s="1085">
      <c r="E174" s="905" t="inlineStr">
        <is>
          <t>STEVENAGE 72</t>
        </is>
      </c>
      <c r="F174" s="892" t="n">
        <v>386.9</v>
      </c>
      <c r="G174" s="599" t="n">
        <v>365</v>
      </c>
      <c r="H174" s="404" t="n"/>
    </row>
    <row r="175" ht="14.5" customHeight="1" s="1085">
      <c r="E175" s="905" t="inlineStr">
        <is>
          <t>STIRLING 445</t>
        </is>
      </c>
      <c r="F175" s="892" t="n">
        <v>1203.1</v>
      </c>
      <c r="G175" s="599" t="n">
        <v>1135</v>
      </c>
      <c r="H175" s="404" t="n"/>
    </row>
    <row r="176" ht="14.5" customHeight="1" s="1085">
      <c r="E176" s="905" t="inlineStr">
        <is>
          <t>STOCKPORT 257</t>
        </is>
      </c>
      <c r="F176" s="892" t="n">
        <v>906.3000000000001</v>
      </c>
      <c r="G176" s="599" t="n">
        <v>855</v>
      </c>
      <c r="H176" s="404" t="n"/>
    </row>
    <row r="177" ht="14.5" customHeight="1" s="1085">
      <c r="E177" s="905" t="inlineStr">
        <is>
          <t>STOCKTON 278</t>
        </is>
      </c>
      <c r="F177" s="892" t="n">
        <v>940.22</v>
      </c>
      <c r="G177" s="599" t="n">
        <v>887</v>
      </c>
      <c r="H177" s="404" t="n"/>
    </row>
    <row r="178" ht="14.5" customHeight="1" s="1085">
      <c r="E178" s="905" t="inlineStr">
        <is>
          <t>STOKE-ON-TRENT 205</t>
        </is>
      </c>
      <c r="F178" s="892" t="n">
        <v>858.6</v>
      </c>
      <c r="G178" s="599" t="n">
        <v>810</v>
      </c>
      <c r="H178" s="404" t="n"/>
    </row>
    <row r="179" ht="14.5" customHeight="1" s="1085">
      <c r="E179" s="905" t="inlineStr">
        <is>
          <t>STRATFORD UPON AVON 151</t>
        </is>
      </c>
      <c r="F179" s="892" t="n">
        <v>540.6</v>
      </c>
      <c r="G179" s="599" t="n">
        <v>510</v>
      </c>
      <c r="H179" s="404" t="n"/>
    </row>
    <row r="180" ht="14.5" customHeight="1" s="1085">
      <c r="E180" s="905" t="inlineStr">
        <is>
          <t>SUNDERLAND 309</t>
        </is>
      </c>
      <c r="F180" s="892" t="n">
        <v>1022.9</v>
      </c>
      <c r="G180" s="599" t="n">
        <v>965</v>
      </c>
      <c r="H180" s="404" t="n"/>
    </row>
    <row r="181" ht="14.5" customHeight="1" s="1085">
      <c r="E181" s="905" t="inlineStr">
        <is>
          <t>SWANSEA 229</t>
        </is>
      </c>
      <c r="F181" s="892" t="n">
        <v>795</v>
      </c>
      <c r="G181" s="599" t="n">
        <v>750</v>
      </c>
      <c r="H181" s="404" t="n"/>
    </row>
    <row r="182" ht="14.5" customHeight="1" s="1085">
      <c r="E182" s="905" t="inlineStr">
        <is>
          <t>SWINDON 121</t>
        </is>
      </c>
      <c r="F182" s="892" t="n">
        <v>540.6</v>
      </c>
      <c r="G182" s="599" t="n">
        <v>510</v>
      </c>
      <c r="H182" s="404" t="n"/>
    </row>
    <row r="183" ht="14.5" customHeight="1" s="1085">
      <c r="E183" s="905" t="inlineStr">
        <is>
          <t>TAMWORTH 180</t>
        </is>
      </c>
      <c r="F183" s="892" t="n">
        <v>622.22</v>
      </c>
      <c r="G183" s="599" t="n">
        <v>587</v>
      </c>
      <c r="H183" s="404" t="n"/>
    </row>
    <row r="184" ht="14.5" customHeight="1" s="1085">
      <c r="E184" s="905" t="inlineStr">
        <is>
          <t>TAUNTON 185</t>
        </is>
      </c>
      <c r="F184" s="892" t="n">
        <v>651.9</v>
      </c>
      <c r="G184" s="599" t="n">
        <v>615</v>
      </c>
      <c r="H184" s="404" t="n"/>
    </row>
    <row r="185" ht="14.5" customHeight="1" s="1085">
      <c r="E185" s="905" t="inlineStr">
        <is>
          <t>TELFORD 193</t>
        </is>
      </c>
      <c r="F185" s="892" t="n">
        <v>651.9</v>
      </c>
      <c r="G185" s="599" t="n">
        <v>615</v>
      </c>
      <c r="H185" s="404" t="n"/>
    </row>
    <row r="186" ht="14.5" customHeight="1" s="1085">
      <c r="E186" s="905" t="inlineStr">
        <is>
          <t>TILBURY 34</t>
        </is>
      </c>
      <c r="F186" s="892" t="n">
        <v>344.5</v>
      </c>
      <c r="G186" s="599" t="n">
        <v>325</v>
      </c>
      <c r="H186" s="404" t="n"/>
    </row>
    <row r="187" ht="14.5" customHeight="1" s="1085">
      <c r="E187" s="905" t="inlineStr">
        <is>
          <t>TORQUAY 227</t>
        </is>
      </c>
      <c r="F187" s="892" t="n">
        <v>906.3000000000001</v>
      </c>
      <c r="G187" s="599" t="n">
        <v>855</v>
      </c>
      <c r="H187" s="404" t="n"/>
    </row>
    <row r="188" ht="14.5" customHeight="1" s="1085">
      <c r="E188" s="905" t="inlineStr">
        <is>
          <t>TUNBRIDGE WELLS 26</t>
        </is>
      </c>
      <c r="F188" s="892" t="n">
        <v>344.5</v>
      </c>
      <c r="G188" s="599" t="n">
        <v>325</v>
      </c>
      <c r="H188" s="404" t="n"/>
    </row>
    <row r="189" ht="14.5" customHeight="1" s="1085">
      <c r="E189" s="905" t="inlineStr">
        <is>
          <t>UXBRIDGE 74</t>
        </is>
      </c>
      <c r="F189" s="892" t="n">
        <v>386.9</v>
      </c>
      <c r="G189" s="599" t="n">
        <v>365</v>
      </c>
      <c r="H189" s="404" t="n"/>
    </row>
    <row r="190" ht="14.5" customHeight="1" s="1085">
      <c r="E190" s="905" t="inlineStr">
        <is>
          <t>WAKEFIELD 214</t>
        </is>
      </c>
      <c r="F190" s="892" t="n">
        <v>906.3000000000001</v>
      </c>
      <c r="G190" s="599" t="n">
        <v>855</v>
      </c>
      <c r="H190" s="404" t="n"/>
    </row>
    <row r="191" ht="14.5" customHeight="1" s="1085">
      <c r="E191" s="905" t="inlineStr">
        <is>
          <t>WARMINSTER 137</t>
        </is>
      </c>
      <c r="F191" s="892" t="n">
        <v>540.6</v>
      </c>
      <c r="G191" s="599" t="n">
        <v>510</v>
      </c>
      <c r="H191" s="404" t="n"/>
    </row>
    <row r="192" ht="14.5" customHeight="1" s="1085">
      <c r="E192" s="905" t="inlineStr">
        <is>
          <t>WARWICK 148</t>
        </is>
      </c>
      <c r="F192" s="892" t="n">
        <v>567.1</v>
      </c>
      <c r="G192" s="599" t="n">
        <v>535</v>
      </c>
      <c r="H192" s="404" t="n"/>
    </row>
    <row r="193" ht="14.5" customHeight="1" s="1085">
      <c r="E193" s="905" t="inlineStr">
        <is>
          <t>WATFORD 67</t>
        </is>
      </c>
      <c r="F193" s="892" t="n">
        <v>386.9</v>
      </c>
      <c r="G193" s="599" t="n">
        <v>365</v>
      </c>
      <c r="H193" s="404" t="n"/>
    </row>
    <row r="194" ht="14.5" customHeight="1" s="1085">
      <c r="E194" s="905" t="inlineStr">
        <is>
          <t>WELSHPOOL 238</t>
        </is>
      </c>
      <c r="F194" s="892" t="n">
        <v>906.3000000000001</v>
      </c>
      <c r="G194" s="599" t="n">
        <v>855</v>
      </c>
      <c r="H194" s="404" t="n"/>
    </row>
    <row r="195" ht="14.5" customHeight="1" s="1085">
      <c r="E195" s="905" t="inlineStr">
        <is>
          <t>WEMBLEY 55</t>
        </is>
      </c>
      <c r="F195" s="892" t="n">
        <v>376.3</v>
      </c>
      <c r="G195" s="599" t="n">
        <v>355</v>
      </c>
      <c r="H195" s="404" t="n"/>
    </row>
    <row r="196" ht="14.5" customHeight="1" s="1085">
      <c r="E196" s="905" t="inlineStr">
        <is>
          <t>WEYMOUTH 173</t>
        </is>
      </c>
      <c r="F196" s="892" t="n">
        <v>622.22</v>
      </c>
      <c r="G196" s="599" t="n">
        <v>587</v>
      </c>
      <c r="H196" s="404" t="n"/>
    </row>
    <row r="197" ht="14.5" customHeight="1" s="1085">
      <c r="E197" s="905" t="inlineStr">
        <is>
          <t>WHITBY 282</t>
        </is>
      </c>
      <c r="F197" s="892" t="n">
        <v>940.22</v>
      </c>
      <c r="G197" s="599" t="n">
        <v>887</v>
      </c>
      <c r="H197" s="404" t="n"/>
    </row>
    <row r="198" ht="14.5" customHeight="1" s="1085">
      <c r="E198" s="905" t="inlineStr">
        <is>
          <t>WIGAN 252</t>
        </is>
      </c>
      <c r="F198" s="892" t="n">
        <v>901</v>
      </c>
      <c r="G198" s="599" t="n">
        <v>850</v>
      </c>
      <c r="H198" s="404" t="n"/>
    </row>
    <row r="199" ht="14.5" customHeight="1" s="1085">
      <c r="E199" s="403" t="n"/>
      <c r="F199" s="892" t="n"/>
      <c r="G199" s="599" t="n"/>
      <c r="H199" s="404" t="n"/>
    </row>
    <row r="200" ht="14.5" customHeight="1" s="1085">
      <c r="E200" s="905" t="inlineStr">
        <is>
          <t>WINCANTON 149</t>
        </is>
      </c>
      <c r="F200" s="892" t="n">
        <v>540.6</v>
      </c>
      <c r="G200" s="599" t="n">
        <v>510</v>
      </c>
      <c r="H200" s="404" t="n"/>
    </row>
    <row r="201" ht="14.5" customHeight="1" s="1085">
      <c r="E201" s="905" t="inlineStr">
        <is>
          <t>WINCHESTER 100</t>
        </is>
      </c>
      <c r="F201" s="892" t="n">
        <v>429.3</v>
      </c>
      <c r="G201" s="599" t="n">
        <v>405</v>
      </c>
      <c r="H201" s="404" t="n"/>
    </row>
    <row r="202" ht="14.5" customHeight="1" s="1085">
      <c r="E202" s="905" t="inlineStr">
        <is>
          <t>WOKING 60</t>
        </is>
      </c>
      <c r="F202" s="892" t="n">
        <v>386.9</v>
      </c>
      <c r="G202" s="599" t="n">
        <v>365</v>
      </c>
      <c r="H202" s="404" t="n"/>
    </row>
    <row r="203" ht="14.5" customHeight="1" s="1085">
      <c r="E203" s="905" t="inlineStr">
        <is>
          <t>WOLVERHAMPTON 175</t>
        </is>
      </c>
      <c r="F203" s="892" t="n">
        <v>646.6</v>
      </c>
      <c r="G203" s="599" t="n">
        <v>610</v>
      </c>
      <c r="H203" s="404" t="n"/>
    </row>
    <row r="204" ht="14.5" customHeight="1" s="1085">
      <c r="E204" s="905" t="inlineStr">
        <is>
          <t>WORCESTER 160</t>
        </is>
      </c>
      <c r="F204" s="892" t="n">
        <v>630.7</v>
      </c>
      <c r="G204" s="599" t="n">
        <v>595</v>
      </c>
      <c r="H204" s="404" t="n"/>
    </row>
    <row r="205" ht="14.5" customHeight="1" s="1085">
      <c r="E205" s="905" t="inlineStr">
        <is>
          <t>WREXHAM 250</t>
        </is>
      </c>
      <c r="F205" s="892" t="n">
        <v>906.3000000000001</v>
      </c>
      <c r="G205" s="599" t="n">
        <v>855</v>
      </c>
      <c r="H205" s="404" t="n"/>
    </row>
    <row r="206" ht="14.5" customHeight="1" s="1085">
      <c r="E206" s="905" t="inlineStr">
        <is>
          <t>YEOVIL 163</t>
        </is>
      </c>
      <c r="F206" s="892" t="n">
        <v>593.6</v>
      </c>
      <c r="G206" s="599" t="n">
        <v>560</v>
      </c>
      <c r="H206" s="404" t="n"/>
    </row>
    <row r="207" ht="14.5" customHeight="1" s="1085">
      <c r="E207" s="905" t="inlineStr">
        <is>
          <t>YORK 243</t>
        </is>
      </c>
      <c r="F207" s="892" t="n">
        <v>895.7</v>
      </c>
      <c r="G207" s="599" t="n">
        <v>845</v>
      </c>
      <c r="H207" s="404" t="n"/>
    </row>
  </sheetData>
  <mergeCells count="7">
    <mergeCell ref="AV52:AW52"/>
    <mergeCell ref="A1:C1"/>
    <mergeCell ref="BF13:BI13"/>
    <mergeCell ref="BL13:BO13"/>
    <mergeCell ref="AV51:AW51"/>
    <mergeCell ref="BB6:BD6"/>
    <mergeCell ref="A2:C2"/>
  </mergeCells>
  <pageMargins left="0.7" right="0.7" top="0.75" bottom="0.75" header="0.3" footer="0.3"/>
  <pageSetup orientation="landscape" paperSize="8"/>
  <legacyDrawing xmlns:r="http://schemas.openxmlformats.org/officeDocument/2006/relationships" r:id="anysvml"/>
</worksheet>
</file>

<file path=xl/worksheets/sheet56.xml><?xml version="1.0" encoding="utf-8"?>
<worksheet xmlns="http://schemas.openxmlformats.org/spreadsheetml/2006/main">
  <sheetPr codeName="Sheet9">
    <tabColor rgb="FFFF0000"/>
    <outlinePr summaryBelow="1" summaryRight="1"/>
    <pageSetUpPr/>
  </sheetPr>
  <dimension ref="A1:AT670"/>
  <sheetViews>
    <sheetView zoomScale="70" zoomScaleNormal="70" workbookViewId="0">
      <pane xSplit="6" ySplit="1" topLeftCell="G2" activePane="bottomRight" state="frozen"/>
      <selection activeCell="E1" sqref="E1"/>
      <selection pane="topRight" activeCell="E1" sqref="E1"/>
      <selection pane="bottomLeft" activeCell="E1" sqref="E1"/>
      <selection pane="bottomRight" activeCell="AH16" sqref="AH16"/>
    </sheetView>
  </sheetViews>
  <sheetFormatPr baseColWidth="10" defaultColWidth="8.83203125" defaultRowHeight="16"/>
  <cols>
    <col width="17.33203125" bestFit="1" customWidth="1" style="661" min="1" max="1"/>
    <col width="12" bestFit="1" customWidth="1" style="661" min="2" max="2"/>
    <col width="9.6640625" customWidth="1" style="662" min="3" max="3"/>
    <col width="27.6640625" bestFit="1" customWidth="1" style="663" min="4" max="4"/>
    <col width="18.1640625" bestFit="1" customWidth="1" style="664" min="5" max="5"/>
    <col width="12.33203125" bestFit="1" customWidth="1" style="634" min="6" max="6"/>
    <col width="17.1640625" bestFit="1" customWidth="1" style="634" min="7" max="7"/>
    <col width="25.6640625" bestFit="1" customWidth="1" style="665" min="8" max="8"/>
    <col width="10.83203125" bestFit="1" customWidth="1" style="665" min="9" max="9"/>
    <col width="16.5" bestFit="1" customWidth="1" style="665" min="10" max="10"/>
    <col width="18.1640625" bestFit="1" customWidth="1" style="665" min="11" max="11"/>
    <col width="23.83203125" bestFit="1" customWidth="1" style="665" min="12" max="12"/>
    <col width="21.6640625" bestFit="1" customWidth="1" style="665" min="13" max="13"/>
    <col width="18.33203125" bestFit="1" customWidth="1" style="665" min="14" max="14"/>
    <col width="18.83203125" bestFit="1" customWidth="1" style="665" min="15" max="15"/>
    <col width="15.1640625" bestFit="1" customWidth="1" style="634" min="16" max="16"/>
    <col width="23.5" bestFit="1" customWidth="1" style="634" min="17" max="17"/>
    <col width="14.6640625" bestFit="1" customWidth="1" style="634" min="18" max="18"/>
    <col width="14.5" bestFit="1" customWidth="1" style="634" min="19" max="19"/>
    <col width="10.5" bestFit="1" customWidth="1" style="634" min="20" max="20"/>
    <col width="19.33203125" bestFit="1" customWidth="1" style="634" min="21" max="21"/>
    <col width="16.1640625" bestFit="1" customWidth="1" style="634" min="22" max="22"/>
    <col width="17.33203125" bestFit="1" customWidth="1" style="634" min="23" max="23"/>
    <col width="20.83203125" customWidth="1" style="634" min="24" max="26"/>
    <col width="22.33203125" customWidth="1" style="634" min="27" max="29"/>
    <col width="18.33203125" bestFit="1" customWidth="1" style="634" min="30" max="30"/>
    <col width="18" customWidth="1" style="634" min="31" max="31"/>
    <col width="18.1640625" customWidth="1" style="634" min="32" max="32"/>
    <col width="26.33203125" customWidth="1" style="634" min="33" max="33"/>
    <col width="18.1640625" customWidth="1" style="634" min="34" max="34"/>
    <col width="22.83203125" customWidth="1" style="634" min="35" max="35"/>
    <col width="18" bestFit="1" customWidth="1" style="637" min="36" max="36"/>
    <col width="31.6640625" bestFit="1" customWidth="1" style="637" min="37" max="37"/>
    <col width="39.33203125" bestFit="1" customWidth="1" style="637" min="38" max="38"/>
    <col width="37.6640625" bestFit="1" customWidth="1" style="637" min="39" max="39"/>
    <col width="31" bestFit="1" customWidth="1" style="637" min="40" max="40"/>
    <col width="38.5" bestFit="1" customWidth="1" style="637" min="41" max="41"/>
    <col width="36.83203125" bestFit="1" customWidth="1" style="637" min="42" max="42"/>
    <col width="31.6640625" bestFit="1" customWidth="1" style="637" min="43" max="43"/>
    <col width="39.33203125" bestFit="1" customWidth="1" style="637" min="44" max="44"/>
    <col width="37.5" bestFit="1" customWidth="1" style="637" min="45" max="45"/>
    <col width="8.83203125" customWidth="1" style="637" min="46" max="46"/>
    <col width="8.83203125" customWidth="1" style="634" min="47" max="47"/>
    <col width="8.83203125" customWidth="1" style="634" min="48" max="16384"/>
  </cols>
  <sheetData>
    <row r="1" ht="18" customFormat="1" customHeight="1" s="628">
      <c r="A1" s="626" t="inlineStr">
        <is>
          <t>TYPE</t>
        </is>
      </c>
      <c r="B1" s="626" t="inlineStr">
        <is>
          <t>LENGTH</t>
        </is>
      </c>
      <c r="C1" s="626" t="inlineStr">
        <is>
          <t>WIDTH</t>
        </is>
      </c>
      <c r="D1" s="626" t="inlineStr">
        <is>
          <t>CODE</t>
        </is>
      </c>
      <c r="E1" s="626" t="inlineStr">
        <is>
          <t>TOTAL COST</t>
        </is>
      </c>
      <c r="F1" s="626" t="inlineStr">
        <is>
          <t>LABOUR</t>
        </is>
      </c>
      <c r="G1" s="626" t="inlineStr">
        <is>
          <t>WORKSHOP</t>
        </is>
      </c>
      <c r="H1" s="626" t="inlineStr">
        <is>
          <t>EXTRACT PLENUM</t>
        </is>
      </c>
      <c r="I1" s="626" t="inlineStr">
        <is>
          <t>BODY</t>
        </is>
      </c>
      <c r="J1" s="627" t="inlineStr">
        <is>
          <t>KVV BODY</t>
        </is>
      </c>
      <c r="K1" s="627" t="inlineStr">
        <is>
          <t>CX-W BODY</t>
        </is>
      </c>
      <c r="L1" s="627" t="inlineStr">
        <is>
          <t>FRONT PLENUM</t>
        </is>
      </c>
      <c r="M1" s="627" t="inlineStr">
        <is>
          <t>FRONT PANEL</t>
        </is>
      </c>
      <c r="N1" s="627" t="inlineStr">
        <is>
          <t>MUAP PERF</t>
        </is>
      </c>
      <c r="O1" s="627" t="inlineStr">
        <is>
          <t>INSULATION</t>
        </is>
      </c>
      <c r="P1" s="627" t="inlineStr">
        <is>
          <t>UV DOOR</t>
        </is>
      </c>
      <c r="Q1" s="627" t="inlineStr">
        <is>
          <t>PRESSURE TAP</t>
        </is>
      </c>
      <c r="R1" s="627" t="inlineStr">
        <is>
          <t>DRAWER</t>
        </is>
      </c>
      <c r="S1" s="626" t="inlineStr">
        <is>
          <t>DAMPERS</t>
        </is>
      </c>
      <c r="T1" s="626" t="inlineStr">
        <is>
          <t>CJ FAN</t>
        </is>
      </c>
      <c r="U1" s="627" t="inlineStr">
        <is>
          <t>MUA SPIGOT</t>
        </is>
      </c>
      <c r="V1" s="627" t="inlineStr">
        <is>
          <t>DIFFUSER</t>
        </is>
      </c>
      <c r="W1" s="626" t="inlineStr">
        <is>
          <t>LIGHT ROOF</t>
        </is>
      </c>
      <c r="X1" s="626" t="inlineStr">
        <is>
          <t>ANCILLARIES</t>
        </is>
      </c>
      <c r="Y1" s="626" t="inlineStr">
        <is>
          <t>DETERGENT</t>
        </is>
      </c>
      <c r="Z1" s="626" t="inlineStr">
        <is>
          <t>MECHANICAL</t>
        </is>
      </c>
      <c r="AA1" s="626" t="inlineStr">
        <is>
          <t>ELECTRICAL</t>
        </is>
      </c>
      <c r="AB1" s="626" t="inlineStr">
        <is>
          <t>ENCLOSURE</t>
        </is>
      </c>
      <c r="AC1" s="626" t="inlineStr">
        <is>
          <t>PUMP</t>
        </is>
      </c>
      <c r="AD1" s="627" t="inlineStr">
        <is>
          <t>END PANEL</t>
        </is>
      </c>
      <c r="AI1" s="629" t="n"/>
      <c r="AJ1" s="629" t="n"/>
      <c r="AK1" s="630" t="n"/>
      <c r="AL1" s="630" t="n"/>
      <c r="AM1" s="630" t="n"/>
      <c r="AN1" s="630" t="n"/>
      <c r="AO1" s="630" t="n"/>
      <c r="AP1" s="630" t="n"/>
      <c r="AQ1" s="630" t="n"/>
      <c r="AR1" s="630" t="n"/>
      <c r="AS1" s="630" t="n"/>
      <c r="AT1" s="630" t="n"/>
    </row>
    <row r="2" ht="17" customHeight="1" s="1085" thickBot="1">
      <c r="A2" s="631" t="inlineStr">
        <is>
          <t>UVX</t>
        </is>
      </c>
      <c r="B2" s="631" t="n">
        <v>1000</v>
      </c>
      <c r="C2" s="631" t="n">
        <v>1000</v>
      </c>
      <c r="D2" s="631">
        <f>$A2&amp;B2&amp;C2</f>
        <v/>
      </c>
      <c r="E2" s="1040">
        <f>SUM(G2:AD2)</f>
        <v/>
      </c>
      <c r="F2" s="632" t="n">
        <v>16</v>
      </c>
      <c r="G2" s="633">
        <f>F2*CCBASE!$B$51</f>
        <v/>
      </c>
      <c r="H2" s="633">
        <f>CCBASE!$I$11*B2/1000</f>
        <v/>
      </c>
      <c r="I2" s="633" t="n"/>
      <c r="J2" s="633" t="n"/>
      <c r="K2" s="633" t="n"/>
      <c r="L2" s="632" t="n"/>
      <c r="M2" s="633">
        <f>CCBASE!$I$15*B2/1000</f>
        <v/>
      </c>
      <c r="N2" s="633" t="n"/>
      <c r="O2" s="633" t="n"/>
      <c r="P2" s="633">
        <f>CCBASE!$I$10</f>
        <v/>
      </c>
      <c r="Q2" s="633">
        <f>CCBASE!$I$51</f>
        <v/>
      </c>
      <c r="R2" s="633">
        <f>CCBASE!$I$4</f>
        <v/>
      </c>
      <c r="S2" s="633">
        <f>CCBASE!$I$8</f>
        <v/>
      </c>
      <c r="T2" s="632" t="n"/>
      <c r="U2" s="633" t="n"/>
      <c r="V2" s="633" t="n"/>
      <c r="W2" s="633">
        <f>CCBASE!$I$40*B2/1000</f>
        <v/>
      </c>
      <c r="X2" s="633" t="n"/>
      <c r="Y2" s="633" t="n"/>
      <c r="Z2" s="633" t="n"/>
      <c r="AA2" s="633" t="n"/>
      <c r="AB2" s="633" t="n"/>
      <c r="AC2" s="633" t="n"/>
      <c r="AD2" s="633">
        <f>CCBASE!$I$32*2</f>
        <v/>
      </c>
      <c r="AI2" s="635" t="n"/>
      <c r="AJ2" s="635" t="n"/>
      <c r="AK2" s="636" t="n"/>
      <c r="AL2" s="636" t="n"/>
      <c r="AM2" s="636" t="n"/>
      <c r="AN2" s="636" t="n"/>
      <c r="AO2" s="636" t="n"/>
      <c r="AP2" s="636" t="n"/>
      <c r="AQ2" s="636" t="n"/>
      <c r="AR2" s="636" t="n"/>
      <c r="AS2" s="636" t="n"/>
    </row>
    <row r="3">
      <c r="A3" s="631" t="inlineStr">
        <is>
          <t>UVX</t>
        </is>
      </c>
      <c r="B3" s="631" t="n">
        <v>1250</v>
      </c>
      <c r="C3" s="631" t="n">
        <v>1000</v>
      </c>
      <c r="D3" s="631">
        <f>$A3&amp;B3&amp;C3</f>
        <v/>
      </c>
      <c r="E3" s="1040">
        <f>SUM(G3:AD3)</f>
        <v/>
      </c>
      <c r="F3" s="632" t="n">
        <v>16</v>
      </c>
      <c r="G3" s="633">
        <f>F3*CCBASE!$B$51</f>
        <v/>
      </c>
      <c r="H3" s="633">
        <f>CCBASE!$I$11*B3/1000</f>
        <v/>
      </c>
      <c r="I3" s="633" t="n"/>
      <c r="J3" s="633" t="n"/>
      <c r="K3" s="633" t="n"/>
      <c r="L3" s="632" t="n"/>
      <c r="M3" s="633">
        <f>CCBASE!$I$15*B3/1000</f>
        <v/>
      </c>
      <c r="N3" s="633" t="n"/>
      <c r="O3" s="633" t="n"/>
      <c r="P3" s="633">
        <f>CCBASE!$I$10</f>
        <v/>
      </c>
      <c r="Q3" s="633">
        <f>CCBASE!$I$51</f>
        <v/>
      </c>
      <c r="R3" s="633">
        <f>CCBASE!$I$4</f>
        <v/>
      </c>
      <c r="S3" s="633">
        <f>CCBASE!$I$8</f>
        <v/>
      </c>
      <c r="T3" s="632" t="n"/>
      <c r="U3" s="633" t="n"/>
      <c r="V3" s="633" t="n"/>
      <c r="W3" s="633">
        <f>CCBASE!$I$40*B3/1000</f>
        <v/>
      </c>
      <c r="X3" s="633" t="n"/>
      <c r="Y3" s="633" t="n"/>
      <c r="Z3" s="633" t="n"/>
      <c r="AA3" s="633" t="n"/>
      <c r="AB3" s="633" t="n"/>
      <c r="AC3" s="633" t="n"/>
      <c r="AD3" s="633">
        <f>CCBASE!$I$32*2</f>
        <v/>
      </c>
      <c r="AF3" s="1041" t="inlineStr">
        <is>
          <t>PRICE INCREASE</t>
        </is>
      </c>
      <c r="AG3" s="1042" t="n"/>
      <c r="AH3" s="1043" t="n"/>
      <c r="AI3" s="635" t="n"/>
      <c r="AJ3" s="635" t="n"/>
      <c r="AK3" s="636" t="n"/>
      <c r="AL3" s="636" t="n"/>
      <c r="AM3" s="636" t="n"/>
      <c r="AN3" s="636" t="n"/>
      <c r="AO3" s="636" t="n"/>
      <c r="AP3" s="636" t="n"/>
      <c r="AQ3" s="636" t="n"/>
      <c r="AR3" s="636" t="n"/>
      <c r="AS3" s="636" t="n"/>
    </row>
    <row r="4">
      <c r="A4" s="631" t="inlineStr">
        <is>
          <t>UVX</t>
        </is>
      </c>
      <c r="B4" s="631" t="n">
        <v>1500</v>
      </c>
      <c r="C4" s="631" t="n">
        <v>1000</v>
      </c>
      <c r="D4" s="631">
        <f>$A4&amp;B4&amp;C4</f>
        <v/>
      </c>
      <c r="E4" s="1040">
        <f>SUM(G4:AD4)</f>
        <v/>
      </c>
      <c r="F4" s="632" t="n">
        <v>16</v>
      </c>
      <c r="G4" s="633">
        <f>F4*CCBASE!$B$51</f>
        <v/>
      </c>
      <c r="H4" s="633">
        <f>CCBASE!$I$11*B4/1000</f>
        <v/>
      </c>
      <c r="I4" s="633" t="n"/>
      <c r="J4" s="633" t="n"/>
      <c r="K4" s="633" t="n"/>
      <c r="L4" s="632" t="n"/>
      <c r="M4" s="633">
        <f>CCBASE!$I$15*B4/1000</f>
        <v/>
      </c>
      <c r="N4" s="633" t="n"/>
      <c r="O4" s="633" t="n"/>
      <c r="P4" s="633">
        <f>CCBASE!$I$10</f>
        <v/>
      </c>
      <c r="Q4" s="633">
        <f>CCBASE!$I$51</f>
        <v/>
      </c>
      <c r="R4" s="633">
        <f>CCBASE!$I$4</f>
        <v/>
      </c>
      <c r="S4" s="633">
        <f>CCBASE!$I$8</f>
        <v/>
      </c>
      <c r="T4" s="632" t="n"/>
      <c r="U4" s="633" t="n"/>
      <c r="V4" s="633" t="n"/>
      <c r="W4" s="633">
        <f>CCBASE!$I$40*B4/1000</f>
        <v/>
      </c>
      <c r="X4" s="633" t="n"/>
      <c r="Y4" s="633" t="n"/>
      <c r="Z4" s="633" t="n"/>
      <c r="AA4" s="633" t="n"/>
      <c r="AB4" s="633" t="n"/>
      <c r="AC4" s="633" t="n"/>
      <c r="AD4" s="633">
        <f>CCBASE!$I$32*2</f>
        <v/>
      </c>
      <c r="AF4" s="1044" t="inlineStr">
        <is>
          <t>DATE</t>
        </is>
      </c>
      <c r="AG4" s="1045" t="inlineStr">
        <is>
          <t>%</t>
        </is>
      </c>
      <c r="AH4" s="1046" t="n"/>
      <c r="AI4" s="635" t="n"/>
      <c r="AJ4" s="635" t="n"/>
      <c r="AK4" s="636" t="n"/>
      <c r="AL4" s="636" t="n"/>
      <c r="AM4" s="636" t="n"/>
      <c r="AN4" s="636" t="n"/>
      <c r="AO4" s="636" t="n"/>
      <c r="AP4" s="636" t="n"/>
      <c r="AQ4" s="636" t="n"/>
      <c r="AR4" s="636" t="n"/>
      <c r="AS4" s="636" t="n"/>
    </row>
    <row r="5" ht="17" customHeight="1" s="1085" thickBot="1">
      <c r="A5" s="631" t="inlineStr">
        <is>
          <t>UVX</t>
        </is>
      </c>
      <c r="B5" s="631" t="n">
        <v>1750</v>
      </c>
      <c r="C5" s="631" t="n">
        <v>1000</v>
      </c>
      <c r="D5" s="631">
        <f>$A5&amp;B5&amp;C5</f>
        <v/>
      </c>
      <c r="E5" s="1040">
        <f>SUM(G5:AD5)</f>
        <v/>
      </c>
      <c r="F5" s="632" t="n">
        <v>16</v>
      </c>
      <c r="G5" s="633">
        <f>F5*CCBASE!$B$51</f>
        <v/>
      </c>
      <c r="H5" s="633">
        <f>CCBASE!$I$11*B5/1000</f>
        <v/>
      </c>
      <c r="I5" s="633" t="n"/>
      <c r="J5" s="633" t="n"/>
      <c r="K5" s="633" t="n"/>
      <c r="L5" s="632" t="n"/>
      <c r="M5" s="633">
        <f>CCBASE!$I$15*B5/1000</f>
        <v/>
      </c>
      <c r="N5" s="633" t="n"/>
      <c r="O5" s="633" t="n"/>
      <c r="P5" s="633">
        <f>CCBASE!$I$10</f>
        <v/>
      </c>
      <c r="Q5" s="633">
        <f>CCBASE!$I$51</f>
        <v/>
      </c>
      <c r="R5" s="633">
        <f>CCBASE!$I$4</f>
        <v/>
      </c>
      <c r="S5" s="633">
        <f>CCBASE!$I$8</f>
        <v/>
      </c>
      <c r="T5" s="632" t="n"/>
      <c r="U5" s="633" t="n"/>
      <c r="V5" s="633" t="n"/>
      <c r="W5" s="633">
        <f>CCBASE!$I$40*B5/1000</f>
        <v/>
      </c>
      <c r="X5" s="633" t="n"/>
      <c r="Y5" s="633" t="n"/>
      <c r="Z5" s="633" t="n"/>
      <c r="AA5" s="633" t="n"/>
      <c r="AB5" s="633" t="n"/>
      <c r="AC5" s="633" t="n"/>
      <c r="AD5" s="633">
        <f>CCBASE!$I$32*2</f>
        <v/>
      </c>
      <c r="AF5" s="1047" t="n">
        <v>45658</v>
      </c>
      <c r="AG5" s="1048" t="n">
        <v>0.06</v>
      </c>
      <c r="AH5" s="1049" t="inlineStr">
        <is>
          <t>ALL COSTS</t>
        </is>
      </c>
      <c r="AI5" s="635" t="n"/>
      <c r="AJ5" s="635" t="n"/>
      <c r="AK5" s="636" t="n"/>
      <c r="AL5" s="636" t="n"/>
      <c r="AM5" s="636" t="n"/>
      <c r="AN5" s="636" t="n"/>
      <c r="AO5" s="636" t="n"/>
      <c r="AP5" s="636" t="n"/>
      <c r="AQ5" s="636" t="n"/>
      <c r="AR5" s="636" t="n"/>
      <c r="AS5" s="636" t="n"/>
    </row>
    <row r="6">
      <c r="A6" s="631" t="inlineStr">
        <is>
          <t>UVX</t>
        </is>
      </c>
      <c r="B6" s="631" t="n">
        <v>2000</v>
      </c>
      <c r="C6" s="631" t="n">
        <v>1000</v>
      </c>
      <c r="D6" s="631">
        <f>$A6&amp;B6&amp;C6</f>
        <v/>
      </c>
      <c r="E6" s="1040">
        <f>SUM(G6:AD6)</f>
        <v/>
      </c>
      <c r="F6" s="632" t="n">
        <v>16</v>
      </c>
      <c r="G6" s="633">
        <f>F6*CCBASE!$B$51</f>
        <v/>
      </c>
      <c r="H6" s="633">
        <f>CCBASE!$I$11*B6/1000</f>
        <v/>
      </c>
      <c r="I6" s="633" t="n"/>
      <c r="J6" s="633" t="n"/>
      <c r="K6" s="633" t="n"/>
      <c r="L6" s="632" t="n"/>
      <c r="M6" s="633">
        <f>CCBASE!$I$15*B6/1000</f>
        <v/>
      </c>
      <c r="N6" s="633" t="n"/>
      <c r="O6" s="633" t="n"/>
      <c r="P6" s="633">
        <f>CCBASE!$I$9</f>
        <v/>
      </c>
      <c r="Q6" s="633">
        <f>CCBASE!$I$51</f>
        <v/>
      </c>
      <c r="R6" s="633">
        <f>CCBASE!$I$4</f>
        <v/>
      </c>
      <c r="S6" s="633">
        <f>CCBASE!$I$8</f>
        <v/>
      </c>
      <c r="T6" s="632" t="n"/>
      <c r="U6" s="633" t="n"/>
      <c r="V6" s="633" t="n"/>
      <c r="W6" s="633">
        <f>CCBASE!$I$40*B6/1000</f>
        <v/>
      </c>
      <c r="X6" s="633" t="n"/>
      <c r="Y6" s="633" t="n"/>
      <c r="Z6" s="633" t="n"/>
      <c r="AA6" s="633" t="n"/>
      <c r="AB6" s="633" t="n"/>
      <c r="AC6" s="633" t="n"/>
      <c r="AD6" s="633">
        <f>CCBASE!$I$32*2</f>
        <v/>
      </c>
      <c r="AI6" s="635" t="n"/>
      <c r="AJ6" s="635" t="n"/>
      <c r="AN6" s="636" t="n"/>
      <c r="AO6" s="636" t="n"/>
      <c r="AP6" s="636" t="n"/>
      <c r="AQ6" s="636" t="n"/>
      <c r="AR6" s="636" t="n"/>
      <c r="AS6" s="636" t="n"/>
    </row>
    <row r="7">
      <c r="A7" s="631" t="inlineStr">
        <is>
          <t>UVX</t>
        </is>
      </c>
      <c r="B7" s="631" t="n">
        <v>2250</v>
      </c>
      <c r="C7" s="631" t="n">
        <v>1000</v>
      </c>
      <c r="D7" s="631">
        <f>$A7&amp;B7&amp;C7</f>
        <v/>
      </c>
      <c r="E7" s="1040">
        <f>SUM(G7:AD7)</f>
        <v/>
      </c>
      <c r="F7" s="632" t="n">
        <v>18</v>
      </c>
      <c r="G7" s="633">
        <f>F7*CCBASE!$B$51</f>
        <v/>
      </c>
      <c r="H7" s="633">
        <f>CCBASE!$I$11*B7/1000</f>
        <v/>
      </c>
      <c r="I7" s="633" t="n"/>
      <c r="J7" s="633" t="n"/>
      <c r="K7" s="633" t="n"/>
      <c r="L7" s="632" t="n"/>
      <c r="M7" s="633">
        <f>CCBASE!$I$15*B7/1000</f>
        <v/>
      </c>
      <c r="N7" s="633" t="n"/>
      <c r="O7" s="633" t="n"/>
      <c r="P7" s="633">
        <f>CCBASE!$I$9</f>
        <v/>
      </c>
      <c r="Q7" s="633">
        <f>CCBASE!$I$51</f>
        <v/>
      </c>
      <c r="R7" s="633">
        <f>CCBASE!$I$4</f>
        <v/>
      </c>
      <c r="S7" s="633">
        <f>CCBASE!$I$8</f>
        <v/>
      </c>
      <c r="T7" s="632" t="n"/>
      <c r="U7" s="633" t="n"/>
      <c r="V7" s="633" t="n"/>
      <c r="W7" s="633">
        <f>CCBASE!$I$40*B7/1000</f>
        <v/>
      </c>
      <c r="X7" s="633" t="n"/>
      <c r="Y7" s="633" t="n"/>
      <c r="Z7" s="633" t="n"/>
      <c r="AA7" s="633" t="n"/>
      <c r="AB7" s="633" t="n"/>
      <c r="AC7" s="633" t="n"/>
      <c r="AD7" s="633">
        <f>CCBASE!$I$32*2</f>
        <v/>
      </c>
      <c r="AI7" s="635" t="n"/>
      <c r="AJ7" s="635" t="n"/>
      <c r="AN7" s="636" t="n"/>
      <c r="AO7" s="636" t="n"/>
      <c r="AP7" s="636" t="n"/>
      <c r="AQ7" s="636" t="n"/>
      <c r="AR7" s="636" t="n"/>
      <c r="AS7" s="636" t="n"/>
    </row>
    <row r="8">
      <c r="A8" s="631" t="inlineStr">
        <is>
          <t>UVX</t>
        </is>
      </c>
      <c r="B8" s="631" t="n">
        <v>2500</v>
      </c>
      <c r="C8" s="631" t="n">
        <v>1000</v>
      </c>
      <c r="D8" s="631">
        <f>$A8&amp;B8&amp;C8</f>
        <v/>
      </c>
      <c r="E8" s="1040">
        <f>SUM(G8:AD8)</f>
        <v/>
      </c>
      <c r="F8" s="632" t="n">
        <v>18</v>
      </c>
      <c r="G8" s="633">
        <f>F8*CCBASE!$B$51</f>
        <v/>
      </c>
      <c r="H8" s="633">
        <f>CCBASE!$I$11*B8/1000</f>
        <v/>
      </c>
      <c r="I8" s="633" t="n"/>
      <c r="J8" s="633" t="n"/>
      <c r="K8" s="633" t="n"/>
      <c r="L8" s="632" t="n"/>
      <c r="M8" s="633">
        <f>CCBASE!$I$15*B8/1000</f>
        <v/>
      </c>
      <c r="N8" s="633" t="n"/>
      <c r="O8" s="633" t="n"/>
      <c r="P8" s="633">
        <f>CCBASE!$I$9</f>
        <v/>
      </c>
      <c r="Q8" s="633">
        <f>CCBASE!$I$51</f>
        <v/>
      </c>
      <c r="R8" s="633">
        <f>CCBASE!$I$4</f>
        <v/>
      </c>
      <c r="S8" s="633">
        <f>CCBASE!$I$8</f>
        <v/>
      </c>
      <c r="T8" s="632" t="n"/>
      <c r="U8" s="633" t="n"/>
      <c r="V8" s="633" t="n"/>
      <c r="W8" s="633">
        <f>CCBASE!$I$40*B8/1000</f>
        <v/>
      </c>
      <c r="X8" s="633" t="n"/>
      <c r="Y8" s="633" t="n"/>
      <c r="Z8" s="633" t="n"/>
      <c r="AA8" s="633" t="n"/>
      <c r="AB8" s="633" t="n"/>
      <c r="AC8" s="633" t="n"/>
      <c r="AD8" s="633">
        <f>CCBASE!$I$32*2</f>
        <v/>
      </c>
      <c r="AI8" s="635" t="n"/>
      <c r="AJ8" s="635" t="n"/>
      <c r="AN8" s="636" t="n"/>
      <c r="AO8" s="636" t="n"/>
      <c r="AP8" s="636" t="n"/>
      <c r="AQ8" s="636" t="n"/>
      <c r="AR8" s="636" t="n"/>
      <c r="AS8" s="636" t="n"/>
    </row>
    <row r="9">
      <c r="A9" s="631" t="inlineStr">
        <is>
          <t>UVX</t>
        </is>
      </c>
      <c r="B9" s="631" t="n">
        <v>2750</v>
      </c>
      <c r="C9" s="631" t="n">
        <v>1000</v>
      </c>
      <c r="D9" s="631">
        <f>$A9&amp;B9&amp;C9</f>
        <v/>
      </c>
      <c r="E9" s="1040">
        <f>SUM(G9:AD9)</f>
        <v/>
      </c>
      <c r="F9" s="632" t="n">
        <v>18</v>
      </c>
      <c r="G9" s="633">
        <f>F9*CCBASE!$B$51</f>
        <v/>
      </c>
      <c r="H9" s="633">
        <f>CCBASE!$I$11*B9/1000</f>
        <v/>
      </c>
      <c r="I9" s="633" t="n"/>
      <c r="J9" s="633" t="n"/>
      <c r="K9" s="633" t="n"/>
      <c r="L9" s="632" t="n"/>
      <c r="M9" s="633">
        <f>CCBASE!$I$15*B9/1000</f>
        <v/>
      </c>
      <c r="N9" s="633" t="n"/>
      <c r="O9" s="633" t="n"/>
      <c r="P9" s="633">
        <f>CCBASE!$I$9</f>
        <v/>
      </c>
      <c r="Q9" s="633">
        <f>CCBASE!$I$51</f>
        <v/>
      </c>
      <c r="R9" s="633">
        <f>CCBASE!$I$4</f>
        <v/>
      </c>
      <c r="S9" s="633">
        <f>CCBASE!$I$8</f>
        <v/>
      </c>
      <c r="T9" s="632" t="n"/>
      <c r="U9" s="633" t="n"/>
      <c r="V9" s="633" t="n"/>
      <c r="W9" s="633">
        <f>CCBASE!$I$40*B9/1000</f>
        <v/>
      </c>
      <c r="X9" s="633" t="n"/>
      <c r="Y9" s="633" t="n"/>
      <c r="Z9" s="633" t="n"/>
      <c r="AA9" s="633" t="n"/>
      <c r="AB9" s="633" t="n"/>
      <c r="AC9" s="633" t="n"/>
      <c r="AD9" s="633">
        <f>CCBASE!$I$32*2</f>
        <v/>
      </c>
      <c r="AI9" s="635" t="n"/>
      <c r="AJ9" s="635" t="n"/>
      <c r="AN9" s="636" t="n"/>
      <c r="AO9" s="636" t="n"/>
      <c r="AP9" s="636" t="n"/>
      <c r="AQ9" s="636" t="n"/>
      <c r="AR9" s="636" t="n"/>
      <c r="AS9" s="636" t="n"/>
    </row>
    <row r="10">
      <c r="A10" s="631" t="inlineStr">
        <is>
          <t>UVX</t>
        </is>
      </c>
      <c r="B10" s="631" t="n">
        <v>3000</v>
      </c>
      <c r="C10" s="631" t="n">
        <v>1000</v>
      </c>
      <c r="D10" s="631">
        <f>$A10&amp;B10&amp;C10</f>
        <v/>
      </c>
      <c r="E10" s="1040">
        <f>SUM(G10:AD10)</f>
        <v/>
      </c>
      <c r="F10" s="632" t="n">
        <v>18</v>
      </c>
      <c r="G10" s="633">
        <f>F10*CCBASE!$B$51</f>
        <v/>
      </c>
      <c r="H10" s="633">
        <f>CCBASE!$I$11*B10/1000</f>
        <v/>
      </c>
      <c r="I10" s="633" t="n"/>
      <c r="J10" s="633" t="n"/>
      <c r="K10" s="633" t="n"/>
      <c r="L10" s="632" t="n"/>
      <c r="M10" s="633">
        <f>CCBASE!$I$15*B10/1000</f>
        <v/>
      </c>
      <c r="N10" s="633" t="n"/>
      <c r="O10" s="633" t="n"/>
      <c r="P10" s="633">
        <f>CCBASE!$I$9</f>
        <v/>
      </c>
      <c r="Q10" s="633">
        <f>CCBASE!$I$51</f>
        <v/>
      </c>
      <c r="R10" s="633">
        <f>CCBASE!$I$4</f>
        <v/>
      </c>
      <c r="S10" s="633">
        <f>CCBASE!$I$8</f>
        <v/>
      </c>
      <c r="T10" s="632" t="n"/>
      <c r="U10" s="633" t="n"/>
      <c r="V10" s="633" t="n"/>
      <c r="W10" s="633">
        <f>CCBASE!$I$40*B10/1000</f>
        <v/>
      </c>
      <c r="X10" s="633" t="n"/>
      <c r="Y10" s="633" t="n"/>
      <c r="Z10" s="633" t="n"/>
      <c r="AA10" s="633" t="n"/>
      <c r="AB10" s="633" t="n"/>
      <c r="AC10" s="633" t="n"/>
      <c r="AD10" s="633">
        <f>CCBASE!$I$32*2</f>
        <v/>
      </c>
      <c r="AI10" s="635" t="n"/>
      <c r="AJ10" s="635" t="n"/>
      <c r="AN10" s="636" t="n"/>
      <c r="AO10" s="636" t="n"/>
      <c r="AP10" s="636" t="n"/>
      <c r="AQ10" s="636" t="n"/>
      <c r="AR10" s="636" t="n"/>
      <c r="AS10" s="636" t="n"/>
    </row>
    <row r="11">
      <c r="A11" s="631" t="inlineStr">
        <is>
          <t>UVX</t>
        </is>
      </c>
      <c r="B11" s="631" t="n">
        <v>1000</v>
      </c>
      <c r="C11" s="631" t="n">
        <v>1250</v>
      </c>
      <c r="D11" s="631">
        <f>$A11&amp;B11&amp;C11</f>
        <v/>
      </c>
      <c r="E11" s="1040">
        <f>SUM(G11:AD11)</f>
        <v/>
      </c>
      <c r="F11" s="632" t="n">
        <v>16</v>
      </c>
      <c r="G11" s="633">
        <f>F11*CCBASE!$B$51</f>
        <v/>
      </c>
      <c r="H11" s="633">
        <f>CCBASE!$I$11*B11/1000</f>
        <v/>
      </c>
      <c r="I11" s="633" t="n"/>
      <c r="J11" s="633" t="n"/>
      <c r="K11" s="633" t="n"/>
      <c r="L11" s="632" t="n"/>
      <c r="M11" s="633">
        <f>CCBASE!$I$15*B11/1000</f>
        <v/>
      </c>
      <c r="N11" s="633" t="n"/>
      <c r="O11" s="633" t="n"/>
      <c r="P11" s="633">
        <f>CCBASE!$I$10</f>
        <v/>
      </c>
      <c r="Q11" s="633">
        <f>CCBASE!$I$51</f>
        <v/>
      </c>
      <c r="R11" s="633">
        <f>CCBASE!$I$4</f>
        <v/>
      </c>
      <c r="S11" s="633">
        <f>CCBASE!$I$8</f>
        <v/>
      </c>
      <c r="T11" s="632" t="n"/>
      <c r="U11" s="633" t="n"/>
      <c r="V11" s="633" t="n"/>
      <c r="W11" s="633">
        <f>CCBASE!$I$40*B11/1000</f>
        <v/>
      </c>
      <c r="X11" s="633" t="n"/>
      <c r="Y11" s="633" t="n"/>
      <c r="Z11" s="633" t="n"/>
      <c r="AA11" s="633" t="n"/>
      <c r="AB11" s="633" t="n"/>
      <c r="AC11" s="633" t="n"/>
      <c r="AD11" s="633">
        <f>CCBASE!$I$32*2</f>
        <v/>
      </c>
      <c r="AI11" s="635" t="n"/>
      <c r="AJ11" s="635" t="n"/>
      <c r="AK11" s="636" t="n"/>
      <c r="AL11" s="636" t="n"/>
      <c r="AM11" s="636" t="n"/>
      <c r="AN11" s="636" t="n"/>
      <c r="AO11" s="636" t="n"/>
      <c r="AP11" s="636" t="n"/>
      <c r="AQ11" s="636" t="n"/>
      <c r="AR11" s="636" t="n"/>
      <c r="AS11" s="636" t="n"/>
    </row>
    <row r="12">
      <c r="A12" s="631" t="inlineStr">
        <is>
          <t>UVX</t>
        </is>
      </c>
      <c r="B12" s="631" t="n">
        <v>1250</v>
      </c>
      <c r="C12" s="631" t="n">
        <v>1250</v>
      </c>
      <c r="D12" s="631">
        <f>$A12&amp;B12&amp;C12</f>
        <v/>
      </c>
      <c r="E12" s="1040">
        <f>SUM(G12:AD12)</f>
        <v/>
      </c>
      <c r="F12" s="632" t="n">
        <v>16</v>
      </c>
      <c r="G12" s="633">
        <f>F12*CCBASE!$B$51</f>
        <v/>
      </c>
      <c r="H12" s="633">
        <f>CCBASE!$I$11*B12/1000</f>
        <v/>
      </c>
      <c r="I12" s="633" t="n"/>
      <c r="J12" s="633" t="n"/>
      <c r="K12" s="633" t="n"/>
      <c r="L12" s="632" t="n"/>
      <c r="M12" s="633">
        <f>CCBASE!$I$15*B12/1000</f>
        <v/>
      </c>
      <c r="N12" s="633" t="n"/>
      <c r="O12" s="633" t="n"/>
      <c r="P12" s="633">
        <f>CCBASE!$I$10</f>
        <v/>
      </c>
      <c r="Q12" s="633">
        <f>CCBASE!$I$51</f>
        <v/>
      </c>
      <c r="R12" s="633">
        <f>CCBASE!$I$4</f>
        <v/>
      </c>
      <c r="S12" s="633">
        <f>CCBASE!$I$8</f>
        <v/>
      </c>
      <c r="T12" s="632" t="n"/>
      <c r="U12" s="633" t="n"/>
      <c r="V12" s="633" t="n"/>
      <c r="W12" s="633">
        <f>CCBASE!$I$40*B12/1000</f>
        <v/>
      </c>
      <c r="X12" s="633" t="n"/>
      <c r="Y12" s="633" t="n"/>
      <c r="Z12" s="633" t="n"/>
      <c r="AA12" s="633" t="n"/>
      <c r="AB12" s="633" t="n"/>
      <c r="AC12" s="633" t="n"/>
      <c r="AD12" s="633">
        <f>CCBASE!$I$32*2</f>
        <v/>
      </c>
      <c r="AI12" s="635" t="n"/>
      <c r="AJ12" s="635" t="n"/>
      <c r="AK12" s="636" t="n"/>
      <c r="AL12" s="636" t="n"/>
      <c r="AM12" s="636" t="n"/>
      <c r="AN12" s="636" t="n"/>
      <c r="AO12" s="636" t="n"/>
      <c r="AP12" s="636" t="n"/>
      <c r="AQ12" s="636" t="n"/>
      <c r="AR12" s="636" t="n"/>
      <c r="AS12" s="636" t="n"/>
    </row>
    <row r="13">
      <c r="A13" s="631" t="inlineStr">
        <is>
          <t>UVX</t>
        </is>
      </c>
      <c r="B13" s="631" t="n">
        <v>1500</v>
      </c>
      <c r="C13" s="631" t="n">
        <v>1250</v>
      </c>
      <c r="D13" s="631">
        <f>$A13&amp;B13&amp;C13</f>
        <v/>
      </c>
      <c r="E13" s="1040">
        <f>SUM(G13:AD13)</f>
        <v/>
      </c>
      <c r="F13" s="632" t="n">
        <v>16</v>
      </c>
      <c r="G13" s="633">
        <f>F13*CCBASE!$B$51</f>
        <v/>
      </c>
      <c r="H13" s="633">
        <f>CCBASE!$I$11*B13/1000</f>
        <v/>
      </c>
      <c r="I13" s="633" t="n"/>
      <c r="J13" s="633" t="n"/>
      <c r="K13" s="633" t="n"/>
      <c r="L13" s="632" t="n"/>
      <c r="M13" s="633">
        <f>CCBASE!$I$15*B13/1000</f>
        <v/>
      </c>
      <c r="N13" s="633" t="n"/>
      <c r="O13" s="633" t="n"/>
      <c r="P13" s="633">
        <f>CCBASE!$I$10</f>
        <v/>
      </c>
      <c r="Q13" s="633">
        <f>CCBASE!$I$51</f>
        <v/>
      </c>
      <c r="R13" s="633">
        <f>CCBASE!$I$4</f>
        <v/>
      </c>
      <c r="S13" s="633">
        <f>CCBASE!$I$8</f>
        <v/>
      </c>
      <c r="T13" s="632" t="n"/>
      <c r="U13" s="633" t="n"/>
      <c r="V13" s="633" t="n"/>
      <c r="W13" s="633">
        <f>CCBASE!$I$40*B13/1000</f>
        <v/>
      </c>
      <c r="X13" s="633" t="n"/>
      <c r="Y13" s="633" t="n"/>
      <c r="Z13" s="633" t="n"/>
      <c r="AA13" s="633" t="n"/>
      <c r="AB13" s="633" t="n"/>
      <c r="AC13" s="633" t="n"/>
      <c r="AD13" s="633">
        <f>CCBASE!$I$32*2</f>
        <v/>
      </c>
      <c r="AI13" s="635" t="n"/>
      <c r="AJ13" s="635" t="n"/>
      <c r="AK13" s="636" t="n"/>
      <c r="AL13" s="636" t="n"/>
      <c r="AM13" s="636" t="n"/>
      <c r="AN13" s="636" t="n"/>
      <c r="AO13" s="636" t="n"/>
      <c r="AP13" s="636" t="n"/>
      <c r="AQ13" s="636" t="n"/>
      <c r="AR13" s="636" t="n"/>
      <c r="AS13" s="636" t="n"/>
    </row>
    <row r="14">
      <c r="A14" s="631" t="inlineStr">
        <is>
          <t>UVX</t>
        </is>
      </c>
      <c r="B14" s="631" t="n">
        <v>1750</v>
      </c>
      <c r="C14" s="631" t="n">
        <v>1250</v>
      </c>
      <c r="D14" s="631">
        <f>$A14&amp;B14&amp;C14</f>
        <v/>
      </c>
      <c r="E14" s="1040">
        <f>SUM(G14:AD14)</f>
        <v/>
      </c>
      <c r="F14" s="632" t="n">
        <v>16</v>
      </c>
      <c r="G14" s="633">
        <f>F14*CCBASE!$B$51</f>
        <v/>
      </c>
      <c r="H14" s="633">
        <f>CCBASE!$I$11*B14/1000</f>
        <v/>
      </c>
      <c r="I14" s="633" t="n"/>
      <c r="J14" s="633" t="n"/>
      <c r="K14" s="633" t="n"/>
      <c r="L14" s="632" t="n"/>
      <c r="M14" s="633">
        <f>CCBASE!$I$15*B14/1000</f>
        <v/>
      </c>
      <c r="N14" s="633" t="n"/>
      <c r="O14" s="633" t="n"/>
      <c r="P14" s="633">
        <f>CCBASE!$I$10</f>
        <v/>
      </c>
      <c r="Q14" s="633">
        <f>CCBASE!$I$51</f>
        <v/>
      </c>
      <c r="R14" s="633">
        <f>CCBASE!$I$4</f>
        <v/>
      </c>
      <c r="S14" s="633">
        <f>CCBASE!$I$8</f>
        <v/>
      </c>
      <c r="T14" s="632" t="n"/>
      <c r="U14" s="633" t="n"/>
      <c r="V14" s="633" t="n"/>
      <c r="W14" s="633">
        <f>CCBASE!$I$40*B14/1000</f>
        <v/>
      </c>
      <c r="X14" s="633" t="n"/>
      <c r="Y14" s="633" t="n"/>
      <c r="Z14" s="633" t="n"/>
      <c r="AA14" s="633" t="n"/>
      <c r="AB14" s="633" t="n"/>
      <c r="AC14" s="633" t="n"/>
      <c r="AD14" s="633">
        <f>CCBASE!$I$32*2</f>
        <v/>
      </c>
      <c r="AI14" s="635" t="n"/>
      <c r="AJ14" s="635" t="n"/>
      <c r="AK14" s="636" t="n"/>
      <c r="AL14" s="636" t="n"/>
      <c r="AM14" s="636" t="n"/>
      <c r="AN14" s="636" t="n"/>
      <c r="AO14" s="636" t="n"/>
      <c r="AP14" s="636" t="n"/>
      <c r="AQ14" s="636" t="n"/>
      <c r="AR14" s="636" t="n"/>
      <c r="AS14" s="636" t="n"/>
    </row>
    <row r="15">
      <c r="A15" s="631" t="inlineStr">
        <is>
          <t>UVX</t>
        </is>
      </c>
      <c r="B15" s="631" t="n">
        <v>2000</v>
      </c>
      <c r="C15" s="631" t="n">
        <v>1250</v>
      </c>
      <c r="D15" s="631">
        <f>$A15&amp;B15&amp;C15</f>
        <v/>
      </c>
      <c r="E15" s="1040">
        <f>SUM(G15:AD15)</f>
        <v/>
      </c>
      <c r="F15" s="632" t="n">
        <v>16</v>
      </c>
      <c r="G15" s="633">
        <f>F15*CCBASE!$B$51</f>
        <v/>
      </c>
      <c r="H15" s="633">
        <f>CCBASE!$I$11*B15/1000</f>
        <v/>
      </c>
      <c r="I15" s="633" t="n"/>
      <c r="J15" s="633" t="n"/>
      <c r="K15" s="633" t="n"/>
      <c r="L15" s="632" t="n"/>
      <c r="M15" s="633">
        <f>CCBASE!$I$15*B15/1000</f>
        <v/>
      </c>
      <c r="N15" s="633" t="n"/>
      <c r="O15" s="633" t="n"/>
      <c r="P15" s="633">
        <f>CCBASE!$I$9</f>
        <v/>
      </c>
      <c r="Q15" s="633">
        <f>CCBASE!$I$51</f>
        <v/>
      </c>
      <c r="R15" s="633">
        <f>CCBASE!$I$4</f>
        <v/>
      </c>
      <c r="S15" s="633">
        <f>CCBASE!$I$8</f>
        <v/>
      </c>
      <c r="T15" s="632" t="n"/>
      <c r="U15" s="633" t="n"/>
      <c r="V15" s="633" t="n"/>
      <c r="W15" s="633">
        <f>CCBASE!$I$40*B15/1000</f>
        <v/>
      </c>
      <c r="X15" s="633" t="n"/>
      <c r="Y15" s="633" t="n"/>
      <c r="Z15" s="633" t="n"/>
      <c r="AA15" s="633" t="n"/>
      <c r="AB15" s="633" t="n"/>
      <c r="AC15" s="633" t="n"/>
      <c r="AD15" s="633">
        <f>CCBASE!$I$32*2</f>
        <v/>
      </c>
      <c r="AI15" s="635" t="n"/>
      <c r="AJ15" s="635" t="n"/>
      <c r="AN15" s="636" t="n"/>
      <c r="AO15" s="636" t="n"/>
      <c r="AP15" s="636" t="n"/>
      <c r="AQ15" s="636" t="n"/>
      <c r="AR15" s="636" t="n"/>
      <c r="AS15" s="636" t="n"/>
    </row>
    <row r="16">
      <c r="A16" s="631" t="inlineStr">
        <is>
          <t>UVX</t>
        </is>
      </c>
      <c r="B16" s="631" t="n">
        <v>2250</v>
      </c>
      <c r="C16" s="631" t="n">
        <v>1250</v>
      </c>
      <c r="D16" s="631">
        <f>$A16&amp;B16&amp;C16</f>
        <v/>
      </c>
      <c r="E16" s="1040">
        <f>SUM(G16:AD16)</f>
        <v/>
      </c>
      <c r="F16" s="632" t="n">
        <v>16</v>
      </c>
      <c r="G16" s="633">
        <f>F16*CCBASE!$B$51</f>
        <v/>
      </c>
      <c r="H16" s="633">
        <f>CCBASE!$I$11*B16/1000</f>
        <v/>
      </c>
      <c r="I16" s="633" t="n"/>
      <c r="J16" s="633" t="n"/>
      <c r="K16" s="633" t="n"/>
      <c r="L16" s="632" t="n"/>
      <c r="M16" s="633">
        <f>CCBASE!$I$15*B16/1000</f>
        <v/>
      </c>
      <c r="N16" s="633" t="n"/>
      <c r="O16" s="633" t="n"/>
      <c r="P16" s="633">
        <f>CCBASE!$I$9</f>
        <v/>
      </c>
      <c r="Q16" s="633">
        <f>CCBASE!$I$51</f>
        <v/>
      </c>
      <c r="R16" s="633">
        <f>CCBASE!$I$4</f>
        <v/>
      </c>
      <c r="S16" s="633">
        <f>CCBASE!$I$8</f>
        <v/>
      </c>
      <c r="T16" s="632" t="n"/>
      <c r="U16" s="633" t="n"/>
      <c r="V16" s="633" t="n"/>
      <c r="W16" s="633">
        <f>CCBASE!$I$40*B16/1000</f>
        <v/>
      </c>
      <c r="X16" s="633" t="n"/>
      <c r="Y16" s="633" t="n"/>
      <c r="Z16" s="633" t="n"/>
      <c r="AA16" s="633" t="n"/>
      <c r="AB16" s="633" t="n"/>
      <c r="AC16" s="633" t="n"/>
      <c r="AD16" s="633">
        <f>CCBASE!$I$32*2</f>
        <v/>
      </c>
      <c r="AI16" s="635" t="n"/>
      <c r="AJ16" s="635" t="n"/>
      <c r="AN16" s="636" t="n"/>
      <c r="AO16" s="636" t="n"/>
      <c r="AP16" s="636" t="n"/>
      <c r="AQ16" s="636" t="n"/>
      <c r="AR16" s="636" t="n"/>
      <c r="AS16" s="636" t="n"/>
    </row>
    <row r="17">
      <c r="A17" s="631" t="inlineStr">
        <is>
          <t>UVX</t>
        </is>
      </c>
      <c r="B17" s="631" t="n">
        <v>2500</v>
      </c>
      <c r="C17" s="631" t="n">
        <v>1250</v>
      </c>
      <c r="D17" s="631">
        <f>$A17&amp;B17&amp;C17</f>
        <v/>
      </c>
      <c r="E17" s="1040">
        <f>SUM(G17:AD17)</f>
        <v/>
      </c>
      <c r="F17" s="632" t="n">
        <v>18</v>
      </c>
      <c r="G17" s="633">
        <f>F17*CCBASE!$B$51</f>
        <v/>
      </c>
      <c r="H17" s="633">
        <f>CCBASE!$I$11*B17/1000</f>
        <v/>
      </c>
      <c r="I17" s="633" t="n"/>
      <c r="J17" s="633" t="n"/>
      <c r="K17" s="633" t="n"/>
      <c r="L17" s="632" t="n"/>
      <c r="M17" s="633">
        <f>CCBASE!$I$15*B17/1000</f>
        <v/>
      </c>
      <c r="N17" s="633" t="n"/>
      <c r="O17" s="633" t="n"/>
      <c r="P17" s="633">
        <f>CCBASE!$I$9</f>
        <v/>
      </c>
      <c r="Q17" s="633">
        <f>CCBASE!$I$51</f>
        <v/>
      </c>
      <c r="R17" s="633">
        <f>CCBASE!$I$4</f>
        <v/>
      </c>
      <c r="S17" s="633">
        <f>CCBASE!$I$8</f>
        <v/>
      </c>
      <c r="T17" s="632" t="n"/>
      <c r="U17" s="633" t="n"/>
      <c r="V17" s="633" t="n"/>
      <c r="W17" s="633">
        <f>CCBASE!$I$40*B17/1000</f>
        <v/>
      </c>
      <c r="X17" s="633" t="n"/>
      <c r="Y17" s="633" t="n"/>
      <c r="Z17" s="633" t="n"/>
      <c r="AA17" s="633" t="n"/>
      <c r="AB17" s="633" t="n"/>
      <c r="AC17" s="633" t="n"/>
      <c r="AD17" s="633">
        <f>CCBASE!$I$32*2</f>
        <v/>
      </c>
      <c r="AI17" s="635" t="n"/>
      <c r="AJ17" s="635" t="n"/>
      <c r="AN17" s="636" t="n"/>
      <c r="AO17" s="636" t="n"/>
      <c r="AP17" s="636" t="n"/>
      <c r="AQ17" s="636" t="n"/>
      <c r="AR17" s="636" t="n"/>
      <c r="AS17" s="636" t="n"/>
    </row>
    <row r="18">
      <c r="A18" s="631" t="inlineStr">
        <is>
          <t>UVX</t>
        </is>
      </c>
      <c r="B18" s="631" t="n">
        <v>2750</v>
      </c>
      <c r="C18" s="631" t="n">
        <v>1250</v>
      </c>
      <c r="D18" s="631">
        <f>$A18&amp;B18&amp;C18</f>
        <v/>
      </c>
      <c r="E18" s="1040">
        <f>SUM(G18:AD18)</f>
        <v/>
      </c>
      <c r="F18" s="632" t="n">
        <v>18</v>
      </c>
      <c r="G18" s="633">
        <f>F18*CCBASE!$B$51</f>
        <v/>
      </c>
      <c r="H18" s="633">
        <f>CCBASE!$I$11*B18/1000</f>
        <v/>
      </c>
      <c r="I18" s="633" t="n"/>
      <c r="J18" s="633" t="n"/>
      <c r="K18" s="633" t="n"/>
      <c r="L18" s="632" t="n"/>
      <c r="M18" s="633">
        <f>CCBASE!$I$15*B18/1000</f>
        <v/>
      </c>
      <c r="N18" s="633" t="n"/>
      <c r="O18" s="633" t="n"/>
      <c r="P18" s="633">
        <f>CCBASE!$I$9</f>
        <v/>
      </c>
      <c r="Q18" s="633">
        <f>CCBASE!$I$51</f>
        <v/>
      </c>
      <c r="R18" s="633">
        <f>CCBASE!$I$4</f>
        <v/>
      </c>
      <c r="S18" s="633">
        <f>CCBASE!$I$8</f>
        <v/>
      </c>
      <c r="T18" s="632" t="n"/>
      <c r="U18" s="633" t="n"/>
      <c r="V18" s="633" t="n"/>
      <c r="W18" s="633">
        <f>CCBASE!$I$40*B18/1000</f>
        <v/>
      </c>
      <c r="X18" s="633" t="n"/>
      <c r="Y18" s="633" t="n"/>
      <c r="Z18" s="633" t="n"/>
      <c r="AA18" s="633" t="n"/>
      <c r="AB18" s="633" t="n"/>
      <c r="AC18" s="633" t="n"/>
      <c r="AD18" s="633">
        <f>CCBASE!$I$32*2</f>
        <v/>
      </c>
      <c r="AI18" s="635" t="n"/>
      <c r="AJ18" s="635" t="n"/>
      <c r="AN18" s="636" t="n"/>
      <c r="AO18" s="636" t="n"/>
      <c r="AP18" s="636" t="n"/>
      <c r="AQ18" s="636" t="n"/>
      <c r="AR18" s="636" t="n"/>
      <c r="AS18" s="636" t="n"/>
    </row>
    <row r="19">
      <c r="A19" s="631" t="inlineStr">
        <is>
          <t>UVX</t>
        </is>
      </c>
      <c r="B19" s="631" t="n">
        <v>3000</v>
      </c>
      <c r="C19" s="631" t="n">
        <v>1250</v>
      </c>
      <c r="D19" s="631">
        <f>$A19&amp;B19&amp;C19</f>
        <v/>
      </c>
      <c r="E19" s="1040">
        <f>SUM(G19:AD19)</f>
        <v/>
      </c>
      <c r="F19" s="632" t="n">
        <v>18</v>
      </c>
      <c r="G19" s="633">
        <f>F19*CCBASE!$B$51</f>
        <v/>
      </c>
      <c r="H19" s="633">
        <f>CCBASE!$I$11*B19/1000</f>
        <v/>
      </c>
      <c r="I19" s="633" t="n"/>
      <c r="J19" s="633" t="n"/>
      <c r="K19" s="633" t="n"/>
      <c r="L19" s="632" t="n"/>
      <c r="M19" s="633">
        <f>CCBASE!$I$15*B19/1000</f>
        <v/>
      </c>
      <c r="N19" s="633" t="n"/>
      <c r="O19" s="633" t="n"/>
      <c r="P19" s="633">
        <f>CCBASE!$I$9</f>
        <v/>
      </c>
      <c r="Q19" s="633">
        <f>CCBASE!$I$51</f>
        <v/>
      </c>
      <c r="R19" s="633">
        <f>CCBASE!$I$4</f>
        <v/>
      </c>
      <c r="S19" s="633">
        <f>CCBASE!$I$8</f>
        <v/>
      </c>
      <c r="T19" s="632" t="n"/>
      <c r="U19" s="633" t="n"/>
      <c r="V19" s="633" t="n"/>
      <c r="W19" s="633">
        <f>CCBASE!$I$40*B19/1000</f>
        <v/>
      </c>
      <c r="X19" s="633" t="n"/>
      <c r="Y19" s="633" t="n"/>
      <c r="Z19" s="633" t="n"/>
      <c r="AA19" s="633" t="n"/>
      <c r="AB19" s="633" t="n"/>
      <c r="AC19" s="633" t="n"/>
      <c r="AD19" s="633">
        <f>CCBASE!$I$32*2</f>
        <v/>
      </c>
      <c r="AI19" s="635" t="n"/>
      <c r="AJ19" s="635" t="n"/>
      <c r="AN19" s="636" t="n"/>
      <c r="AO19" s="636" t="n"/>
      <c r="AP19" s="636" t="n"/>
      <c r="AQ19" s="636" t="n"/>
      <c r="AR19" s="636" t="n"/>
      <c r="AS19" s="636" t="n"/>
    </row>
    <row r="20">
      <c r="A20" s="631" t="inlineStr">
        <is>
          <t>UVX</t>
        </is>
      </c>
      <c r="B20" s="631" t="n">
        <v>1000</v>
      </c>
      <c r="C20" s="631" t="n">
        <v>1500</v>
      </c>
      <c r="D20" s="631">
        <f>$A20&amp;B20&amp;C20</f>
        <v/>
      </c>
      <c r="E20" s="1040">
        <f>SUM(G20:AD20)</f>
        <v/>
      </c>
      <c r="F20" s="632" t="n">
        <v>16</v>
      </c>
      <c r="G20" s="633">
        <f>F20*CCBASE!$B$51</f>
        <v/>
      </c>
      <c r="H20" s="633">
        <f>CCBASE!$I$11*B20/1000</f>
        <v/>
      </c>
      <c r="I20" s="633" t="n"/>
      <c r="J20" s="633" t="n"/>
      <c r="K20" s="633" t="n"/>
      <c r="L20" s="632" t="n"/>
      <c r="M20" s="633">
        <f>CCBASE!$I$15*B20/1000</f>
        <v/>
      </c>
      <c r="N20" s="633" t="n"/>
      <c r="O20" s="633" t="n"/>
      <c r="P20" s="633">
        <f>CCBASE!$I$10</f>
        <v/>
      </c>
      <c r="Q20" s="633">
        <f>CCBASE!$I$51</f>
        <v/>
      </c>
      <c r="R20" s="633">
        <f>CCBASE!$I$4</f>
        <v/>
      </c>
      <c r="S20" s="633">
        <f>CCBASE!$I$8</f>
        <v/>
      </c>
      <c r="T20" s="632" t="n"/>
      <c r="U20" s="633" t="n"/>
      <c r="V20" s="633" t="n"/>
      <c r="W20" s="633">
        <f>CCBASE!$I$41*B20/1000</f>
        <v/>
      </c>
      <c r="X20" s="633" t="n"/>
      <c r="Y20" s="633" t="n"/>
      <c r="Z20" s="633" t="n"/>
      <c r="AA20" s="633" t="n"/>
      <c r="AB20" s="633" t="n"/>
      <c r="AC20" s="633" t="n"/>
      <c r="AD20" s="633">
        <f>CCBASE!$I$33*2</f>
        <v/>
      </c>
      <c r="AI20" s="635" t="n"/>
      <c r="AJ20" s="635" t="n"/>
      <c r="AN20" s="636" t="n"/>
      <c r="AO20" s="636" t="n"/>
      <c r="AP20" s="636" t="n"/>
      <c r="AQ20" s="636" t="n"/>
      <c r="AR20" s="636" t="n"/>
      <c r="AS20" s="636" t="n"/>
    </row>
    <row r="21">
      <c r="A21" s="631" t="inlineStr">
        <is>
          <t>UVX</t>
        </is>
      </c>
      <c r="B21" s="631" t="n">
        <v>1250</v>
      </c>
      <c r="C21" s="631" t="n">
        <v>1500</v>
      </c>
      <c r="D21" s="631">
        <f>$A21&amp;B21&amp;C21</f>
        <v/>
      </c>
      <c r="E21" s="1040">
        <f>SUM(G21:AD21)</f>
        <v/>
      </c>
      <c r="F21" s="632" t="n">
        <v>16</v>
      </c>
      <c r="G21" s="633">
        <f>F21*CCBASE!$B$51</f>
        <v/>
      </c>
      <c r="H21" s="633">
        <f>CCBASE!$I$11*B21/1000</f>
        <v/>
      </c>
      <c r="I21" s="633" t="n"/>
      <c r="J21" s="633" t="n"/>
      <c r="K21" s="633" t="n"/>
      <c r="L21" s="632" t="n"/>
      <c r="M21" s="633">
        <f>CCBASE!$I$15*B21/1000</f>
        <v/>
      </c>
      <c r="N21" s="633" t="n"/>
      <c r="O21" s="633" t="n"/>
      <c r="P21" s="633">
        <f>CCBASE!$I$10</f>
        <v/>
      </c>
      <c r="Q21" s="633">
        <f>CCBASE!$I$51</f>
        <v/>
      </c>
      <c r="R21" s="633">
        <f>CCBASE!$I$4</f>
        <v/>
      </c>
      <c r="S21" s="633">
        <f>CCBASE!$I$8</f>
        <v/>
      </c>
      <c r="T21" s="632" t="n"/>
      <c r="U21" s="633" t="n"/>
      <c r="V21" s="633" t="n"/>
      <c r="W21" s="633">
        <f>CCBASE!$I$41*B21/1000</f>
        <v/>
      </c>
      <c r="X21" s="633" t="n"/>
      <c r="Y21" s="633" t="n"/>
      <c r="Z21" s="633" t="n"/>
      <c r="AA21" s="633" t="n"/>
      <c r="AB21" s="633" t="n"/>
      <c r="AC21" s="633" t="n"/>
      <c r="AD21" s="633">
        <f>CCBASE!$I$33*2</f>
        <v/>
      </c>
      <c r="AI21" s="635" t="n"/>
      <c r="AJ21" s="635" t="n"/>
      <c r="AK21" s="636" t="n"/>
      <c r="AL21" s="636" t="n"/>
      <c r="AM21" s="636" t="n"/>
      <c r="AN21" s="636" t="n"/>
      <c r="AO21" s="636" t="n"/>
      <c r="AP21" s="636" t="n"/>
      <c r="AQ21" s="636" t="n"/>
      <c r="AR21" s="636" t="n"/>
      <c r="AS21" s="636" t="n"/>
    </row>
    <row r="22">
      <c r="A22" s="631" t="inlineStr">
        <is>
          <t>UVX</t>
        </is>
      </c>
      <c r="B22" s="631" t="n">
        <v>1500</v>
      </c>
      <c r="C22" s="631" t="n">
        <v>1500</v>
      </c>
      <c r="D22" s="631">
        <f>$A22&amp;B22&amp;C22</f>
        <v/>
      </c>
      <c r="E22" s="1040">
        <f>SUM(G22:AD22)</f>
        <v/>
      </c>
      <c r="F22" s="632" t="n">
        <v>16</v>
      </c>
      <c r="G22" s="633">
        <f>F22*CCBASE!$B$51</f>
        <v/>
      </c>
      <c r="H22" s="633">
        <f>CCBASE!$I$11*B22/1000</f>
        <v/>
      </c>
      <c r="I22" s="633" t="n"/>
      <c r="J22" s="633" t="n"/>
      <c r="K22" s="633" t="n"/>
      <c r="L22" s="632" t="n"/>
      <c r="M22" s="633">
        <f>CCBASE!$I$15*B22/1000</f>
        <v/>
      </c>
      <c r="N22" s="633" t="n"/>
      <c r="O22" s="633" t="n"/>
      <c r="P22" s="633">
        <f>CCBASE!$I$10</f>
        <v/>
      </c>
      <c r="Q22" s="633">
        <f>CCBASE!$I$51</f>
        <v/>
      </c>
      <c r="R22" s="633">
        <f>CCBASE!$I$4</f>
        <v/>
      </c>
      <c r="S22" s="633">
        <f>CCBASE!$I$8</f>
        <v/>
      </c>
      <c r="T22" s="632" t="n"/>
      <c r="U22" s="633" t="n"/>
      <c r="V22" s="633" t="n"/>
      <c r="W22" s="633">
        <f>CCBASE!$I$41*B22/1000</f>
        <v/>
      </c>
      <c r="X22" s="633" t="n"/>
      <c r="Y22" s="633" t="n"/>
      <c r="Z22" s="633" t="n"/>
      <c r="AA22" s="633" t="n"/>
      <c r="AB22" s="633" t="n"/>
      <c r="AC22" s="633" t="n"/>
      <c r="AD22" s="633">
        <f>CCBASE!$I$33*2</f>
        <v/>
      </c>
      <c r="AI22" s="635" t="n"/>
      <c r="AJ22" s="635" t="n"/>
      <c r="AK22" s="636" t="n"/>
      <c r="AL22" s="636" t="n"/>
      <c r="AM22" s="636" t="n"/>
      <c r="AN22" s="636" t="n"/>
      <c r="AO22" s="636" t="n"/>
      <c r="AP22" s="636" t="n"/>
      <c r="AQ22" s="636" t="n"/>
      <c r="AR22" s="636" t="n"/>
      <c r="AS22" s="636" t="n"/>
    </row>
    <row r="23">
      <c r="A23" s="631" t="inlineStr">
        <is>
          <t>UVX</t>
        </is>
      </c>
      <c r="B23" s="631" t="n">
        <v>1750</v>
      </c>
      <c r="C23" s="631" t="n">
        <v>1500</v>
      </c>
      <c r="D23" s="631">
        <f>$A23&amp;B23&amp;C23</f>
        <v/>
      </c>
      <c r="E23" s="1040">
        <f>SUM(G23:AD23)</f>
        <v/>
      </c>
      <c r="F23" s="632" t="n">
        <v>16</v>
      </c>
      <c r="G23" s="633">
        <f>F23*CCBASE!$B$51</f>
        <v/>
      </c>
      <c r="H23" s="633">
        <f>CCBASE!$I$11*B23/1000</f>
        <v/>
      </c>
      <c r="I23" s="633" t="n"/>
      <c r="J23" s="633" t="n"/>
      <c r="K23" s="633" t="n"/>
      <c r="L23" s="632" t="n"/>
      <c r="M23" s="633">
        <f>CCBASE!$I$15*B23/1000</f>
        <v/>
      </c>
      <c r="N23" s="633" t="n"/>
      <c r="O23" s="633" t="n"/>
      <c r="P23" s="633">
        <f>CCBASE!$I$10</f>
        <v/>
      </c>
      <c r="Q23" s="633">
        <f>CCBASE!$I$51</f>
        <v/>
      </c>
      <c r="R23" s="633">
        <f>CCBASE!$I$4</f>
        <v/>
      </c>
      <c r="S23" s="633">
        <f>CCBASE!$I$8</f>
        <v/>
      </c>
      <c r="T23" s="632" t="n"/>
      <c r="U23" s="633" t="n"/>
      <c r="V23" s="633" t="n"/>
      <c r="W23" s="633">
        <f>CCBASE!$I$41*B23/1000</f>
        <v/>
      </c>
      <c r="X23" s="633" t="n"/>
      <c r="Y23" s="633" t="n"/>
      <c r="Z23" s="633" t="n"/>
      <c r="AA23" s="633" t="n"/>
      <c r="AB23" s="633" t="n"/>
      <c r="AC23" s="633" t="n"/>
      <c r="AD23" s="633">
        <f>CCBASE!$I$33*2</f>
        <v/>
      </c>
      <c r="AI23" s="635" t="n"/>
      <c r="AJ23" s="635" t="n"/>
      <c r="AK23" s="636" t="n"/>
      <c r="AL23" s="636" t="n"/>
      <c r="AM23" s="636" t="n"/>
      <c r="AN23" s="636" t="n"/>
      <c r="AO23" s="636" t="n"/>
      <c r="AP23" s="636" t="n"/>
      <c r="AQ23" s="636" t="n"/>
      <c r="AR23" s="636" t="n"/>
      <c r="AS23" s="636" t="n"/>
    </row>
    <row r="24">
      <c r="A24" s="631" t="inlineStr">
        <is>
          <t>UVX</t>
        </is>
      </c>
      <c r="B24" s="631" t="n">
        <v>2000</v>
      </c>
      <c r="C24" s="631" t="n">
        <v>1500</v>
      </c>
      <c r="D24" s="631">
        <f>$A24&amp;B24&amp;C24</f>
        <v/>
      </c>
      <c r="E24" s="1040">
        <f>SUM(G24:AD24)</f>
        <v/>
      </c>
      <c r="F24" s="632" t="n">
        <v>16</v>
      </c>
      <c r="G24" s="633">
        <f>F24*CCBASE!$B$51</f>
        <v/>
      </c>
      <c r="H24" s="633">
        <f>CCBASE!$I$11*B24/1000</f>
        <v/>
      </c>
      <c r="I24" s="633" t="n"/>
      <c r="J24" s="633" t="n"/>
      <c r="K24" s="633" t="n"/>
      <c r="L24" s="632" t="n"/>
      <c r="M24" s="633">
        <f>CCBASE!$I$15*B24/1000</f>
        <v/>
      </c>
      <c r="N24" s="633" t="n"/>
      <c r="O24" s="633" t="n"/>
      <c r="P24" s="633">
        <f>CCBASE!$I$9</f>
        <v/>
      </c>
      <c r="Q24" s="633">
        <f>CCBASE!$I$51</f>
        <v/>
      </c>
      <c r="R24" s="633">
        <f>CCBASE!$I$4</f>
        <v/>
      </c>
      <c r="S24" s="633">
        <f>CCBASE!$I$8</f>
        <v/>
      </c>
      <c r="T24" s="632" t="n"/>
      <c r="U24" s="633" t="n"/>
      <c r="V24" s="633" t="n"/>
      <c r="W24" s="633">
        <f>CCBASE!$I$41*B24/1000</f>
        <v/>
      </c>
      <c r="X24" s="633" t="n"/>
      <c r="Y24" s="633" t="n"/>
      <c r="Z24" s="633" t="n"/>
      <c r="AA24" s="633" t="n"/>
      <c r="AB24" s="633" t="n"/>
      <c r="AC24" s="633" t="n"/>
      <c r="AD24" s="633">
        <f>CCBASE!$I$33*2</f>
        <v/>
      </c>
      <c r="AI24" s="635" t="n"/>
      <c r="AJ24" s="635" t="n"/>
      <c r="AK24" s="636" t="n"/>
      <c r="AL24" s="636" t="n"/>
      <c r="AM24" s="636" t="n"/>
      <c r="AN24" s="636" t="n"/>
      <c r="AO24" s="636" t="n"/>
      <c r="AP24" s="636" t="n"/>
      <c r="AQ24" s="636" t="n"/>
      <c r="AR24" s="636" t="n"/>
      <c r="AS24" s="636" t="n"/>
    </row>
    <row r="25">
      <c r="A25" s="631" t="inlineStr">
        <is>
          <t>UVX</t>
        </is>
      </c>
      <c r="B25" s="631" t="n">
        <v>2250</v>
      </c>
      <c r="C25" s="631" t="n">
        <v>1500</v>
      </c>
      <c r="D25" s="631">
        <f>$A25&amp;B25&amp;C25</f>
        <v/>
      </c>
      <c r="E25" s="1040">
        <f>SUM(G25:AD25)</f>
        <v/>
      </c>
      <c r="F25" s="632" t="n">
        <v>18</v>
      </c>
      <c r="G25" s="633">
        <f>F25*CCBASE!$B$51</f>
        <v/>
      </c>
      <c r="H25" s="633">
        <f>CCBASE!$I$11*B25/1000</f>
        <v/>
      </c>
      <c r="I25" s="633" t="n"/>
      <c r="J25" s="633" t="n"/>
      <c r="K25" s="633" t="n"/>
      <c r="L25" s="632" t="n"/>
      <c r="M25" s="633">
        <f>CCBASE!$I$15*B25/1000</f>
        <v/>
      </c>
      <c r="N25" s="633" t="n"/>
      <c r="O25" s="633" t="n"/>
      <c r="P25" s="633">
        <f>CCBASE!$I$9</f>
        <v/>
      </c>
      <c r="Q25" s="633">
        <f>CCBASE!$I$51</f>
        <v/>
      </c>
      <c r="R25" s="633">
        <f>CCBASE!$I$4</f>
        <v/>
      </c>
      <c r="S25" s="633">
        <f>CCBASE!$I$8</f>
        <v/>
      </c>
      <c r="T25" s="632" t="n"/>
      <c r="U25" s="633" t="n"/>
      <c r="V25" s="633" t="n"/>
      <c r="W25" s="633">
        <f>CCBASE!$I$41*B25/1000</f>
        <v/>
      </c>
      <c r="X25" s="633" t="n"/>
      <c r="Y25" s="633" t="n"/>
      <c r="Z25" s="633" t="n"/>
      <c r="AA25" s="633" t="n"/>
      <c r="AB25" s="633" t="n"/>
      <c r="AC25" s="633" t="n"/>
      <c r="AD25" s="633">
        <f>CCBASE!$I$33*2</f>
        <v/>
      </c>
      <c r="AI25" s="635" t="n"/>
      <c r="AJ25" s="635" t="n"/>
      <c r="AK25" s="636" t="n"/>
      <c r="AL25" s="636" t="n"/>
      <c r="AM25" s="636" t="n"/>
      <c r="AN25" s="636" t="n"/>
      <c r="AO25" s="636" t="n"/>
      <c r="AP25" s="636" t="n"/>
      <c r="AQ25" s="636" t="n"/>
      <c r="AR25" s="636" t="n"/>
      <c r="AS25" s="636" t="n"/>
    </row>
    <row r="26">
      <c r="A26" s="631" t="inlineStr">
        <is>
          <t>UVX</t>
        </is>
      </c>
      <c r="B26" s="631" t="n">
        <v>2500</v>
      </c>
      <c r="C26" s="631" t="n">
        <v>1500</v>
      </c>
      <c r="D26" s="631">
        <f>$A26&amp;B26&amp;C26</f>
        <v/>
      </c>
      <c r="E26" s="1040">
        <f>SUM(G26:AD26)</f>
        <v/>
      </c>
      <c r="F26" s="632" t="n">
        <v>18</v>
      </c>
      <c r="G26" s="633">
        <f>F26*CCBASE!$B$51</f>
        <v/>
      </c>
      <c r="H26" s="633">
        <f>CCBASE!$I$11*B26/1000</f>
        <v/>
      </c>
      <c r="I26" s="633" t="n"/>
      <c r="J26" s="633" t="n"/>
      <c r="K26" s="633" t="n"/>
      <c r="L26" s="632" t="n"/>
      <c r="M26" s="633">
        <f>CCBASE!$I$15*B26/1000</f>
        <v/>
      </c>
      <c r="N26" s="633" t="n"/>
      <c r="O26" s="633" t="n"/>
      <c r="P26" s="633">
        <f>CCBASE!$I$9</f>
        <v/>
      </c>
      <c r="Q26" s="633">
        <f>CCBASE!$I$51</f>
        <v/>
      </c>
      <c r="R26" s="633">
        <f>CCBASE!$I$4</f>
        <v/>
      </c>
      <c r="S26" s="633">
        <f>CCBASE!$I$8</f>
        <v/>
      </c>
      <c r="T26" s="632" t="n"/>
      <c r="U26" s="633" t="n"/>
      <c r="V26" s="633" t="n"/>
      <c r="W26" s="633">
        <f>CCBASE!$I$41*B26/1000</f>
        <v/>
      </c>
      <c r="X26" s="633" t="n"/>
      <c r="Y26" s="633" t="n"/>
      <c r="Z26" s="633" t="n"/>
      <c r="AA26" s="633" t="n"/>
      <c r="AB26" s="633" t="n"/>
      <c r="AC26" s="633" t="n"/>
      <c r="AD26" s="633">
        <f>CCBASE!$I$33*2</f>
        <v/>
      </c>
      <c r="AI26" s="635" t="n"/>
      <c r="AJ26" s="635" t="n"/>
      <c r="AK26" s="636" t="n"/>
      <c r="AL26" s="636" t="n"/>
      <c r="AM26" s="636" t="n"/>
      <c r="AN26" s="636" t="n"/>
      <c r="AO26" s="636" t="n"/>
      <c r="AP26" s="636" t="n"/>
      <c r="AQ26" s="636" t="n"/>
      <c r="AR26" s="636" t="n"/>
      <c r="AS26" s="636" t="n"/>
    </row>
    <row r="27">
      <c r="A27" s="631" t="inlineStr">
        <is>
          <t>UVX</t>
        </is>
      </c>
      <c r="B27" s="631" t="n">
        <v>2750</v>
      </c>
      <c r="C27" s="631" t="n">
        <v>1500</v>
      </c>
      <c r="D27" s="631">
        <f>$A27&amp;B27&amp;C27</f>
        <v/>
      </c>
      <c r="E27" s="1040">
        <f>SUM(G27:AD27)</f>
        <v/>
      </c>
      <c r="F27" s="632" t="n">
        <v>18</v>
      </c>
      <c r="G27" s="633">
        <f>F27*CCBASE!$B$51</f>
        <v/>
      </c>
      <c r="H27" s="633">
        <f>CCBASE!$I$11*B27/1000</f>
        <v/>
      </c>
      <c r="I27" s="633" t="n"/>
      <c r="J27" s="633" t="n"/>
      <c r="K27" s="633" t="n"/>
      <c r="L27" s="632" t="n"/>
      <c r="M27" s="633">
        <f>CCBASE!$I$15*B27/1000</f>
        <v/>
      </c>
      <c r="N27" s="633" t="n"/>
      <c r="O27" s="633" t="n"/>
      <c r="P27" s="633">
        <f>CCBASE!$I$9</f>
        <v/>
      </c>
      <c r="Q27" s="633">
        <f>CCBASE!$I$51</f>
        <v/>
      </c>
      <c r="R27" s="633">
        <f>CCBASE!$I$4</f>
        <v/>
      </c>
      <c r="S27" s="633">
        <f>CCBASE!$I$8</f>
        <v/>
      </c>
      <c r="T27" s="632" t="n"/>
      <c r="U27" s="633" t="n"/>
      <c r="V27" s="633" t="n"/>
      <c r="W27" s="633">
        <f>CCBASE!$I$41*B27/1000</f>
        <v/>
      </c>
      <c r="X27" s="633" t="n"/>
      <c r="Y27" s="633" t="n"/>
      <c r="Z27" s="633" t="n"/>
      <c r="AA27" s="633" t="n"/>
      <c r="AB27" s="633" t="n"/>
      <c r="AC27" s="633" t="n"/>
      <c r="AD27" s="633">
        <f>CCBASE!$I$33*2</f>
        <v/>
      </c>
      <c r="AI27" s="635" t="n"/>
      <c r="AJ27" s="635" t="n"/>
      <c r="AN27" s="636" t="n"/>
      <c r="AO27" s="636" t="n"/>
      <c r="AP27" s="636" t="n"/>
      <c r="AQ27" s="636" t="n"/>
      <c r="AR27" s="636" t="n"/>
      <c r="AS27" s="636" t="n"/>
    </row>
    <row r="28">
      <c r="A28" s="631" t="inlineStr">
        <is>
          <t>UVX</t>
        </is>
      </c>
      <c r="B28" s="631" t="n">
        <v>3000</v>
      </c>
      <c r="C28" s="631" t="n">
        <v>1500</v>
      </c>
      <c r="D28" s="631">
        <f>$A28&amp;B28&amp;C28</f>
        <v/>
      </c>
      <c r="E28" s="1040">
        <f>SUM(G28:AD28)</f>
        <v/>
      </c>
      <c r="F28" s="632" t="n">
        <v>18</v>
      </c>
      <c r="G28" s="633">
        <f>F28*CCBASE!$B$51</f>
        <v/>
      </c>
      <c r="H28" s="633">
        <f>CCBASE!$I$11*B28/1000</f>
        <v/>
      </c>
      <c r="I28" s="633" t="n"/>
      <c r="J28" s="633" t="n"/>
      <c r="K28" s="633" t="n"/>
      <c r="L28" s="632" t="n"/>
      <c r="M28" s="633">
        <f>CCBASE!$I$15*B28/1000</f>
        <v/>
      </c>
      <c r="N28" s="633" t="n"/>
      <c r="O28" s="633" t="n"/>
      <c r="P28" s="633">
        <f>CCBASE!$I$9</f>
        <v/>
      </c>
      <c r="Q28" s="633">
        <f>CCBASE!$I$51</f>
        <v/>
      </c>
      <c r="R28" s="633">
        <f>CCBASE!$I$4</f>
        <v/>
      </c>
      <c r="S28" s="633">
        <f>CCBASE!$I$8</f>
        <v/>
      </c>
      <c r="T28" s="632" t="n"/>
      <c r="U28" s="633" t="n"/>
      <c r="V28" s="633" t="n"/>
      <c r="W28" s="633">
        <f>CCBASE!$I$41*B28/1000</f>
        <v/>
      </c>
      <c r="X28" s="633" t="n"/>
      <c r="Y28" s="633" t="n"/>
      <c r="Z28" s="633" t="n"/>
      <c r="AA28" s="633" t="n"/>
      <c r="AB28" s="633" t="n"/>
      <c r="AC28" s="633" t="n"/>
      <c r="AD28" s="633">
        <f>CCBASE!$I$33*2</f>
        <v/>
      </c>
      <c r="AI28" s="635" t="n"/>
      <c r="AJ28" s="635" t="n"/>
      <c r="AN28" s="636" t="n"/>
      <c r="AO28" s="636" t="n"/>
      <c r="AP28" s="636" t="n"/>
      <c r="AQ28" s="636" t="n"/>
      <c r="AR28" s="636" t="n"/>
      <c r="AS28" s="636" t="n"/>
    </row>
    <row r="29">
      <c r="A29" s="631" t="inlineStr">
        <is>
          <t>UVX</t>
        </is>
      </c>
      <c r="B29" s="631" t="n">
        <v>1000</v>
      </c>
      <c r="C29" s="631" t="n">
        <v>1750</v>
      </c>
      <c r="D29" s="631">
        <f>$A29&amp;B29&amp;C29</f>
        <v/>
      </c>
      <c r="E29" s="1040">
        <f>SUM(G29:AD29)</f>
        <v/>
      </c>
      <c r="F29" s="632" t="n">
        <v>16</v>
      </c>
      <c r="G29" s="633">
        <f>F29*CCBASE!$B$51</f>
        <v/>
      </c>
      <c r="H29" s="633">
        <f>CCBASE!$I$11*B29/1000</f>
        <v/>
      </c>
      <c r="I29" s="633" t="n"/>
      <c r="J29" s="633" t="n"/>
      <c r="K29" s="633" t="n"/>
      <c r="L29" s="638" t="n"/>
      <c r="M29" s="633">
        <f>CCBASE!$I$15*B29/1000</f>
        <v/>
      </c>
      <c r="N29" s="633" t="n"/>
      <c r="O29" s="633" t="n"/>
      <c r="P29" s="633">
        <f>CCBASE!$I$10</f>
        <v/>
      </c>
      <c r="Q29" s="633">
        <f>CCBASE!$I$51</f>
        <v/>
      </c>
      <c r="R29" s="633">
        <f>CCBASE!$I$4</f>
        <v/>
      </c>
      <c r="S29" s="633">
        <f>CCBASE!$I$8</f>
        <v/>
      </c>
      <c r="T29" s="632" t="n"/>
      <c r="U29" s="632" t="n"/>
      <c r="V29" s="632" t="n"/>
      <c r="W29" s="633">
        <f>CCBASE!$I$42*B29/1000</f>
        <v/>
      </c>
      <c r="X29" s="633" t="n"/>
      <c r="Y29" s="633" t="n"/>
      <c r="Z29" s="633" t="n"/>
      <c r="AA29" s="633" t="n"/>
      <c r="AB29" s="633" t="n"/>
      <c r="AC29" s="633" t="n"/>
      <c r="AD29" s="633">
        <f>CCBASE!$I$34*2</f>
        <v/>
      </c>
      <c r="AI29" s="635" t="n"/>
      <c r="AJ29" s="635" t="n"/>
      <c r="AK29" s="636" t="n"/>
      <c r="AL29" s="636" t="n"/>
      <c r="AM29" s="636" t="n"/>
      <c r="AN29" s="636" t="n"/>
      <c r="AO29" s="636" t="n"/>
      <c r="AP29" s="636" t="n"/>
      <c r="AQ29" s="636" t="n"/>
      <c r="AR29" s="636" t="n"/>
      <c r="AS29" s="636" t="n"/>
    </row>
    <row r="30">
      <c r="A30" s="631" t="inlineStr">
        <is>
          <t>UVX</t>
        </is>
      </c>
      <c r="B30" s="631" t="n">
        <v>1250</v>
      </c>
      <c r="C30" s="631" t="n">
        <v>1750</v>
      </c>
      <c r="D30" s="631">
        <f>$A30&amp;B30&amp;C30</f>
        <v/>
      </c>
      <c r="E30" s="1040">
        <f>SUM(G30:AD30)</f>
        <v/>
      </c>
      <c r="F30" s="632" t="n">
        <v>16</v>
      </c>
      <c r="G30" s="633">
        <f>F30*CCBASE!$B$51</f>
        <v/>
      </c>
      <c r="H30" s="633">
        <f>CCBASE!$I$11*B30/1000</f>
        <v/>
      </c>
      <c r="I30" s="633" t="n"/>
      <c r="J30" s="633" t="n"/>
      <c r="K30" s="633" t="n"/>
      <c r="L30" s="638" t="n"/>
      <c r="M30" s="633">
        <f>CCBASE!$I$15*B30/1000</f>
        <v/>
      </c>
      <c r="N30" s="633" t="n"/>
      <c r="O30" s="633" t="n"/>
      <c r="P30" s="633">
        <f>CCBASE!$I$10</f>
        <v/>
      </c>
      <c r="Q30" s="633">
        <f>CCBASE!$I$51</f>
        <v/>
      </c>
      <c r="R30" s="633">
        <f>CCBASE!$I$4</f>
        <v/>
      </c>
      <c r="S30" s="633">
        <f>CCBASE!$I$8</f>
        <v/>
      </c>
      <c r="T30" s="632" t="n"/>
      <c r="U30" s="632" t="n"/>
      <c r="V30" s="632" t="n"/>
      <c r="W30" s="633">
        <f>CCBASE!$I$42*B30/1000</f>
        <v/>
      </c>
      <c r="X30" s="633" t="n"/>
      <c r="Y30" s="633" t="n"/>
      <c r="Z30" s="633" t="n"/>
      <c r="AA30" s="633" t="n"/>
      <c r="AB30" s="633" t="n"/>
      <c r="AC30" s="633" t="n"/>
      <c r="AD30" s="633">
        <f>CCBASE!$I$34*2</f>
        <v/>
      </c>
      <c r="AI30" s="635" t="n"/>
      <c r="AJ30" s="635" t="n"/>
      <c r="AK30" s="636" t="n"/>
      <c r="AL30" s="636" t="n"/>
      <c r="AM30" s="636" t="n"/>
      <c r="AN30" s="636" t="n"/>
      <c r="AO30" s="636" t="n"/>
      <c r="AP30" s="636" t="n"/>
      <c r="AQ30" s="636" t="n"/>
      <c r="AR30" s="636" t="n"/>
      <c r="AS30" s="636" t="n"/>
    </row>
    <row r="31">
      <c r="A31" s="631" t="inlineStr">
        <is>
          <t>UVX</t>
        </is>
      </c>
      <c r="B31" s="631" t="n">
        <v>1500</v>
      </c>
      <c r="C31" s="631" t="n">
        <v>1750</v>
      </c>
      <c r="D31" s="631">
        <f>$A31&amp;B31&amp;C31</f>
        <v/>
      </c>
      <c r="E31" s="1040">
        <f>SUM(G31:AD31)</f>
        <v/>
      </c>
      <c r="F31" s="632" t="n">
        <v>16</v>
      </c>
      <c r="G31" s="633">
        <f>F31*CCBASE!$B$51</f>
        <v/>
      </c>
      <c r="H31" s="633">
        <f>CCBASE!$I$11*B31/1000</f>
        <v/>
      </c>
      <c r="I31" s="633" t="n"/>
      <c r="J31" s="633" t="n"/>
      <c r="K31" s="633" t="n"/>
      <c r="L31" s="638" t="n"/>
      <c r="M31" s="633">
        <f>CCBASE!$I$15*B31/1000</f>
        <v/>
      </c>
      <c r="N31" s="633" t="n"/>
      <c r="O31" s="633" t="n"/>
      <c r="P31" s="633">
        <f>CCBASE!$I$10</f>
        <v/>
      </c>
      <c r="Q31" s="633">
        <f>CCBASE!$I$51</f>
        <v/>
      </c>
      <c r="R31" s="633">
        <f>CCBASE!$I$4</f>
        <v/>
      </c>
      <c r="S31" s="633">
        <f>CCBASE!$I$8</f>
        <v/>
      </c>
      <c r="T31" s="632" t="n"/>
      <c r="U31" s="632" t="n"/>
      <c r="V31" s="632" t="n"/>
      <c r="W31" s="633">
        <f>CCBASE!$I$42*B31/1000</f>
        <v/>
      </c>
      <c r="X31" s="633" t="n"/>
      <c r="Y31" s="633" t="n"/>
      <c r="Z31" s="633" t="n"/>
      <c r="AA31" s="633" t="n"/>
      <c r="AB31" s="633" t="n"/>
      <c r="AC31" s="633" t="n"/>
      <c r="AD31" s="633">
        <f>CCBASE!$I$34*2</f>
        <v/>
      </c>
      <c r="AI31" s="635" t="n"/>
      <c r="AJ31" s="635" t="n"/>
      <c r="AK31" s="636" t="n"/>
      <c r="AL31" s="636" t="n"/>
      <c r="AM31" s="636" t="n"/>
      <c r="AN31" s="636" t="n"/>
      <c r="AO31" s="636" t="n"/>
      <c r="AP31" s="636" t="n"/>
      <c r="AQ31" s="636" t="n"/>
      <c r="AR31" s="636" t="n"/>
      <c r="AS31" s="636" t="n"/>
    </row>
    <row r="32">
      <c r="A32" s="631" t="inlineStr">
        <is>
          <t>UVX</t>
        </is>
      </c>
      <c r="B32" s="631" t="n">
        <v>1750</v>
      </c>
      <c r="C32" s="631" t="n">
        <v>1750</v>
      </c>
      <c r="D32" s="631">
        <f>$A32&amp;B32&amp;C32</f>
        <v/>
      </c>
      <c r="E32" s="1040">
        <f>SUM(G32:AD32)</f>
        <v/>
      </c>
      <c r="F32" s="632" t="n">
        <v>16</v>
      </c>
      <c r="G32" s="633">
        <f>F32*CCBASE!$B$51</f>
        <v/>
      </c>
      <c r="H32" s="633">
        <f>CCBASE!$I$11*B32/1000</f>
        <v/>
      </c>
      <c r="I32" s="633" t="n"/>
      <c r="J32" s="633" t="n"/>
      <c r="K32" s="633" t="n"/>
      <c r="L32" s="638" t="n"/>
      <c r="M32" s="633">
        <f>CCBASE!$I$15*B32/1000</f>
        <v/>
      </c>
      <c r="N32" s="633" t="n"/>
      <c r="O32" s="633" t="n"/>
      <c r="P32" s="633">
        <f>CCBASE!$I$9</f>
        <v/>
      </c>
      <c r="Q32" s="633">
        <f>CCBASE!$I$51</f>
        <v/>
      </c>
      <c r="R32" s="633">
        <f>CCBASE!$I$4</f>
        <v/>
      </c>
      <c r="S32" s="633">
        <f>CCBASE!$I$8</f>
        <v/>
      </c>
      <c r="T32" s="632" t="n"/>
      <c r="U32" s="632" t="n"/>
      <c r="V32" s="632" t="n"/>
      <c r="W32" s="633">
        <f>CCBASE!$I$42*B32/1000</f>
        <v/>
      </c>
      <c r="X32" s="633" t="n"/>
      <c r="Y32" s="633" t="n"/>
      <c r="Z32" s="633" t="n"/>
      <c r="AA32" s="633" t="n"/>
      <c r="AB32" s="633" t="n"/>
      <c r="AC32" s="633" t="n"/>
      <c r="AD32" s="633">
        <f>CCBASE!$I$34*2</f>
        <v/>
      </c>
      <c r="AI32" s="635" t="n"/>
      <c r="AJ32" s="635" t="n"/>
    </row>
    <row r="33">
      <c r="A33" s="631" t="inlineStr">
        <is>
          <t>UVX</t>
        </is>
      </c>
      <c r="B33" s="631" t="n">
        <v>2000</v>
      </c>
      <c r="C33" s="631" t="n">
        <v>1750</v>
      </c>
      <c r="D33" s="631">
        <f>$A33&amp;B33&amp;C33</f>
        <v/>
      </c>
      <c r="E33" s="1040">
        <f>SUM(G33:AD33)</f>
        <v/>
      </c>
      <c r="F33" s="632" t="n">
        <v>16</v>
      </c>
      <c r="G33" s="633">
        <f>F33*CCBASE!$B$51</f>
        <v/>
      </c>
      <c r="H33" s="633">
        <f>CCBASE!$I$11*B33/1000</f>
        <v/>
      </c>
      <c r="I33" s="633" t="n"/>
      <c r="J33" s="633" t="n"/>
      <c r="K33" s="633" t="n"/>
      <c r="L33" s="638" t="n"/>
      <c r="M33" s="633">
        <f>CCBASE!$I$15*B33/1000</f>
        <v/>
      </c>
      <c r="N33" s="633" t="n"/>
      <c r="O33" s="633" t="n"/>
      <c r="P33" s="633">
        <f>CCBASE!$I$9</f>
        <v/>
      </c>
      <c r="Q33" s="633">
        <f>CCBASE!$I$51</f>
        <v/>
      </c>
      <c r="R33" s="633">
        <f>CCBASE!$I$4</f>
        <v/>
      </c>
      <c r="S33" s="633">
        <f>CCBASE!$I$8</f>
        <v/>
      </c>
      <c r="T33" s="632" t="n"/>
      <c r="U33" s="632" t="n"/>
      <c r="V33" s="632" t="n"/>
      <c r="W33" s="633">
        <f>CCBASE!$I$42*B33/1000</f>
        <v/>
      </c>
      <c r="X33" s="633" t="n"/>
      <c r="Y33" s="633" t="n"/>
      <c r="Z33" s="633" t="n"/>
      <c r="AA33" s="633" t="n"/>
      <c r="AB33" s="633" t="n"/>
      <c r="AC33" s="633" t="n"/>
      <c r="AD33" s="633">
        <f>CCBASE!$I$34*2</f>
        <v/>
      </c>
      <c r="AI33" s="635" t="n"/>
      <c r="AJ33" s="635" t="n"/>
    </row>
    <row r="34">
      <c r="A34" s="631" t="inlineStr">
        <is>
          <t>UVX</t>
        </is>
      </c>
      <c r="B34" s="631" t="n">
        <v>2250</v>
      </c>
      <c r="C34" s="631" t="n">
        <v>1750</v>
      </c>
      <c r="D34" s="631">
        <f>$A34&amp;B34&amp;C34</f>
        <v/>
      </c>
      <c r="E34" s="1040">
        <f>SUM(G34:AD34)</f>
        <v/>
      </c>
      <c r="F34" s="632" t="n">
        <v>18</v>
      </c>
      <c r="G34" s="633">
        <f>F34*CCBASE!$B$51</f>
        <v/>
      </c>
      <c r="H34" s="633">
        <f>CCBASE!$I$11*B34/1000</f>
        <v/>
      </c>
      <c r="I34" s="633" t="n"/>
      <c r="J34" s="633" t="n"/>
      <c r="K34" s="633" t="n"/>
      <c r="L34" s="638" t="n"/>
      <c r="M34" s="633">
        <f>CCBASE!$I$15*B34/1000</f>
        <v/>
      </c>
      <c r="N34" s="633" t="n"/>
      <c r="O34" s="633" t="n"/>
      <c r="P34" s="633">
        <f>CCBASE!$I$9</f>
        <v/>
      </c>
      <c r="Q34" s="633">
        <f>CCBASE!$I$51</f>
        <v/>
      </c>
      <c r="R34" s="633">
        <f>CCBASE!$I$4</f>
        <v/>
      </c>
      <c r="S34" s="633">
        <f>CCBASE!$I$8</f>
        <v/>
      </c>
      <c r="T34" s="632" t="n"/>
      <c r="U34" s="632" t="n"/>
      <c r="V34" s="632" t="n"/>
      <c r="W34" s="633">
        <f>CCBASE!$I$42*B34/1000</f>
        <v/>
      </c>
      <c r="X34" s="633" t="n"/>
      <c r="Y34" s="633" t="n"/>
      <c r="Z34" s="633" t="n"/>
      <c r="AA34" s="633" t="n"/>
      <c r="AB34" s="633" t="n"/>
      <c r="AC34" s="633" t="n"/>
      <c r="AD34" s="633">
        <f>CCBASE!$I$34*2</f>
        <v/>
      </c>
      <c r="AI34" s="635" t="n"/>
      <c r="AJ34" s="635" t="n"/>
      <c r="AR34" s="636" t="n"/>
      <c r="AS34" s="636" t="n"/>
    </row>
    <row r="35">
      <c r="A35" s="631" t="inlineStr">
        <is>
          <t>UVX</t>
        </is>
      </c>
      <c r="B35" s="631" t="n">
        <v>2500</v>
      </c>
      <c r="C35" s="631" t="n">
        <v>1750</v>
      </c>
      <c r="D35" s="631">
        <f>$A35&amp;B35&amp;C35</f>
        <v/>
      </c>
      <c r="E35" s="1040">
        <f>SUM(G35:AD35)</f>
        <v/>
      </c>
      <c r="F35" s="632" t="n">
        <v>18</v>
      </c>
      <c r="G35" s="633">
        <f>F35*CCBASE!$B$51</f>
        <v/>
      </c>
      <c r="H35" s="633">
        <f>CCBASE!$I$11*B35/1000</f>
        <v/>
      </c>
      <c r="I35" s="633" t="n"/>
      <c r="J35" s="633" t="n"/>
      <c r="K35" s="633" t="n"/>
      <c r="L35" s="638" t="n"/>
      <c r="M35" s="633">
        <f>CCBASE!$I$15*B35/1000</f>
        <v/>
      </c>
      <c r="N35" s="633" t="n"/>
      <c r="O35" s="633" t="n"/>
      <c r="P35" s="633">
        <f>CCBASE!$I$9</f>
        <v/>
      </c>
      <c r="Q35" s="633">
        <f>CCBASE!$I$51</f>
        <v/>
      </c>
      <c r="R35" s="633">
        <f>CCBASE!$I$4</f>
        <v/>
      </c>
      <c r="S35" s="633">
        <f>CCBASE!$I$8</f>
        <v/>
      </c>
      <c r="T35" s="632" t="n"/>
      <c r="U35" s="632" t="n"/>
      <c r="V35" s="632" t="n"/>
      <c r="W35" s="633">
        <f>CCBASE!$I$42*B35/1000</f>
        <v/>
      </c>
      <c r="X35" s="633" t="n"/>
      <c r="Y35" s="633" t="n"/>
      <c r="Z35" s="633" t="n"/>
      <c r="AA35" s="633" t="n"/>
      <c r="AB35" s="633" t="n"/>
      <c r="AC35" s="633" t="n"/>
      <c r="AD35" s="633">
        <f>CCBASE!$I$34*2</f>
        <v/>
      </c>
      <c r="AI35" s="635" t="n"/>
      <c r="AJ35" s="635" t="n"/>
      <c r="AR35" s="636" t="n"/>
      <c r="AS35" s="636" t="n"/>
    </row>
    <row r="36">
      <c r="A36" s="631" t="inlineStr">
        <is>
          <t>UVX</t>
        </is>
      </c>
      <c r="B36" s="631" t="n">
        <v>2750</v>
      </c>
      <c r="C36" s="631" t="n">
        <v>1750</v>
      </c>
      <c r="D36" s="631">
        <f>$A36&amp;B36&amp;C36</f>
        <v/>
      </c>
      <c r="E36" s="1040">
        <f>SUM(G36:AD36)</f>
        <v/>
      </c>
      <c r="F36" s="632" t="n">
        <v>18</v>
      </c>
      <c r="G36" s="633">
        <f>F36*CCBASE!$B$51</f>
        <v/>
      </c>
      <c r="H36" s="633">
        <f>CCBASE!$I$11*B36/1000</f>
        <v/>
      </c>
      <c r="I36" s="633" t="n"/>
      <c r="J36" s="633" t="n"/>
      <c r="K36" s="633" t="n"/>
      <c r="L36" s="638" t="n"/>
      <c r="M36" s="633">
        <f>CCBASE!$I$15*B36/1000</f>
        <v/>
      </c>
      <c r="N36" s="633" t="n"/>
      <c r="O36" s="633" t="n"/>
      <c r="P36" s="633">
        <f>CCBASE!$I$9</f>
        <v/>
      </c>
      <c r="Q36" s="633">
        <f>CCBASE!$I$51</f>
        <v/>
      </c>
      <c r="R36" s="633">
        <f>CCBASE!$I$4</f>
        <v/>
      </c>
      <c r="S36" s="633">
        <f>CCBASE!$I$8</f>
        <v/>
      </c>
      <c r="T36" s="632" t="n"/>
      <c r="U36" s="632" t="n"/>
      <c r="V36" s="632" t="n"/>
      <c r="W36" s="633">
        <f>CCBASE!$I$42*B36/1000</f>
        <v/>
      </c>
      <c r="X36" s="633" t="n"/>
      <c r="Y36" s="633" t="n"/>
      <c r="Z36" s="633" t="n"/>
      <c r="AA36" s="633" t="n"/>
      <c r="AB36" s="633" t="n"/>
      <c r="AC36" s="633" t="n"/>
      <c r="AD36" s="633">
        <f>CCBASE!$I$34*2</f>
        <v/>
      </c>
      <c r="AI36" s="635" t="n"/>
      <c r="AJ36" s="635" t="n"/>
      <c r="AK36" s="636" t="n"/>
      <c r="AL36" s="636" t="n"/>
      <c r="AM36" s="636" t="n"/>
      <c r="AN36" s="636" t="n"/>
      <c r="AO36" s="636" t="n"/>
      <c r="AP36" s="636" t="n"/>
      <c r="AQ36" s="636" t="n"/>
      <c r="AR36" s="636" t="n"/>
      <c r="AS36" s="636" t="n"/>
    </row>
    <row r="37">
      <c r="A37" s="631" t="inlineStr">
        <is>
          <t>UVX</t>
        </is>
      </c>
      <c r="B37" s="631" t="n">
        <v>3000</v>
      </c>
      <c r="C37" s="631" t="n">
        <v>1750</v>
      </c>
      <c r="D37" s="631">
        <f>$A37&amp;B37&amp;C37</f>
        <v/>
      </c>
      <c r="E37" s="1040">
        <f>SUM(G37:AD37)</f>
        <v/>
      </c>
      <c r="F37" s="632" t="n">
        <v>18</v>
      </c>
      <c r="G37" s="633">
        <f>F37*CCBASE!$B$51</f>
        <v/>
      </c>
      <c r="H37" s="633">
        <f>CCBASE!$I$11*B37/1000</f>
        <v/>
      </c>
      <c r="I37" s="633" t="n"/>
      <c r="J37" s="633" t="n"/>
      <c r="K37" s="633" t="n"/>
      <c r="L37" s="638" t="n"/>
      <c r="M37" s="633">
        <f>CCBASE!$I$15*B37/1000</f>
        <v/>
      </c>
      <c r="N37" s="633" t="n"/>
      <c r="O37" s="633" t="n"/>
      <c r="P37" s="633">
        <f>CCBASE!$I$9</f>
        <v/>
      </c>
      <c r="Q37" s="633">
        <f>CCBASE!$I$51</f>
        <v/>
      </c>
      <c r="R37" s="633">
        <f>CCBASE!$I$4</f>
        <v/>
      </c>
      <c r="S37" s="633">
        <f>CCBASE!$I$8</f>
        <v/>
      </c>
      <c r="T37" s="632" t="n"/>
      <c r="U37" s="632" t="n"/>
      <c r="V37" s="632" t="n"/>
      <c r="W37" s="633">
        <f>CCBASE!$I$42*B37/1000</f>
        <v/>
      </c>
      <c r="X37" s="633" t="n"/>
      <c r="Y37" s="633" t="n"/>
      <c r="Z37" s="633" t="n"/>
      <c r="AA37" s="633" t="n"/>
      <c r="AB37" s="633" t="n"/>
      <c r="AC37" s="633" t="n"/>
      <c r="AD37" s="633">
        <f>CCBASE!$I$34*2</f>
        <v/>
      </c>
      <c r="AI37" s="635" t="n"/>
      <c r="AJ37" s="635" t="n"/>
      <c r="AK37" s="636" t="n"/>
      <c r="AL37" s="636" t="n"/>
      <c r="AM37" s="636" t="n"/>
      <c r="AN37" s="636" t="n"/>
      <c r="AO37" s="636" t="n"/>
      <c r="AP37" s="636" t="n"/>
      <c r="AQ37" s="636" t="n"/>
      <c r="AR37" s="636" t="n"/>
      <c r="AS37" s="636" t="n"/>
    </row>
    <row r="38">
      <c r="A38" s="631" t="inlineStr">
        <is>
          <t>UVX</t>
        </is>
      </c>
      <c r="B38" s="631" t="n">
        <v>1000</v>
      </c>
      <c r="C38" s="631" t="n">
        <v>2000</v>
      </c>
      <c r="D38" s="631">
        <f>$A38&amp;B38&amp;C38</f>
        <v/>
      </c>
      <c r="E38" s="1040">
        <f>SUM(G38:AD38)</f>
        <v/>
      </c>
      <c r="F38" s="632" t="n">
        <v>16</v>
      </c>
      <c r="G38" s="633">
        <f>F38*CCBASE!$B$51</f>
        <v/>
      </c>
      <c r="H38" s="633">
        <f>CCBASE!$I$11*B38/1000</f>
        <v/>
      </c>
      <c r="I38" s="633" t="n"/>
      <c r="J38" s="633" t="n"/>
      <c r="K38" s="633" t="n"/>
      <c r="L38" s="638" t="n"/>
      <c r="M38" s="633">
        <f>CCBASE!$I$15*B38/1000</f>
        <v/>
      </c>
      <c r="N38" s="633" t="n"/>
      <c r="O38" s="633" t="n"/>
      <c r="P38" s="633">
        <f>CCBASE!$I$10</f>
        <v/>
      </c>
      <c r="Q38" s="633">
        <f>CCBASE!$I$51</f>
        <v/>
      </c>
      <c r="R38" s="633">
        <f>CCBASE!$I$4</f>
        <v/>
      </c>
      <c r="S38" s="633">
        <f>CCBASE!$I$8</f>
        <v/>
      </c>
      <c r="T38" s="632" t="n"/>
      <c r="U38" s="632" t="n"/>
      <c r="V38" s="632" t="n"/>
      <c r="W38" s="633">
        <f>CCBASE!$I$43*B38/1000</f>
        <v/>
      </c>
      <c r="X38" s="633" t="n"/>
      <c r="Y38" s="633" t="n"/>
      <c r="Z38" s="633" t="n"/>
      <c r="AA38" s="633" t="n"/>
      <c r="AB38" s="633" t="n"/>
      <c r="AC38" s="633" t="n"/>
      <c r="AD38" s="633">
        <f>CCBASE!$I$35*2</f>
        <v/>
      </c>
      <c r="AI38" s="635" t="n"/>
      <c r="AJ38" s="635" t="n"/>
      <c r="AK38" s="636" t="n"/>
      <c r="AL38" s="636" t="n"/>
      <c r="AM38" s="636" t="n"/>
      <c r="AN38" s="636" t="n"/>
      <c r="AO38" s="636" t="n"/>
      <c r="AP38" s="636" t="n"/>
      <c r="AQ38" s="636" t="n"/>
      <c r="AR38" s="636" t="n"/>
      <c r="AS38" s="636" t="n"/>
    </row>
    <row r="39">
      <c r="A39" s="631" t="inlineStr">
        <is>
          <t>UVX</t>
        </is>
      </c>
      <c r="B39" s="631" t="n">
        <v>1250</v>
      </c>
      <c r="C39" s="631" t="n">
        <v>2000</v>
      </c>
      <c r="D39" s="631">
        <f>$A39&amp;B39&amp;C39</f>
        <v/>
      </c>
      <c r="E39" s="1040">
        <f>SUM(G39:AD39)</f>
        <v/>
      </c>
      <c r="F39" s="632" t="n">
        <v>16</v>
      </c>
      <c r="G39" s="633">
        <f>F39*CCBASE!$B$51</f>
        <v/>
      </c>
      <c r="H39" s="633">
        <f>CCBASE!$I$11*B39/1000</f>
        <v/>
      </c>
      <c r="I39" s="633" t="n"/>
      <c r="J39" s="633" t="n"/>
      <c r="K39" s="633" t="n"/>
      <c r="L39" s="638" t="n"/>
      <c r="M39" s="633">
        <f>CCBASE!$I$15*B39/1000</f>
        <v/>
      </c>
      <c r="N39" s="633" t="n"/>
      <c r="O39" s="633" t="n"/>
      <c r="P39" s="633">
        <f>CCBASE!$I$10</f>
        <v/>
      </c>
      <c r="Q39" s="633">
        <f>CCBASE!$I$51</f>
        <v/>
      </c>
      <c r="R39" s="633">
        <f>CCBASE!$I$4</f>
        <v/>
      </c>
      <c r="S39" s="633">
        <f>CCBASE!$I$8</f>
        <v/>
      </c>
      <c r="T39" s="632" t="n"/>
      <c r="U39" s="632" t="n"/>
      <c r="V39" s="632" t="n"/>
      <c r="W39" s="633">
        <f>CCBASE!$I$43*B39/1000</f>
        <v/>
      </c>
      <c r="X39" s="633" t="n"/>
      <c r="Y39" s="633" t="n"/>
      <c r="Z39" s="633" t="n"/>
      <c r="AA39" s="633" t="n"/>
      <c r="AB39" s="633" t="n"/>
      <c r="AC39" s="633" t="n"/>
      <c r="AD39" s="633">
        <f>CCBASE!$I$35*2</f>
        <v/>
      </c>
      <c r="AI39" s="635" t="n"/>
      <c r="AJ39" s="635" t="n"/>
      <c r="AK39" s="636" t="n"/>
      <c r="AL39" s="636" t="n"/>
      <c r="AM39" s="636" t="n"/>
      <c r="AN39" s="636" t="n"/>
      <c r="AO39" s="636" t="n"/>
      <c r="AP39" s="636" t="n"/>
      <c r="AQ39" s="636" t="n"/>
      <c r="AR39" s="636" t="n"/>
      <c r="AS39" s="636" t="n"/>
    </row>
    <row r="40">
      <c r="A40" s="631" t="inlineStr">
        <is>
          <t>UVX</t>
        </is>
      </c>
      <c r="B40" s="631" t="n">
        <v>1500</v>
      </c>
      <c r="C40" s="631" t="n">
        <v>2000</v>
      </c>
      <c r="D40" s="631">
        <f>$A40&amp;B40&amp;C40</f>
        <v/>
      </c>
      <c r="E40" s="1040">
        <f>SUM(G40:AD40)</f>
        <v/>
      </c>
      <c r="F40" s="632" t="n">
        <v>16</v>
      </c>
      <c r="G40" s="633">
        <f>F40*CCBASE!$B$51</f>
        <v/>
      </c>
      <c r="H40" s="633">
        <f>CCBASE!$I$11*B40/1000</f>
        <v/>
      </c>
      <c r="I40" s="633" t="n"/>
      <c r="J40" s="633" t="n"/>
      <c r="K40" s="633" t="n"/>
      <c r="L40" s="638" t="n"/>
      <c r="M40" s="633">
        <f>CCBASE!$I$15*B40/1000</f>
        <v/>
      </c>
      <c r="N40" s="633" t="n"/>
      <c r="O40" s="633" t="n"/>
      <c r="P40" s="633">
        <f>CCBASE!$I$10</f>
        <v/>
      </c>
      <c r="Q40" s="633">
        <f>CCBASE!$I$51</f>
        <v/>
      </c>
      <c r="R40" s="633">
        <f>CCBASE!$I$4</f>
        <v/>
      </c>
      <c r="S40" s="633">
        <f>CCBASE!$I$8</f>
        <v/>
      </c>
      <c r="T40" s="632" t="n"/>
      <c r="U40" s="632" t="n"/>
      <c r="V40" s="632" t="n"/>
      <c r="W40" s="633">
        <f>CCBASE!$I$43*B40/1000</f>
        <v/>
      </c>
      <c r="X40" s="633" t="n"/>
      <c r="Y40" s="633" t="n"/>
      <c r="Z40" s="633" t="n"/>
      <c r="AA40" s="633" t="n"/>
      <c r="AB40" s="633" t="n"/>
      <c r="AC40" s="633" t="n"/>
      <c r="AD40" s="633">
        <f>CCBASE!$I$35*2</f>
        <v/>
      </c>
      <c r="AI40" s="635" t="n"/>
      <c r="AJ40" s="635" t="n"/>
      <c r="AK40" s="636" t="n"/>
      <c r="AL40" s="636" t="n"/>
      <c r="AM40" s="636" t="n"/>
      <c r="AN40" s="636" t="n"/>
      <c r="AO40" s="636" t="n"/>
      <c r="AP40" s="636" t="n"/>
      <c r="AQ40" s="636" t="n"/>
      <c r="AR40" s="636" t="n"/>
      <c r="AS40" s="636" t="n"/>
    </row>
    <row r="41">
      <c r="A41" s="631" t="inlineStr">
        <is>
          <t>UVX</t>
        </is>
      </c>
      <c r="B41" s="631" t="n">
        <v>1750</v>
      </c>
      <c r="C41" s="631" t="n">
        <v>2000</v>
      </c>
      <c r="D41" s="631">
        <f>$A41&amp;B41&amp;C41</f>
        <v/>
      </c>
      <c r="E41" s="1040">
        <f>SUM(G41:AD41)</f>
        <v/>
      </c>
      <c r="F41" s="632" t="n">
        <v>16</v>
      </c>
      <c r="G41" s="633">
        <f>F41*CCBASE!$B$51</f>
        <v/>
      </c>
      <c r="H41" s="633">
        <f>CCBASE!$I$11*B41/1000</f>
        <v/>
      </c>
      <c r="I41" s="633" t="n"/>
      <c r="J41" s="633" t="n"/>
      <c r="K41" s="633" t="n"/>
      <c r="L41" s="638" t="n"/>
      <c r="M41" s="633">
        <f>CCBASE!$I$15*B41/1000</f>
        <v/>
      </c>
      <c r="N41" s="633" t="n"/>
      <c r="O41" s="633" t="n"/>
      <c r="P41" s="633">
        <f>CCBASE!$I$10</f>
        <v/>
      </c>
      <c r="Q41" s="633">
        <f>CCBASE!$I$51</f>
        <v/>
      </c>
      <c r="R41" s="633">
        <f>CCBASE!$I$4</f>
        <v/>
      </c>
      <c r="S41" s="633">
        <f>CCBASE!$I$8</f>
        <v/>
      </c>
      <c r="T41" s="632" t="n"/>
      <c r="U41" s="632" t="n"/>
      <c r="V41" s="632" t="n"/>
      <c r="W41" s="633">
        <f>CCBASE!$I$43*B41/1000</f>
        <v/>
      </c>
      <c r="X41" s="633" t="n"/>
      <c r="Y41" s="633" t="n"/>
      <c r="Z41" s="633" t="n"/>
      <c r="AA41" s="633" t="n"/>
      <c r="AB41" s="633" t="n"/>
      <c r="AC41" s="633" t="n"/>
      <c r="AD41" s="633">
        <f>CCBASE!$I$35*2</f>
        <v/>
      </c>
      <c r="AI41" s="635" t="n"/>
      <c r="AJ41" s="635" t="n"/>
      <c r="AK41" s="636" t="n"/>
      <c r="AL41" s="636" t="n"/>
      <c r="AM41" s="636" t="n"/>
      <c r="AN41" s="636" t="n"/>
      <c r="AO41" s="636" t="n"/>
      <c r="AP41" s="636" t="n"/>
      <c r="AQ41" s="636" t="n"/>
      <c r="AR41" s="636" t="n"/>
      <c r="AS41" s="636" t="n"/>
    </row>
    <row r="42">
      <c r="A42" s="631" t="inlineStr">
        <is>
          <t>UVX</t>
        </is>
      </c>
      <c r="B42" s="631" t="n">
        <v>2000</v>
      </c>
      <c r="C42" s="631" t="n">
        <v>2000</v>
      </c>
      <c r="D42" s="631">
        <f>$A42&amp;B42&amp;C42</f>
        <v/>
      </c>
      <c r="E42" s="1040">
        <f>SUM(G42:AD42)</f>
        <v/>
      </c>
      <c r="F42" s="632" t="n">
        <v>16</v>
      </c>
      <c r="G42" s="633">
        <f>F42*CCBASE!$B$51</f>
        <v/>
      </c>
      <c r="H42" s="633">
        <f>CCBASE!$I$11*B42/1000</f>
        <v/>
      </c>
      <c r="I42" s="633" t="n"/>
      <c r="J42" s="633" t="n"/>
      <c r="K42" s="633" t="n"/>
      <c r="L42" s="638" t="n"/>
      <c r="M42" s="633">
        <f>CCBASE!$I$15*B42/1000</f>
        <v/>
      </c>
      <c r="N42" s="633" t="n"/>
      <c r="O42" s="633" t="n"/>
      <c r="P42" s="633">
        <f>CCBASE!$I$9</f>
        <v/>
      </c>
      <c r="Q42" s="633">
        <f>CCBASE!$I$51</f>
        <v/>
      </c>
      <c r="R42" s="633">
        <f>CCBASE!$I$4</f>
        <v/>
      </c>
      <c r="S42" s="633">
        <f>CCBASE!$I$8</f>
        <v/>
      </c>
      <c r="T42" s="632" t="n"/>
      <c r="U42" s="632" t="n"/>
      <c r="V42" s="632" t="n"/>
      <c r="W42" s="633">
        <f>CCBASE!$I$43*B42/1000</f>
        <v/>
      </c>
      <c r="X42" s="633" t="n"/>
      <c r="Y42" s="633" t="n"/>
      <c r="Z42" s="633" t="n"/>
      <c r="AA42" s="633" t="n"/>
      <c r="AB42" s="633" t="n"/>
      <c r="AC42" s="633" t="n"/>
      <c r="AD42" s="633">
        <f>CCBASE!$I$35*2</f>
        <v/>
      </c>
      <c r="AI42" s="635" t="n"/>
      <c r="AJ42" s="635" t="n"/>
    </row>
    <row r="43">
      <c r="A43" s="631" t="inlineStr">
        <is>
          <t>UVX</t>
        </is>
      </c>
      <c r="B43" s="631" t="n">
        <v>2250</v>
      </c>
      <c r="C43" s="631" t="n">
        <v>2000</v>
      </c>
      <c r="D43" s="631">
        <f>$A43&amp;B43&amp;C43</f>
        <v/>
      </c>
      <c r="E43" s="1040">
        <f>SUM(G43:AD43)</f>
        <v/>
      </c>
      <c r="F43" s="632" t="n">
        <v>18</v>
      </c>
      <c r="G43" s="633">
        <f>F43*CCBASE!$B$51</f>
        <v/>
      </c>
      <c r="H43" s="633">
        <f>CCBASE!$I$11*B43/1000</f>
        <v/>
      </c>
      <c r="I43" s="633" t="n"/>
      <c r="J43" s="633" t="n"/>
      <c r="K43" s="633" t="n"/>
      <c r="L43" s="638" t="n"/>
      <c r="M43" s="633">
        <f>CCBASE!$I$15*B43/1000</f>
        <v/>
      </c>
      <c r="N43" s="633" t="n"/>
      <c r="O43" s="633" t="n"/>
      <c r="P43" s="633">
        <f>CCBASE!$I$9</f>
        <v/>
      </c>
      <c r="Q43" s="633">
        <f>CCBASE!$I$51</f>
        <v/>
      </c>
      <c r="R43" s="633">
        <f>CCBASE!$I$4</f>
        <v/>
      </c>
      <c r="S43" s="633">
        <f>CCBASE!$I$8</f>
        <v/>
      </c>
      <c r="T43" s="632" t="n"/>
      <c r="U43" s="632" t="n"/>
      <c r="V43" s="632" t="n"/>
      <c r="W43" s="633">
        <f>CCBASE!$I$43*B43/1000</f>
        <v/>
      </c>
      <c r="X43" s="633" t="n"/>
      <c r="Y43" s="633" t="n"/>
      <c r="Z43" s="633" t="n"/>
      <c r="AA43" s="633" t="n"/>
      <c r="AB43" s="633" t="n"/>
      <c r="AC43" s="633" t="n"/>
      <c r="AD43" s="633">
        <f>CCBASE!$I$35*2</f>
        <v/>
      </c>
      <c r="AI43" s="635" t="n"/>
      <c r="AJ43" s="635" t="n"/>
      <c r="AR43" s="636" t="n"/>
      <c r="AS43" s="636" t="n"/>
    </row>
    <row r="44">
      <c r="A44" s="631" t="inlineStr">
        <is>
          <t>UVX</t>
        </is>
      </c>
      <c r="B44" s="631" t="n">
        <v>2500</v>
      </c>
      <c r="C44" s="631" t="n">
        <v>2000</v>
      </c>
      <c r="D44" s="631">
        <f>$A44&amp;B44&amp;C44</f>
        <v/>
      </c>
      <c r="E44" s="1040">
        <f>SUM(G44:AD44)</f>
        <v/>
      </c>
      <c r="F44" s="632" t="n">
        <v>18</v>
      </c>
      <c r="G44" s="633">
        <f>F44*CCBASE!$B$51</f>
        <v/>
      </c>
      <c r="H44" s="633">
        <f>CCBASE!$I$11*B44/1000</f>
        <v/>
      </c>
      <c r="I44" s="633" t="n"/>
      <c r="J44" s="633" t="n"/>
      <c r="K44" s="633" t="n"/>
      <c r="L44" s="638" t="n"/>
      <c r="M44" s="633">
        <f>CCBASE!$I$15*B44/1000</f>
        <v/>
      </c>
      <c r="N44" s="633" t="n"/>
      <c r="O44" s="633" t="n"/>
      <c r="P44" s="633">
        <f>CCBASE!$I$9</f>
        <v/>
      </c>
      <c r="Q44" s="633">
        <f>CCBASE!$I$51</f>
        <v/>
      </c>
      <c r="R44" s="633">
        <f>CCBASE!$I$4</f>
        <v/>
      </c>
      <c r="S44" s="633">
        <f>CCBASE!$I$8</f>
        <v/>
      </c>
      <c r="T44" s="632" t="n"/>
      <c r="U44" s="632" t="n"/>
      <c r="V44" s="632" t="n"/>
      <c r="W44" s="633">
        <f>CCBASE!$I$43*B44/1000</f>
        <v/>
      </c>
      <c r="X44" s="633" t="n"/>
      <c r="Y44" s="633" t="n"/>
      <c r="Z44" s="633" t="n"/>
      <c r="AA44" s="633" t="n"/>
      <c r="AB44" s="633" t="n"/>
      <c r="AC44" s="633" t="n"/>
      <c r="AD44" s="633">
        <f>CCBASE!$I$35*2</f>
        <v/>
      </c>
      <c r="AI44" s="635" t="n"/>
      <c r="AJ44" s="635" t="n"/>
      <c r="AR44" s="636" t="n"/>
      <c r="AS44" s="636" t="n"/>
    </row>
    <row r="45">
      <c r="A45" s="631" t="inlineStr">
        <is>
          <t>UVX</t>
        </is>
      </c>
      <c r="B45" s="631" t="n">
        <v>2750</v>
      </c>
      <c r="C45" s="631" t="n">
        <v>2000</v>
      </c>
      <c r="D45" s="631">
        <f>$A45&amp;B45&amp;C45</f>
        <v/>
      </c>
      <c r="E45" s="1040">
        <f>SUM(G45:AD45)</f>
        <v/>
      </c>
      <c r="F45" s="632" t="n">
        <v>18</v>
      </c>
      <c r="G45" s="633">
        <f>F45*CCBASE!$B$51</f>
        <v/>
      </c>
      <c r="H45" s="633">
        <f>CCBASE!$I$11*B45/1000</f>
        <v/>
      </c>
      <c r="I45" s="633" t="n"/>
      <c r="J45" s="633" t="n"/>
      <c r="K45" s="633" t="n"/>
      <c r="L45" s="638" t="n"/>
      <c r="M45" s="633">
        <f>CCBASE!$I$15*B45/1000</f>
        <v/>
      </c>
      <c r="N45" s="633" t="n"/>
      <c r="O45" s="633" t="n"/>
      <c r="P45" s="633">
        <f>CCBASE!$I$9</f>
        <v/>
      </c>
      <c r="Q45" s="633">
        <f>CCBASE!$I$51</f>
        <v/>
      </c>
      <c r="R45" s="633">
        <f>CCBASE!$I$4</f>
        <v/>
      </c>
      <c r="S45" s="633">
        <f>CCBASE!$I$8</f>
        <v/>
      </c>
      <c r="T45" s="632" t="n"/>
      <c r="U45" s="632" t="n"/>
      <c r="V45" s="632" t="n"/>
      <c r="W45" s="633">
        <f>CCBASE!$I$43*B45/1000</f>
        <v/>
      </c>
      <c r="X45" s="633" t="n"/>
      <c r="Y45" s="633" t="n"/>
      <c r="Z45" s="633" t="n"/>
      <c r="AA45" s="633" t="n"/>
      <c r="AB45" s="633" t="n"/>
      <c r="AC45" s="633" t="n"/>
      <c r="AD45" s="633">
        <f>CCBASE!$I$35*2</f>
        <v/>
      </c>
      <c r="AI45" s="635" t="n"/>
      <c r="AJ45" s="635" t="n"/>
      <c r="AK45" s="636" t="n"/>
      <c r="AL45" s="636" t="n"/>
      <c r="AM45" s="636" t="n"/>
      <c r="AN45" s="636" t="n"/>
      <c r="AO45" s="636" t="n"/>
      <c r="AP45" s="636" t="n"/>
      <c r="AQ45" s="636" t="n"/>
      <c r="AR45" s="636" t="n"/>
      <c r="AS45" s="636" t="n"/>
    </row>
    <row r="46">
      <c r="A46" s="631" t="inlineStr">
        <is>
          <t>UVX</t>
        </is>
      </c>
      <c r="B46" s="631" t="n">
        <v>3000</v>
      </c>
      <c r="C46" s="631" t="n">
        <v>2000</v>
      </c>
      <c r="D46" s="631">
        <f>$A46&amp;B46&amp;C46</f>
        <v/>
      </c>
      <c r="E46" s="1040">
        <f>SUM(G46:AD46)</f>
        <v/>
      </c>
      <c r="F46" s="632" t="n">
        <v>18</v>
      </c>
      <c r="G46" s="633">
        <f>F46*CCBASE!$B$51</f>
        <v/>
      </c>
      <c r="H46" s="633">
        <f>CCBASE!$I$11*B46/1000</f>
        <v/>
      </c>
      <c r="I46" s="633" t="n"/>
      <c r="J46" s="633" t="n"/>
      <c r="K46" s="633" t="n"/>
      <c r="L46" s="638" t="n"/>
      <c r="M46" s="633">
        <f>CCBASE!$I$15*B46/1000</f>
        <v/>
      </c>
      <c r="N46" s="633" t="n"/>
      <c r="O46" s="633" t="n"/>
      <c r="P46" s="633">
        <f>CCBASE!$I$9</f>
        <v/>
      </c>
      <c r="Q46" s="633">
        <f>CCBASE!$I$51</f>
        <v/>
      </c>
      <c r="R46" s="633">
        <f>CCBASE!$I$4</f>
        <v/>
      </c>
      <c r="S46" s="633">
        <f>CCBASE!$I$8</f>
        <v/>
      </c>
      <c r="T46" s="632" t="n"/>
      <c r="U46" s="632" t="n"/>
      <c r="V46" s="632" t="n"/>
      <c r="W46" s="633">
        <f>CCBASE!$I$43*B46/1000</f>
        <v/>
      </c>
      <c r="X46" s="633" t="n"/>
      <c r="Y46" s="633" t="n"/>
      <c r="Z46" s="633" t="n"/>
      <c r="AA46" s="633" t="n"/>
      <c r="AB46" s="633" t="n"/>
      <c r="AC46" s="633" t="n"/>
      <c r="AD46" s="633">
        <f>CCBASE!$I$35*2</f>
        <v/>
      </c>
      <c r="AI46" s="635" t="n"/>
      <c r="AJ46" s="635" t="n"/>
      <c r="AK46" s="636" t="n"/>
      <c r="AL46" s="636" t="n"/>
      <c r="AM46" s="636" t="n"/>
      <c r="AN46" s="636" t="n"/>
      <c r="AO46" s="636" t="n"/>
      <c r="AP46" s="636" t="n"/>
      <c r="AQ46" s="636" t="n"/>
      <c r="AR46" s="636" t="n"/>
      <c r="AS46" s="636" t="n"/>
    </row>
    <row r="47">
      <c r="A47" s="631" t="inlineStr">
        <is>
          <t>UVI</t>
        </is>
      </c>
      <c r="B47" s="631" t="n">
        <v>1000</v>
      </c>
      <c r="C47" s="631" t="n">
        <v>1000</v>
      </c>
      <c r="D47" s="631">
        <f>A47&amp;B47&amp;C47</f>
        <v/>
      </c>
      <c r="E47" s="1040">
        <f>SUM(G47:AD47)</f>
        <v/>
      </c>
      <c r="F47" s="632" t="n">
        <v>19</v>
      </c>
      <c r="G47" s="633">
        <f>F47*CCBASE!$B$51</f>
        <v/>
      </c>
      <c r="H47" s="633">
        <f>CCBASE!$I$11*B47/1000</f>
        <v/>
      </c>
      <c r="I47" s="633" t="n"/>
      <c r="J47" s="633" t="n"/>
      <c r="K47" s="633" t="n"/>
      <c r="L47" s="633">
        <f>CCBASE!$I$14*B47/1000</f>
        <v/>
      </c>
      <c r="M47" s="633" t="n"/>
      <c r="N47" s="633" t="n"/>
      <c r="O47" s="633">
        <f>CCBASE!$I$45*B47/1000</f>
        <v/>
      </c>
      <c r="P47" s="633">
        <f>CCBASE!$I$10</f>
        <v/>
      </c>
      <c r="Q47" s="633">
        <f>CCBASE!$H$51</f>
        <v/>
      </c>
      <c r="R47" s="633">
        <f>CCBASE!$I$4</f>
        <v/>
      </c>
      <c r="S47" s="633">
        <f>CCBASE!$I$8</f>
        <v/>
      </c>
      <c r="T47" s="633">
        <f>CCBASE!$I$44</f>
        <v/>
      </c>
      <c r="U47" s="633" t="n"/>
      <c r="V47" s="633" t="n"/>
      <c r="W47" s="633">
        <f>CCBASE!$I$40*B47/1000</f>
        <v/>
      </c>
      <c r="X47" s="633" t="n"/>
      <c r="Y47" s="633" t="n"/>
      <c r="Z47" s="633" t="n"/>
      <c r="AA47" s="633" t="n"/>
      <c r="AB47" s="633" t="n"/>
      <c r="AC47" s="633" t="n"/>
      <c r="AD47" s="633">
        <f>CCBASE!$I$36*2</f>
        <v/>
      </c>
      <c r="AI47" s="635" t="n"/>
      <c r="AJ47" s="635" t="n"/>
      <c r="AK47" s="636" t="n"/>
      <c r="AL47" s="636" t="n"/>
      <c r="AM47" s="636" t="n"/>
      <c r="AN47" s="636" t="n"/>
      <c r="AO47" s="636" t="n"/>
      <c r="AP47" s="636" t="n"/>
      <c r="AQ47" s="636" t="n"/>
      <c r="AR47" s="636" t="n"/>
      <c r="AS47" s="636" t="n"/>
    </row>
    <row r="48">
      <c r="A48" s="631" t="inlineStr">
        <is>
          <t>UVI</t>
        </is>
      </c>
      <c r="B48" s="631" t="n">
        <v>1250</v>
      </c>
      <c r="C48" s="631" t="n">
        <v>1000</v>
      </c>
      <c r="D48" s="631">
        <f>A48&amp;B48&amp;C48</f>
        <v/>
      </c>
      <c r="E48" s="1040">
        <f>SUM(G48:AD48)</f>
        <v/>
      </c>
      <c r="F48" s="632" t="n">
        <v>19</v>
      </c>
      <c r="G48" s="633">
        <f>F48*CCBASE!$B$51</f>
        <v/>
      </c>
      <c r="H48" s="633">
        <f>CCBASE!$I$11*B48/1000</f>
        <v/>
      </c>
      <c r="I48" s="633" t="n"/>
      <c r="J48" s="633" t="n"/>
      <c r="K48" s="633" t="n"/>
      <c r="L48" s="633">
        <f>CCBASE!$I$14*B48/1000</f>
        <v/>
      </c>
      <c r="M48" s="633" t="n"/>
      <c r="N48" s="633" t="n"/>
      <c r="O48" s="633">
        <f>CCBASE!$I$45*B48/1000</f>
        <v/>
      </c>
      <c r="P48" s="633">
        <f>CCBASE!$I$10</f>
        <v/>
      </c>
      <c r="Q48" s="633">
        <f>CCBASE!$H$51</f>
        <v/>
      </c>
      <c r="R48" s="633">
        <f>CCBASE!$I$4</f>
        <v/>
      </c>
      <c r="S48" s="633">
        <f>CCBASE!$I$8</f>
        <v/>
      </c>
      <c r="T48" s="633">
        <f>CCBASE!$I$44</f>
        <v/>
      </c>
      <c r="U48" s="633" t="n"/>
      <c r="V48" s="633" t="n"/>
      <c r="W48" s="633">
        <f>CCBASE!$I$40*B48/1000</f>
        <v/>
      </c>
      <c r="X48" s="633" t="n"/>
      <c r="Y48" s="633" t="n"/>
      <c r="Z48" s="633" t="n"/>
      <c r="AA48" s="633" t="n"/>
      <c r="AB48" s="633" t="n"/>
      <c r="AC48" s="633" t="n"/>
      <c r="AD48" s="633">
        <f>CCBASE!$I$36*2</f>
        <v/>
      </c>
      <c r="AJ48" s="639" t="n"/>
    </row>
    <row r="49">
      <c r="A49" s="631" t="inlineStr">
        <is>
          <t>UVI</t>
        </is>
      </c>
      <c r="B49" s="631" t="n">
        <v>1500</v>
      </c>
      <c r="C49" s="631" t="n">
        <v>1000</v>
      </c>
      <c r="D49" s="631">
        <f>A49&amp;B49&amp;C49</f>
        <v/>
      </c>
      <c r="E49" s="1040">
        <f>SUM(G49:AD49)</f>
        <v/>
      </c>
      <c r="F49" s="632" t="n">
        <v>19</v>
      </c>
      <c r="G49" s="633">
        <f>F49*CCBASE!$B$51</f>
        <v/>
      </c>
      <c r="H49" s="633">
        <f>CCBASE!$I$11*B49/1000</f>
        <v/>
      </c>
      <c r="I49" s="633" t="n"/>
      <c r="J49" s="633" t="n"/>
      <c r="K49" s="633" t="n"/>
      <c r="L49" s="633">
        <f>CCBASE!$I$14*B49/1000</f>
        <v/>
      </c>
      <c r="M49" s="633" t="n"/>
      <c r="N49" s="633" t="n"/>
      <c r="O49" s="633">
        <f>CCBASE!$I$45*B49/1000</f>
        <v/>
      </c>
      <c r="P49" s="633">
        <f>CCBASE!$I$10</f>
        <v/>
      </c>
      <c r="Q49" s="633">
        <f>CCBASE!$H$51</f>
        <v/>
      </c>
      <c r="R49" s="633">
        <f>CCBASE!$I$4</f>
        <v/>
      </c>
      <c r="S49" s="633">
        <f>CCBASE!$I$8</f>
        <v/>
      </c>
      <c r="T49" s="633">
        <f>CCBASE!$I$44</f>
        <v/>
      </c>
      <c r="U49" s="633" t="n"/>
      <c r="V49" s="633" t="n"/>
      <c r="W49" s="633">
        <f>CCBASE!$I$40*B49/1000</f>
        <v/>
      </c>
      <c r="X49" s="633" t="n"/>
      <c r="Y49" s="633" t="n"/>
      <c r="Z49" s="633" t="n"/>
      <c r="AA49" s="633" t="n"/>
      <c r="AB49" s="633" t="n"/>
      <c r="AC49" s="633" t="n"/>
      <c r="AD49" s="633">
        <f>CCBASE!$I$36*2</f>
        <v/>
      </c>
      <c r="AJ49" s="639" t="n"/>
    </row>
    <row r="50">
      <c r="A50" s="631" t="inlineStr">
        <is>
          <t>UVI</t>
        </is>
      </c>
      <c r="B50" s="631" t="n">
        <v>1750</v>
      </c>
      <c r="C50" s="631" t="n">
        <v>1000</v>
      </c>
      <c r="D50" s="631">
        <f>A50&amp;B50&amp;C50</f>
        <v/>
      </c>
      <c r="E50" s="1040">
        <f>SUM(G50:AD50)</f>
        <v/>
      </c>
      <c r="F50" s="632" t="n">
        <v>19</v>
      </c>
      <c r="G50" s="633">
        <f>F50*CCBASE!$B$51</f>
        <v/>
      </c>
      <c r="H50" s="633">
        <f>CCBASE!$I$11*B50/1000</f>
        <v/>
      </c>
      <c r="I50" s="633" t="n"/>
      <c r="J50" s="633" t="n"/>
      <c r="K50" s="633" t="n"/>
      <c r="L50" s="633">
        <f>CCBASE!$I$14*B50/1000</f>
        <v/>
      </c>
      <c r="M50" s="633" t="n"/>
      <c r="N50" s="633" t="n"/>
      <c r="O50" s="633">
        <f>CCBASE!$I$45*B50/1000</f>
        <v/>
      </c>
      <c r="P50" s="633">
        <f>CCBASE!$I$9</f>
        <v/>
      </c>
      <c r="Q50" s="633">
        <f>CCBASE!$H$51</f>
        <v/>
      </c>
      <c r="R50" s="633">
        <f>CCBASE!$I$4</f>
        <v/>
      </c>
      <c r="S50" s="633">
        <f>CCBASE!$I$8</f>
        <v/>
      </c>
      <c r="T50" s="633">
        <f>CCBASE!$I$44</f>
        <v/>
      </c>
      <c r="U50" s="633" t="n"/>
      <c r="V50" s="633" t="n"/>
      <c r="W50" s="633">
        <f>CCBASE!$I$40*B50/1000</f>
        <v/>
      </c>
      <c r="X50" s="633" t="n"/>
      <c r="Y50" s="633" t="n"/>
      <c r="Z50" s="633" t="n"/>
      <c r="AA50" s="633" t="n"/>
      <c r="AB50" s="633" t="n"/>
      <c r="AC50" s="633" t="n"/>
      <c r="AD50" s="633">
        <f>CCBASE!$I$36*2</f>
        <v/>
      </c>
    </row>
    <row r="51">
      <c r="A51" s="631" t="inlineStr">
        <is>
          <t>UVI</t>
        </is>
      </c>
      <c r="B51" s="631" t="n">
        <v>2000</v>
      </c>
      <c r="C51" s="631" t="n">
        <v>1000</v>
      </c>
      <c r="D51" s="631">
        <f>A51&amp;B51&amp;C51</f>
        <v/>
      </c>
      <c r="E51" s="1040">
        <f>SUM(G51:AD51)</f>
        <v/>
      </c>
      <c r="F51" s="632" t="n">
        <v>19</v>
      </c>
      <c r="G51" s="633">
        <f>F51*CCBASE!$B$51</f>
        <v/>
      </c>
      <c r="H51" s="633">
        <f>CCBASE!$I$11*B51/1000</f>
        <v/>
      </c>
      <c r="I51" s="633" t="n"/>
      <c r="J51" s="633" t="n"/>
      <c r="K51" s="633" t="n"/>
      <c r="L51" s="633">
        <f>CCBASE!$I$14*B51/1000</f>
        <v/>
      </c>
      <c r="M51" s="633" t="n"/>
      <c r="N51" s="633" t="n"/>
      <c r="O51" s="633">
        <f>CCBASE!$I$45*B51/1000</f>
        <v/>
      </c>
      <c r="P51" s="633">
        <f>CCBASE!$I$9</f>
        <v/>
      </c>
      <c r="Q51" s="633">
        <f>CCBASE!$H$51</f>
        <v/>
      </c>
      <c r="R51" s="633">
        <f>CCBASE!$I$4</f>
        <v/>
      </c>
      <c r="S51" s="633">
        <f>CCBASE!$I$8</f>
        <v/>
      </c>
      <c r="T51" s="633">
        <f>CCBASE!$I$44</f>
        <v/>
      </c>
      <c r="U51" s="633" t="n"/>
      <c r="V51" s="633" t="n"/>
      <c r="W51" s="633">
        <f>CCBASE!$I$40*B51/1000</f>
        <v/>
      </c>
      <c r="X51" s="633" t="n"/>
      <c r="Y51" s="633" t="n"/>
      <c r="Z51" s="633" t="n"/>
      <c r="AA51" s="633" t="n"/>
      <c r="AB51" s="633" t="n"/>
      <c r="AC51" s="633" t="n"/>
      <c r="AD51" s="633">
        <f>CCBASE!$I$36*2</f>
        <v/>
      </c>
    </row>
    <row r="52">
      <c r="A52" s="631" t="inlineStr">
        <is>
          <t>UVI</t>
        </is>
      </c>
      <c r="B52" s="631" t="n">
        <v>2250</v>
      </c>
      <c r="C52" s="631" t="n">
        <v>1000</v>
      </c>
      <c r="D52" s="631">
        <f>A52&amp;B52&amp;C52</f>
        <v/>
      </c>
      <c r="E52" s="1040">
        <f>SUM(G52:AD52)</f>
        <v/>
      </c>
      <c r="F52" s="632" t="n">
        <v>24</v>
      </c>
      <c r="G52" s="633">
        <f>F52*CCBASE!$B$51</f>
        <v/>
      </c>
      <c r="H52" s="633">
        <f>CCBASE!$I$11*B52/1000</f>
        <v/>
      </c>
      <c r="I52" s="633" t="n"/>
      <c r="J52" s="633" t="n"/>
      <c r="K52" s="633" t="n"/>
      <c r="L52" s="633">
        <f>CCBASE!$I$14*B52/1000</f>
        <v/>
      </c>
      <c r="M52" s="633" t="n"/>
      <c r="N52" s="633" t="n"/>
      <c r="O52" s="633">
        <f>CCBASE!$I$45*B52/1000</f>
        <v/>
      </c>
      <c r="P52" s="633">
        <f>CCBASE!$I$9</f>
        <v/>
      </c>
      <c r="Q52" s="633">
        <f>CCBASE!$H$51</f>
        <v/>
      </c>
      <c r="R52" s="633">
        <f>CCBASE!$I$4</f>
        <v/>
      </c>
      <c r="S52" s="633">
        <f>CCBASE!$I$8</f>
        <v/>
      </c>
      <c r="T52" s="633">
        <f>CCBASE!$I$44</f>
        <v/>
      </c>
      <c r="U52" s="633" t="n"/>
      <c r="V52" s="633" t="n"/>
      <c r="W52" s="633">
        <f>CCBASE!$I$40*B52/1000</f>
        <v/>
      </c>
      <c r="X52" s="633" t="n"/>
      <c r="Y52" s="633" t="n"/>
      <c r="Z52" s="633" t="n"/>
      <c r="AA52" s="633" t="n"/>
      <c r="AB52" s="633" t="n"/>
      <c r="AC52" s="633" t="n"/>
      <c r="AD52" s="633">
        <f>CCBASE!$I$36*2</f>
        <v/>
      </c>
    </row>
    <row r="53">
      <c r="A53" s="631" t="inlineStr">
        <is>
          <t>UVI</t>
        </is>
      </c>
      <c r="B53" s="631" t="n">
        <v>2500</v>
      </c>
      <c r="C53" s="631" t="n">
        <v>1000</v>
      </c>
      <c r="D53" s="631">
        <f>A53&amp;B53&amp;C53</f>
        <v/>
      </c>
      <c r="E53" s="1040">
        <f>SUM(G53:AD53)</f>
        <v/>
      </c>
      <c r="F53" s="632" t="n">
        <v>24</v>
      </c>
      <c r="G53" s="633">
        <f>F53*CCBASE!$B$51</f>
        <v/>
      </c>
      <c r="H53" s="633">
        <f>CCBASE!$I$11*B53/1000</f>
        <v/>
      </c>
      <c r="I53" s="633" t="n"/>
      <c r="J53" s="633" t="n"/>
      <c r="K53" s="633" t="n"/>
      <c r="L53" s="633">
        <f>CCBASE!$I$14*B53/1000</f>
        <v/>
      </c>
      <c r="M53" s="633" t="n"/>
      <c r="N53" s="633" t="n"/>
      <c r="O53" s="633">
        <f>CCBASE!$I$45*B53/1000</f>
        <v/>
      </c>
      <c r="P53" s="633">
        <f>CCBASE!$I$9</f>
        <v/>
      </c>
      <c r="Q53" s="633">
        <f>CCBASE!$H$51</f>
        <v/>
      </c>
      <c r="R53" s="633">
        <f>CCBASE!$I$4</f>
        <v/>
      </c>
      <c r="S53" s="633">
        <f>CCBASE!$I$8</f>
        <v/>
      </c>
      <c r="T53" s="633">
        <f>CCBASE!$I$44</f>
        <v/>
      </c>
      <c r="U53" s="633" t="n"/>
      <c r="V53" s="633" t="n"/>
      <c r="W53" s="633">
        <f>CCBASE!$I$40*B53/1000</f>
        <v/>
      </c>
      <c r="X53" s="633" t="n"/>
      <c r="Y53" s="633" t="n"/>
      <c r="Z53" s="633" t="n"/>
      <c r="AA53" s="633" t="n"/>
      <c r="AB53" s="633" t="n"/>
      <c r="AC53" s="633" t="n"/>
      <c r="AD53" s="633">
        <f>CCBASE!$I$36*2</f>
        <v/>
      </c>
    </row>
    <row r="54">
      <c r="A54" s="631" t="inlineStr">
        <is>
          <t>UVI</t>
        </is>
      </c>
      <c r="B54" s="631" t="n">
        <v>2750</v>
      </c>
      <c r="C54" s="631" t="n">
        <v>1000</v>
      </c>
      <c r="D54" s="631">
        <f>A54&amp;B54&amp;C54</f>
        <v/>
      </c>
      <c r="E54" s="1040">
        <f>SUM(G54:AD54)</f>
        <v/>
      </c>
      <c r="F54" s="632" t="n">
        <v>24</v>
      </c>
      <c r="G54" s="633">
        <f>F54*CCBASE!$B$51</f>
        <v/>
      </c>
      <c r="H54" s="633">
        <f>CCBASE!$I$11*B54/1000</f>
        <v/>
      </c>
      <c r="I54" s="633" t="n"/>
      <c r="J54" s="633" t="n"/>
      <c r="K54" s="633" t="n"/>
      <c r="L54" s="633">
        <f>CCBASE!$I$14*B54/1000</f>
        <v/>
      </c>
      <c r="M54" s="633" t="n"/>
      <c r="N54" s="633" t="n"/>
      <c r="O54" s="633">
        <f>CCBASE!$I$45*B54/1000</f>
        <v/>
      </c>
      <c r="P54" s="633">
        <f>CCBASE!$I$9</f>
        <v/>
      </c>
      <c r="Q54" s="633">
        <f>CCBASE!$H$51</f>
        <v/>
      </c>
      <c r="R54" s="633">
        <f>CCBASE!$I$4</f>
        <v/>
      </c>
      <c r="S54" s="633">
        <f>CCBASE!$I$8</f>
        <v/>
      </c>
      <c r="T54" s="633">
        <f>CCBASE!$I$44</f>
        <v/>
      </c>
      <c r="U54" s="633" t="n"/>
      <c r="V54" s="633" t="n"/>
      <c r="W54" s="633">
        <f>CCBASE!$I$40*B54/1000</f>
        <v/>
      </c>
      <c r="X54" s="633" t="n"/>
      <c r="Y54" s="633" t="n"/>
      <c r="Z54" s="633" t="n"/>
      <c r="AA54" s="633" t="n"/>
      <c r="AB54" s="633" t="n"/>
      <c r="AC54" s="633" t="n"/>
      <c r="AD54" s="633">
        <f>CCBASE!$I$36*2</f>
        <v/>
      </c>
    </row>
    <row r="55">
      <c r="A55" s="631" t="inlineStr">
        <is>
          <t>UVI</t>
        </is>
      </c>
      <c r="B55" s="631" t="n">
        <v>3000</v>
      </c>
      <c r="C55" s="631" t="n">
        <v>1000</v>
      </c>
      <c r="D55" s="631">
        <f>A55&amp;B55&amp;C55</f>
        <v/>
      </c>
      <c r="E55" s="1040">
        <f>SUM(G55:AD55)</f>
        <v/>
      </c>
      <c r="F55" s="632" t="n">
        <v>24</v>
      </c>
      <c r="G55" s="633">
        <f>F55*CCBASE!$B$51</f>
        <v/>
      </c>
      <c r="H55" s="633">
        <f>CCBASE!$I$11*B55/1000</f>
        <v/>
      </c>
      <c r="I55" s="633" t="n"/>
      <c r="J55" s="633" t="n"/>
      <c r="K55" s="633" t="n"/>
      <c r="L55" s="633">
        <f>CCBASE!$I$14*B55/1000</f>
        <v/>
      </c>
      <c r="M55" s="633" t="n"/>
      <c r="N55" s="633" t="n"/>
      <c r="O55" s="633">
        <f>CCBASE!$I$45*B55/1000</f>
        <v/>
      </c>
      <c r="P55" s="633">
        <f>CCBASE!$I$9</f>
        <v/>
      </c>
      <c r="Q55" s="633">
        <f>CCBASE!$H$51</f>
        <v/>
      </c>
      <c r="R55" s="633">
        <f>CCBASE!$I$4</f>
        <v/>
      </c>
      <c r="S55" s="633">
        <f>CCBASE!$I$8</f>
        <v/>
      </c>
      <c r="T55" s="633">
        <f>CCBASE!$I$44</f>
        <v/>
      </c>
      <c r="U55" s="633" t="n"/>
      <c r="V55" s="633" t="n"/>
      <c r="W55" s="633">
        <f>CCBASE!$I$40*B55/1000</f>
        <v/>
      </c>
      <c r="X55" s="633" t="n"/>
      <c r="Y55" s="633" t="n"/>
      <c r="Z55" s="633" t="n"/>
      <c r="AA55" s="633" t="n"/>
      <c r="AB55" s="633" t="n"/>
      <c r="AC55" s="633" t="n"/>
      <c r="AD55" s="633">
        <f>CCBASE!$I$36*2</f>
        <v/>
      </c>
    </row>
    <row r="56">
      <c r="A56" s="631" t="inlineStr">
        <is>
          <t>UVI</t>
        </is>
      </c>
      <c r="B56" s="631" t="n">
        <v>1000</v>
      </c>
      <c r="C56" s="631" t="n">
        <v>1250</v>
      </c>
      <c r="D56" s="631">
        <f>A56&amp;B56&amp;C56</f>
        <v/>
      </c>
      <c r="E56" s="1040">
        <f>SUM(G56:AD56)</f>
        <v/>
      </c>
      <c r="F56" s="632" t="n">
        <v>19</v>
      </c>
      <c r="G56" s="633">
        <f>F56*CCBASE!$B$51</f>
        <v/>
      </c>
      <c r="H56" s="633">
        <f>CCBASE!$I$11*B56/1000</f>
        <v/>
      </c>
      <c r="I56" s="633" t="n"/>
      <c r="J56" s="633" t="n"/>
      <c r="K56" s="633" t="n"/>
      <c r="L56" s="633">
        <f>CCBASE!$I$14*B56/1000</f>
        <v/>
      </c>
      <c r="M56" s="633" t="n"/>
      <c r="N56" s="633" t="n"/>
      <c r="O56" s="633">
        <f>CCBASE!$I$45*B56/1000</f>
        <v/>
      </c>
      <c r="P56" s="633">
        <f>CCBASE!$I$10</f>
        <v/>
      </c>
      <c r="Q56" s="633">
        <f>CCBASE!$H$51</f>
        <v/>
      </c>
      <c r="R56" s="633">
        <f>CCBASE!$I$4</f>
        <v/>
      </c>
      <c r="S56" s="633">
        <f>CCBASE!$I$8</f>
        <v/>
      </c>
      <c r="T56" s="633">
        <f>CCBASE!$I$44</f>
        <v/>
      </c>
      <c r="U56" s="633" t="n"/>
      <c r="V56" s="633" t="n"/>
      <c r="W56" s="633">
        <f>CCBASE!$I$40*B56/1000</f>
        <v/>
      </c>
      <c r="X56" s="633" t="n"/>
      <c r="Y56" s="633" t="n"/>
      <c r="Z56" s="633" t="n"/>
      <c r="AA56" s="633" t="n"/>
      <c r="AB56" s="633" t="n"/>
      <c r="AC56" s="633" t="n"/>
      <c r="AD56" s="633">
        <f>CCBASE!$I$36*2</f>
        <v/>
      </c>
    </row>
    <row r="57">
      <c r="A57" s="631" t="inlineStr">
        <is>
          <t>UVI</t>
        </is>
      </c>
      <c r="B57" s="631" t="n">
        <v>1250</v>
      </c>
      <c r="C57" s="631" t="n">
        <v>1250</v>
      </c>
      <c r="D57" s="631">
        <f>A57&amp;B57&amp;C57</f>
        <v/>
      </c>
      <c r="E57" s="1040">
        <f>SUM(G57:AD57)</f>
        <v/>
      </c>
      <c r="F57" s="632" t="n">
        <v>19</v>
      </c>
      <c r="G57" s="633">
        <f>F57*CCBASE!$B$51</f>
        <v/>
      </c>
      <c r="H57" s="633">
        <f>CCBASE!$I$11*B57/1000</f>
        <v/>
      </c>
      <c r="I57" s="633" t="n"/>
      <c r="J57" s="633" t="n"/>
      <c r="K57" s="633" t="n"/>
      <c r="L57" s="633">
        <f>CCBASE!$I$14*B57/1000</f>
        <v/>
      </c>
      <c r="M57" s="633" t="n"/>
      <c r="N57" s="633" t="n"/>
      <c r="O57" s="633">
        <f>CCBASE!$I$45*B57/1000</f>
        <v/>
      </c>
      <c r="P57" s="633">
        <f>CCBASE!$I$10</f>
        <v/>
      </c>
      <c r="Q57" s="633">
        <f>CCBASE!$H$51</f>
        <v/>
      </c>
      <c r="R57" s="633">
        <f>CCBASE!$I$4</f>
        <v/>
      </c>
      <c r="S57" s="633">
        <f>CCBASE!$I$8</f>
        <v/>
      </c>
      <c r="T57" s="633">
        <f>CCBASE!$I$44</f>
        <v/>
      </c>
      <c r="U57" s="633" t="n"/>
      <c r="V57" s="633" t="n"/>
      <c r="W57" s="633">
        <f>CCBASE!$I$40*B57/1000</f>
        <v/>
      </c>
      <c r="X57" s="633" t="n"/>
      <c r="Y57" s="633" t="n"/>
      <c r="Z57" s="633" t="n"/>
      <c r="AA57" s="633" t="n"/>
      <c r="AB57" s="633" t="n"/>
      <c r="AC57" s="633" t="n"/>
      <c r="AD57" s="633">
        <f>CCBASE!$I$36*2</f>
        <v/>
      </c>
    </row>
    <row r="58">
      <c r="A58" s="631" t="inlineStr">
        <is>
          <t>UVI</t>
        </is>
      </c>
      <c r="B58" s="631" t="n">
        <v>1500</v>
      </c>
      <c r="C58" s="631" t="n">
        <v>1250</v>
      </c>
      <c r="D58" s="631">
        <f>A58&amp;B58&amp;C58</f>
        <v/>
      </c>
      <c r="E58" s="1040">
        <f>SUM(G58:AD58)</f>
        <v/>
      </c>
      <c r="F58" s="632" t="n">
        <v>19</v>
      </c>
      <c r="G58" s="633">
        <f>F58*CCBASE!$B$51</f>
        <v/>
      </c>
      <c r="H58" s="633">
        <f>CCBASE!$I$11*B58/1000</f>
        <v/>
      </c>
      <c r="I58" s="633" t="n"/>
      <c r="J58" s="633" t="n"/>
      <c r="K58" s="633" t="n"/>
      <c r="L58" s="633">
        <f>CCBASE!$I$14*B58/1000</f>
        <v/>
      </c>
      <c r="M58" s="633" t="n"/>
      <c r="N58" s="633" t="n"/>
      <c r="O58" s="633">
        <f>CCBASE!$I$45*B58/1000</f>
        <v/>
      </c>
      <c r="P58" s="633">
        <f>CCBASE!$I$10</f>
        <v/>
      </c>
      <c r="Q58" s="633">
        <f>CCBASE!$H$51</f>
        <v/>
      </c>
      <c r="R58" s="633">
        <f>CCBASE!$I$4</f>
        <v/>
      </c>
      <c r="S58" s="633">
        <f>CCBASE!$I$8</f>
        <v/>
      </c>
      <c r="T58" s="633">
        <f>CCBASE!$I$44</f>
        <v/>
      </c>
      <c r="U58" s="633" t="n"/>
      <c r="V58" s="633" t="n"/>
      <c r="W58" s="633">
        <f>CCBASE!$I$40*B58/1000</f>
        <v/>
      </c>
      <c r="X58" s="633" t="n"/>
      <c r="Y58" s="633" t="n"/>
      <c r="Z58" s="633" t="n"/>
      <c r="AA58" s="633" t="n"/>
      <c r="AB58" s="633" t="n"/>
      <c r="AC58" s="633" t="n"/>
      <c r="AD58" s="633">
        <f>CCBASE!$I$36*2</f>
        <v/>
      </c>
    </row>
    <row r="59">
      <c r="A59" s="631" t="inlineStr">
        <is>
          <t>UVI</t>
        </is>
      </c>
      <c r="B59" s="631" t="n">
        <v>1750</v>
      </c>
      <c r="C59" s="631" t="n">
        <v>1250</v>
      </c>
      <c r="D59" s="631">
        <f>A59&amp;B59&amp;C59</f>
        <v/>
      </c>
      <c r="E59" s="1040">
        <f>SUM(G59:AD59)</f>
        <v/>
      </c>
      <c r="F59" s="632" t="n">
        <v>19</v>
      </c>
      <c r="G59" s="633">
        <f>F59*CCBASE!$B$51</f>
        <v/>
      </c>
      <c r="H59" s="633">
        <f>CCBASE!$I$11*B59/1000</f>
        <v/>
      </c>
      <c r="I59" s="633" t="n"/>
      <c r="J59" s="633" t="n"/>
      <c r="K59" s="633" t="n"/>
      <c r="L59" s="633">
        <f>CCBASE!$I$14*B59/1000</f>
        <v/>
      </c>
      <c r="M59" s="633" t="n"/>
      <c r="N59" s="633" t="n"/>
      <c r="O59" s="633">
        <f>CCBASE!$I$45*B59/1000</f>
        <v/>
      </c>
      <c r="P59" s="633">
        <f>CCBASE!$I$9</f>
        <v/>
      </c>
      <c r="Q59" s="633">
        <f>CCBASE!$H$51</f>
        <v/>
      </c>
      <c r="R59" s="633">
        <f>CCBASE!$I$4</f>
        <v/>
      </c>
      <c r="S59" s="633">
        <f>CCBASE!$I$8</f>
        <v/>
      </c>
      <c r="T59" s="633">
        <f>CCBASE!$I$44</f>
        <v/>
      </c>
      <c r="U59" s="633" t="n"/>
      <c r="V59" s="633" t="n"/>
      <c r="W59" s="633">
        <f>CCBASE!$I$40*B59/1000</f>
        <v/>
      </c>
      <c r="X59" s="633" t="n"/>
      <c r="Y59" s="633" t="n"/>
      <c r="Z59" s="633" t="n"/>
      <c r="AA59" s="633" t="n"/>
      <c r="AB59" s="633" t="n"/>
      <c r="AC59" s="633" t="n"/>
      <c r="AD59" s="633">
        <f>CCBASE!$I$36*2</f>
        <v/>
      </c>
    </row>
    <row r="60">
      <c r="A60" s="631" t="inlineStr">
        <is>
          <t>UVI</t>
        </is>
      </c>
      <c r="B60" s="631" t="n">
        <v>2000</v>
      </c>
      <c r="C60" s="631" t="n">
        <v>1250</v>
      </c>
      <c r="D60" s="631">
        <f>A60&amp;B60&amp;C60</f>
        <v/>
      </c>
      <c r="E60" s="1040">
        <f>SUM(G60:AD60)</f>
        <v/>
      </c>
      <c r="F60" s="632" t="n">
        <v>19</v>
      </c>
      <c r="G60" s="633">
        <f>F60*CCBASE!$B$51</f>
        <v/>
      </c>
      <c r="H60" s="633">
        <f>CCBASE!$I$11*B60/1000</f>
        <v/>
      </c>
      <c r="I60" s="633" t="n"/>
      <c r="J60" s="633" t="n"/>
      <c r="K60" s="633" t="n"/>
      <c r="L60" s="633">
        <f>CCBASE!$I$14*B60/1000</f>
        <v/>
      </c>
      <c r="M60" s="633" t="n"/>
      <c r="N60" s="633" t="n"/>
      <c r="O60" s="633">
        <f>CCBASE!$I$45*B60/1000</f>
        <v/>
      </c>
      <c r="P60" s="633">
        <f>CCBASE!$I$9</f>
        <v/>
      </c>
      <c r="Q60" s="633">
        <f>CCBASE!$H$51</f>
        <v/>
      </c>
      <c r="R60" s="633">
        <f>CCBASE!$I$4</f>
        <v/>
      </c>
      <c r="S60" s="633">
        <f>CCBASE!$I$8</f>
        <v/>
      </c>
      <c r="T60" s="633">
        <f>CCBASE!$I$44</f>
        <v/>
      </c>
      <c r="U60" s="633" t="n"/>
      <c r="V60" s="633" t="n"/>
      <c r="W60" s="633">
        <f>CCBASE!$I$40*B60/1000</f>
        <v/>
      </c>
      <c r="X60" s="633" t="n"/>
      <c r="Y60" s="633" t="n"/>
      <c r="Z60" s="633" t="n"/>
      <c r="AA60" s="633" t="n"/>
      <c r="AB60" s="633" t="n"/>
      <c r="AC60" s="633" t="n"/>
      <c r="AD60" s="633">
        <f>CCBASE!$I$36*2</f>
        <v/>
      </c>
    </row>
    <row r="61">
      <c r="A61" s="631" t="inlineStr">
        <is>
          <t>UVI</t>
        </is>
      </c>
      <c r="B61" s="631" t="n">
        <v>2250</v>
      </c>
      <c r="C61" s="631" t="n">
        <v>1250</v>
      </c>
      <c r="D61" s="631">
        <f>A61&amp;B61&amp;C61</f>
        <v/>
      </c>
      <c r="E61" s="1040">
        <f>SUM(G61:AD61)</f>
        <v/>
      </c>
      <c r="F61" s="632" t="n">
        <v>24</v>
      </c>
      <c r="G61" s="633">
        <f>F61*CCBASE!$B$51</f>
        <v/>
      </c>
      <c r="H61" s="633">
        <f>CCBASE!$I$11*B61/1000</f>
        <v/>
      </c>
      <c r="I61" s="633" t="n"/>
      <c r="J61" s="633" t="n"/>
      <c r="K61" s="633" t="n"/>
      <c r="L61" s="633">
        <f>CCBASE!$I$14*B61/1000</f>
        <v/>
      </c>
      <c r="M61" s="633" t="n"/>
      <c r="N61" s="633" t="n"/>
      <c r="O61" s="633">
        <f>CCBASE!$I$45*B61/1000</f>
        <v/>
      </c>
      <c r="P61" s="633">
        <f>CCBASE!$I$9</f>
        <v/>
      </c>
      <c r="Q61" s="633">
        <f>CCBASE!$H$51</f>
        <v/>
      </c>
      <c r="R61" s="633">
        <f>CCBASE!$I$4</f>
        <v/>
      </c>
      <c r="S61" s="633">
        <f>CCBASE!$I$8</f>
        <v/>
      </c>
      <c r="T61" s="633">
        <f>CCBASE!$I$44</f>
        <v/>
      </c>
      <c r="U61" s="633" t="n"/>
      <c r="V61" s="633" t="n"/>
      <c r="W61" s="633">
        <f>CCBASE!$I$40*B61/1000</f>
        <v/>
      </c>
      <c r="X61" s="633" t="n"/>
      <c r="Y61" s="633" t="n"/>
      <c r="Z61" s="633" t="n"/>
      <c r="AA61" s="633" t="n"/>
      <c r="AB61" s="633" t="n"/>
      <c r="AC61" s="633" t="n"/>
      <c r="AD61" s="633">
        <f>CCBASE!$I$36*2</f>
        <v/>
      </c>
    </row>
    <row r="62">
      <c r="A62" s="631" t="inlineStr">
        <is>
          <t>UVI</t>
        </is>
      </c>
      <c r="B62" s="631" t="n">
        <v>2500</v>
      </c>
      <c r="C62" s="631" t="n">
        <v>1250</v>
      </c>
      <c r="D62" s="631">
        <f>A62&amp;B62&amp;C62</f>
        <v/>
      </c>
      <c r="E62" s="1040">
        <f>SUM(G62:AD62)</f>
        <v/>
      </c>
      <c r="F62" s="632" t="n">
        <v>24</v>
      </c>
      <c r="G62" s="633">
        <f>F62*CCBASE!$B$51</f>
        <v/>
      </c>
      <c r="H62" s="633">
        <f>CCBASE!$I$11*B62/1000</f>
        <v/>
      </c>
      <c r="I62" s="633" t="n"/>
      <c r="J62" s="633" t="n"/>
      <c r="K62" s="633" t="n"/>
      <c r="L62" s="633">
        <f>CCBASE!$I$14*B62/1000</f>
        <v/>
      </c>
      <c r="M62" s="633" t="n"/>
      <c r="N62" s="633" t="n"/>
      <c r="O62" s="633">
        <f>CCBASE!$I$45*B62/1000</f>
        <v/>
      </c>
      <c r="P62" s="633">
        <f>CCBASE!$I$9</f>
        <v/>
      </c>
      <c r="Q62" s="633">
        <f>CCBASE!$H$51</f>
        <v/>
      </c>
      <c r="R62" s="633">
        <f>CCBASE!$I$4</f>
        <v/>
      </c>
      <c r="S62" s="633">
        <f>CCBASE!$I$8</f>
        <v/>
      </c>
      <c r="T62" s="633">
        <f>CCBASE!$I$44</f>
        <v/>
      </c>
      <c r="U62" s="633" t="n"/>
      <c r="V62" s="633" t="n"/>
      <c r="W62" s="633">
        <f>CCBASE!$I$40*B62/1000</f>
        <v/>
      </c>
      <c r="X62" s="633" t="n"/>
      <c r="Y62" s="633" t="n"/>
      <c r="Z62" s="633" t="n"/>
      <c r="AA62" s="633" t="n"/>
      <c r="AB62" s="633" t="n"/>
      <c r="AC62" s="633" t="n"/>
      <c r="AD62" s="633">
        <f>CCBASE!$I$36*2</f>
        <v/>
      </c>
    </row>
    <row r="63">
      <c r="A63" s="631" t="inlineStr">
        <is>
          <t>UVI</t>
        </is>
      </c>
      <c r="B63" s="631" t="n">
        <v>2750</v>
      </c>
      <c r="C63" s="631" t="n">
        <v>1250</v>
      </c>
      <c r="D63" s="631">
        <f>A63&amp;B63&amp;C63</f>
        <v/>
      </c>
      <c r="E63" s="1040">
        <f>SUM(G63:AD63)</f>
        <v/>
      </c>
      <c r="F63" s="632" t="n">
        <v>24</v>
      </c>
      <c r="G63" s="633">
        <f>F63*CCBASE!$B$51</f>
        <v/>
      </c>
      <c r="H63" s="633">
        <f>CCBASE!$I$11*B63/1000</f>
        <v/>
      </c>
      <c r="I63" s="633" t="n"/>
      <c r="J63" s="633" t="n"/>
      <c r="K63" s="633" t="n"/>
      <c r="L63" s="633">
        <f>CCBASE!$I$14*B63/1000</f>
        <v/>
      </c>
      <c r="M63" s="633" t="n"/>
      <c r="N63" s="633" t="n"/>
      <c r="O63" s="633">
        <f>CCBASE!$I$45*B63/1000</f>
        <v/>
      </c>
      <c r="P63" s="633">
        <f>CCBASE!$I$9</f>
        <v/>
      </c>
      <c r="Q63" s="633">
        <f>CCBASE!$H$51</f>
        <v/>
      </c>
      <c r="R63" s="633">
        <f>CCBASE!$I$4</f>
        <v/>
      </c>
      <c r="S63" s="633">
        <f>CCBASE!$I$8</f>
        <v/>
      </c>
      <c r="T63" s="633">
        <f>CCBASE!$I$44</f>
        <v/>
      </c>
      <c r="U63" s="633" t="n"/>
      <c r="V63" s="633" t="n"/>
      <c r="W63" s="633">
        <f>CCBASE!$I$40*B63/1000</f>
        <v/>
      </c>
      <c r="X63" s="633" t="n"/>
      <c r="Y63" s="633" t="n"/>
      <c r="Z63" s="633" t="n"/>
      <c r="AA63" s="633" t="n"/>
      <c r="AB63" s="633" t="n"/>
      <c r="AC63" s="633" t="n"/>
      <c r="AD63" s="633">
        <f>CCBASE!$I$36*2</f>
        <v/>
      </c>
    </row>
    <row r="64">
      <c r="A64" s="631" t="inlineStr">
        <is>
          <t>UVI</t>
        </is>
      </c>
      <c r="B64" s="631" t="n">
        <v>3000</v>
      </c>
      <c r="C64" s="631" t="n">
        <v>1250</v>
      </c>
      <c r="D64" s="631">
        <f>A64&amp;B64&amp;C64</f>
        <v/>
      </c>
      <c r="E64" s="1040">
        <f>SUM(G64:AD64)</f>
        <v/>
      </c>
      <c r="F64" s="632" t="n">
        <v>24</v>
      </c>
      <c r="G64" s="633">
        <f>F64*CCBASE!$B$51</f>
        <v/>
      </c>
      <c r="H64" s="633">
        <f>CCBASE!$I$11*B64/1000</f>
        <v/>
      </c>
      <c r="I64" s="633" t="n"/>
      <c r="J64" s="633" t="n"/>
      <c r="K64" s="633" t="n"/>
      <c r="L64" s="633">
        <f>CCBASE!$I$14*B64/1000</f>
        <v/>
      </c>
      <c r="M64" s="633" t="n"/>
      <c r="N64" s="633" t="n"/>
      <c r="O64" s="633">
        <f>CCBASE!$I$45*B64/1000</f>
        <v/>
      </c>
      <c r="P64" s="633">
        <f>CCBASE!$I$9</f>
        <v/>
      </c>
      <c r="Q64" s="633">
        <f>CCBASE!$H$51</f>
        <v/>
      </c>
      <c r="R64" s="633">
        <f>CCBASE!$I$4</f>
        <v/>
      </c>
      <c r="S64" s="633">
        <f>CCBASE!$I$8</f>
        <v/>
      </c>
      <c r="T64" s="633">
        <f>CCBASE!$I$44</f>
        <v/>
      </c>
      <c r="U64" s="633" t="n"/>
      <c r="V64" s="633" t="n"/>
      <c r="W64" s="633">
        <f>CCBASE!$I$40*B64/1000</f>
        <v/>
      </c>
      <c r="X64" s="633" t="n"/>
      <c r="Y64" s="633" t="n"/>
      <c r="Z64" s="633" t="n"/>
      <c r="AA64" s="633" t="n"/>
      <c r="AB64" s="633" t="n"/>
      <c r="AC64" s="633" t="n"/>
      <c r="AD64" s="633">
        <f>CCBASE!$I$36*2</f>
        <v/>
      </c>
    </row>
    <row r="65">
      <c r="A65" s="631" t="inlineStr">
        <is>
          <t>UVI</t>
        </is>
      </c>
      <c r="B65" s="631" t="n">
        <v>1000</v>
      </c>
      <c r="C65" s="631" t="n">
        <v>1500</v>
      </c>
      <c r="D65" s="631">
        <f>A65&amp;B65&amp;C65</f>
        <v/>
      </c>
      <c r="E65" s="1040">
        <f>SUM(G65:AD65)</f>
        <v/>
      </c>
      <c r="F65" s="632" t="n">
        <v>19</v>
      </c>
      <c r="G65" s="633">
        <f>F65*CCBASE!$B$51</f>
        <v/>
      </c>
      <c r="H65" s="633">
        <f>CCBASE!$I$11*B65/1000</f>
        <v/>
      </c>
      <c r="I65" s="633" t="n"/>
      <c r="J65" s="633" t="n"/>
      <c r="K65" s="633" t="n"/>
      <c r="L65" s="633">
        <f>CCBASE!$I$14*B65/1000</f>
        <v/>
      </c>
      <c r="M65" s="633" t="n"/>
      <c r="N65" s="633" t="n"/>
      <c r="O65" s="633">
        <f>CCBASE!$I$45*B65/1000</f>
        <v/>
      </c>
      <c r="P65" s="633">
        <f>CCBASE!$I$10</f>
        <v/>
      </c>
      <c r="Q65" s="633">
        <f>CCBASE!$H$51</f>
        <v/>
      </c>
      <c r="R65" s="633">
        <f>CCBASE!$I$4</f>
        <v/>
      </c>
      <c r="S65" s="633">
        <f>CCBASE!$I$8</f>
        <v/>
      </c>
      <c r="T65" s="633">
        <f>CCBASE!$I$44</f>
        <v/>
      </c>
      <c r="U65" s="633" t="n"/>
      <c r="V65" s="633" t="n"/>
      <c r="W65" s="633">
        <f>CCBASE!$I$41*B65/1000</f>
        <v/>
      </c>
      <c r="X65" s="633" t="n"/>
      <c r="Y65" s="633" t="n"/>
      <c r="Z65" s="633" t="n"/>
      <c r="AA65" s="633" t="n"/>
      <c r="AB65" s="633" t="n"/>
      <c r="AC65" s="633" t="n"/>
      <c r="AD65" s="633">
        <f>CCBASE!$I$37*2</f>
        <v/>
      </c>
    </row>
    <row r="66">
      <c r="A66" s="631" t="inlineStr">
        <is>
          <t>UVI</t>
        </is>
      </c>
      <c r="B66" s="631" t="n">
        <v>1250</v>
      </c>
      <c r="C66" s="631" t="n">
        <v>1500</v>
      </c>
      <c r="D66" s="631">
        <f>A66&amp;B66&amp;C66</f>
        <v/>
      </c>
      <c r="E66" s="1040">
        <f>SUM(G66:AD66)</f>
        <v/>
      </c>
      <c r="F66" s="632" t="n">
        <v>19</v>
      </c>
      <c r="G66" s="633">
        <f>F66*CCBASE!$B$51</f>
        <v/>
      </c>
      <c r="H66" s="633">
        <f>CCBASE!$I$11*B66/1000</f>
        <v/>
      </c>
      <c r="I66" s="633" t="n"/>
      <c r="J66" s="633" t="n"/>
      <c r="K66" s="633" t="n"/>
      <c r="L66" s="633">
        <f>CCBASE!$I$14*B66/1000</f>
        <v/>
      </c>
      <c r="M66" s="633" t="n"/>
      <c r="N66" s="633" t="n"/>
      <c r="O66" s="633">
        <f>CCBASE!$I$45*B66/1000</f>
        <v/>
      </c>
      <c r="P66" s="633">
        <f>CCBASE!$I$10</f>
        <v/>
      </c>
      <c r="Q66" s="633">
        <f>CCBASE!$H$51</f>
        <v/>
      </c>
      <c r="R66" s="633">
        <f>CCBASE!$I$4</f>
        <v/>
      </c>
      <c r="S66" s="633">
        <f>CCBASE!$I$8</f>
        <v/>
      </c>
      <c r="T66" s="633">
        <f>CCBASE!$I$44</f>
        <v/>
      </c>
      <c r="U66" s="633" t="n"/>
      <c r="V66" s="633" t="n"/>
      <c r="W66" s="633">
        <f>CCBASE!$I$41*B66/1000</f>
        <v/>
      </c>
      <c r="X66" s="633" t="n"/>
      <c r="Y66" s="633" t="n"/>
      <c r="Z66" s="633" t="n"/>
      <c r="AA66" s="633" t="n"/>
      <c r="AB66" s="633" t="n"/>
      <c r="AC66" s="633" t="n"/>
      <c r="AD66" s="633">
        <f>CCBASE!$I$37*2</f>
        <v/>
      </c>
    </row>
    <row r="67">
      <c r="A67" s="631" t="inlineStr">
        <is>
          <t>UVI</t>
        </is>
      </c>
      <c r="B67" s="631" t="n">
        <v>1500</v>
      </c>
      <c r="C67" s="631" t="n">
        <v>1500</v>
      </c>
      <c r="D67" s="631">
        <f>A67&amp;B67&amp;C67</f>
        <v/>
      </c>
      <c r="E67" s="1040">
        <f>SUM(G67:AD67)</f>
        <v/>
      </c>
      <c r="F67" s="632" t="n">
        <v>19</v>
      </c>
      <c r="G67" s="633">
        <f>F67*CCBASE!$B$51</f>
        <v/>
      </c>
      <c r="H67" s="633">
        <f>CCBASE!$I$11*B67/1000</f>
        <v/>
      </c>
      <c r="I67" s="633" t="n"/>
      <c r="J67" s="633" t="n"/>
      <c r="K67" s="633" t="n"/>
      <c r="L67" s="633">
        <f>CCBASE!$I$14*B67/1000</f>
        <v/>
      </c>
      <c r="M67" s="633" t="n"/>
      <c r="N67" s="633" t="n"/>
      <c r="O67" s="633">
        <f>CCBASE!$I$45*B67/1000</f>
        <v/>
      </c>
      <c r="P67" s="633">
        <f>CCBASE!$I$9</f>
        <v/>
      </c>
      <c r="Q67" s="633">
        <f>CCBASE!$H$51</f>
        <v/>
      </c>
      <c r="R67" s="633">
        <f>CCBASE!$I$4</f>
        <v/>
      </c>
      <c r="S67" s="633">
        <f>CCBASE!$I$8</f>
        <v/>
      </c>
      <c r="T67" s="633">
        <f>CCBASE!$I$44</f>
        <v/>
      </c>
      <c r="U67" s="633" t="n"/>
      <c r="V67" s="633" t="n"/>
      <c r="W67" s="633">
        <f>CCBASE!$I$41*B67/1000</f>
        <v/>
      </c>
      <c r="X67" s="633" t="n"/>
      <c r="Y67" s="633" t="n"/>
      <c r="Z67" s="633" t="n"/>
      <c r="AA67" s="633" t="n"/>
      <c r="AB67" s="633" t="n"/>
      <c r="AC67" s="633" t="n"/>
      <c r="AD67" s="633">
        <f>CCBASE!$I$37*2</f>
        <v/>
      </c>
    </row>
    <row r="68">
      <c r="A68" s="631" t="inlineStr">
        <is>
          <t>UVI</t>
        </is>
      </c>
      <c r="B68" s="631" t="n">
        <v>1750</v>
      </c>
      <c r="C68" s="631" t="n">
        <v>1500</v>
      </c>
      <c r="D68" s="631">
        <f>A68&amp;B68&amp;C68</f>
        <v/>
      </c>
      <c r="E68" s="1040">
        <f>SUM(G68:AD68)</f>
        <v/>
      </c>
      <c r="F68" s="632" t="n">
        <v>19</v>
      </c>
      <c r="G68" s="633">
        <f>F68*CCBASE!$B$51</f>
        <v/>
      </c>
      <c r="H68" s="633">
        <f>CCBASE!$I$11*B68/1000</f>
        <v/>
      </c>
      <c r="I68" s="633" t="n"/>
      <c r="J68" s="633" t="n"/>
      <c r="K68" s="633" t="n"/>
      <c r="L68" s="633">
        <f>CCBASE!$I$14*B68/1000</f>
        <v/>
      </c>
      <c r="M68" s="633" t="n"/>
      <c r="N68" s="633" t="n"/>
      <c r="O68" s="633">
        <f>CCBASE!$I$45*B68/1000</f>
        <v/>
      </c>
      <c r="P68" s="633">
        <f>CCBASE!$I$10</f>
        <v/>
      </c>
      <c r="Q68" s="633">
        <f>CCBASE!$H$51</f>
        <v/>
      </c>
      <c r="R68" s="633">
        <f>CCBASE!$I$4</f>
        <v/>
      </c>
      <c r="S68" s="633">
        <f>CCBASE!$I$8</f>
        <v/>
      </c>
      <c r="T68" s="633">
        <f>CCBASE!$I$44</f>
        <v/>
      </c>
      <c r="U68" s="633" t="n"/>
      <c r="V68" s="633" t="n"/>
      <c r="W68" s="633">
        <f>CCBASE!$I$41*B68/1000</f>
        <v/>
      </c>
      <c r="X68" s="633" t="n"/>
      <c r="Y68" s="633" t="n"/>
      <c r="Z68" s="633" t="n"/>
      <c r="AA68" s="633" t="n"/>
      <c r="AB68" s="633" t="n"/>
      <c r="AC68" s="633" t="n"/>
      <c r="AD68" s="633">
        <f>CCBASE!$I$37*2</f>
        <v/>
      </c>
    </row>
    <row r="69">
      <c r="A69" s="631" t="inlineStr">
        <is>
          <t>UVI</t>
        </is>
      </c>
      <c r="B69" s="631" t="n">
        <v>2000</v>
      </c>
      <c r="C69" s="631" t="n">
        <v>1500</v>
      </c>
      <c r="D69" s="631">
        <f>A69&amp;B69&amp;C69</f>
        <v/>
      </c>
      <c r="E69" s="1040">
        <f>SUM(G69:AD69)</f>
        <v/>
      </c>
      <c r="F69" s="632" t="n">
        <v>19</v>
      </c>
      <c r="G69" s="633">
        <f>F69*CCBASE!$B$51</f>
        <v/>
      </c>
      <c r="H69" s="633">
        <f>CCBASE!$I$11*B69/1000</f>
        <v/>
      </c>
      <c r="I69" s="633" t="n"/>
      <c r="J69" s="633" t="n"/>
      <c r="K69" s="633" t="n"/>
      <c r="L69" s="633">
        <f>CCBASE!$I$14*B69/1000</f>
        <v/>
      </c>
      <c r="M69" s="633" t="n"/>
      <c r="N69" s="633" t="n"/>
      <c r="O69" s="633">
        <f>CCBASE!$I$45*B69/1000</f>
        <v/>
      </c>
      <c r="P69" s="633">
        <f>CCBASE!$I$9</f>
        <v/>
      </c>
      <c r="Q69" s="633">
        <f>CCBASE!$H$51</f>
        <v/>
      </c>
      <c r="R69" s="633">
        <f>CCBASE!$I$4</f>
        <v/>
      </c>
      <c r="S69" s="633">
        <f>CCBASE!$I$8</f>
        <v/>
      </c>
      <c r="T69" s="633">
        <f>CCBASE!$I$44</f>
        <v/>
      </c>
      <c r="U69" s="633" t="n"/>
      <c r="V69" s="633" t="n"/>
      <c r="W69" s="633">
        <f>CCBASE!$I$41*B69/1000</f>
        <v/>
      </c>
      <c r="X69" s="633" t="n"/>
      <c r="Y69" s="633" t="n"/>
      <c r="Z69" s="633" t="n"/>
      <c r="AA69" s="633" t="n"/>
      <c r="AB69" s="633" t="n"/>
      <c r="AC69" s="633" t="n"/>
      <c r="AD69" s="633">
        <f>CCBASE!$I$37*2</f>
        <v/>
      </c>
    </row>
    <row r="70">
      <c r="A70" s="631" t="inlineStr">
        <is>
          <t>UVI</t>
        </is>
      </c>
      <c r="B70" s="631" t="n">
        <v>2250</v>
      </c>
      <c r="C70" s="631" t="n">
        <v>1500</v>
      </c>
      <c r="D70" s="631">
        <f>A70&amp;B70&amp;C70</f>
        <v/>
      </c>
      <c r="E70" s="1040">
        <f>SUM(G70:AD70)</f>
        <v/>
      </c>
      <c r="F70" s="632" t="n">
        <v>24</v>
      </c>
      <c r="G70" s="633">
        <f>F70*CCBASE!$B$51</f>
        <v/>
      </c>
      <c r="H70" s="633">
        <f>CCBASE!$I$11*B70/1000</f>
        <v/>
      </c>
      <c r="I70" s="633" t="n"/>
      <c r="J70" s="633" t="n"/>
      <c r="K70" s="633" t="n"/>
      <c r="L70" s="633">
        <f>CCBASE!$I$14*B70/1000</f>
        <v/>
      </c>
      <c r="M70" s="633" t="n"/>
      <c r="N70" s="633" t="n"/>
      <c r="O70" s="633">
        <f>CCBASE!$I$45*B70/1000</f>
        <v/>
      </c>
      <c r="P70" s="633">
        <f>CCBASE!$I$9</f>
        <v/>
      </c>
      <c r="Q70" s="633">
        <f>CCBASE!$H$51</f>
        <v/>
      </c>
      <c r="R70" s="633">
        <f>CCBASE!$I$4</f>
        <v/>
      </c>
      <c r="S70" s="633">
        <f>CCBASE!$I$8</f>
        <v/>
      </c>
      <c r="T70" s="633">
        <f>CCBASE!$I$44</f>
        <v/>
      </c>
      <c r="U70" s="633" t="n"/>
      <c r="V70" s="633" t="n"/>
      <c r="W70" s="633">
        <f>CCBASE!$I$41*B70/1000</f>
        <v/>
      </c>
      <c r="X70" s="633" t="n"/>
      <c r="Y70" s="633" t="n"/>
      <c r="Z70" s="633" t="n"/>
      <c r="AA70" s="633" t="n"/>
      <c r="AB70" s="633" t="n"/>
      <c r="AC70" s="633" t="n"/>
      <c r="AD70" s="633">
        <f>CCBASE!$I$37*2</f>
        <v/>
      </c>
    </row>
    <row r="71">
      <c r="A71" s="631" t="inlineStr">
        <is>
          <t>UVI</t>
        </is>
      </c>
      <c r="B71" s="631" t="n">
        <v>2500</v>
      </c>
      <c r="C71" s="631" t="n">
        <v>1500</v>
      </c>
      <c r="D71" s="631">
        <f>A71&amp;B71&amp;C71</f>
        <v/>
      </c>
      <c r="E71" s="1040">
        <f>SUM(G71:AD71)</f>
        <v/>
      </c>
      <c r="F71" s="632" t="n">
        <v>24</v>
      </c>
      <c r="G71" s="633">
        <f>F71*CCBASE!$B$51</f>
        <v/>
      </c>
      <c r="H71" s="633">
        <f>CCBASE!$I$11*B71/1000</f>
        <v/>
      </c>
      <c r="I71" s="633" t="n"/>
      <c r="J71" s="633" t="n"/>
      <c r="K71" s="633" t="n"/>
      <c r="L71" s="633">
        <f>CCBASE!$I$14*B71/1000</f>
        <v/>
      </c>
      <c r="M71" s="633" t="n"/>
      <c r="N71" s="633" t="n"/>
      <c r="O71" s="633">
        <f>CCBASE!$I$45*B71/1000</f>
        <v/>
      </c>
      <c r="P71" s="633">
        <f>CCBASE!$I$9</f>
        <v/>
      </c>
      <c r="Q71" s="633">
        <f>CCBASE!$H$51</f>
        <v/>
      </c>
      <c r="R71" s="633">
        <f>CCBASE!$I$4</f>
        <v/>
      </c>
      <c r="S71" s="633">
        <f>CCBASE!$I$8</f>
        <v/>
      </c>
      <c r="T71" s="633">
        <f>CCBASE!$I$44</f>
        <v/>
      </c>
      <c r="U71" s="633" t="n"/>
      <c r="V71" s="633" t="n"/>
      <c r="W71" s="633">
        <f>CCBASE!$I$41*B71/1000</f>
        <v/>
      </c>
      <c r="X71" s="633" t="n"/>
      <c r="Y71" s="633" t="n"/>
      <c r="Z71" s="633" t="n"/>
      <c r="AA71" s="633" t="n"/>
      <c r="AB71" s="633" t="n"/>
      <c r="AC71" s="633" t="n"/>
      <c r="AD71" s="633">
        <f>CCBASE!$I$37*2</f>
        <v/>
      </c>
    </row>
    <row r="72">
      <c r="A72" s="631" t="inlineStr">
        <is>
          <t>UVI</t>
        </is>
      </c>
      <c r="B72" s="631" t="n">
        <v>2750</v>
      </c>
      <c r="C72" s="631" t="n">
        <v>1500</v>
      </c>
      <c r="D72" s="631">
        <f>A72&amp;B72&amp;C72</f>
        <v/>
      </c>
      <c r="E72" s="1040">
        <f>SUM(G72:AD72)</f>
        <v/>
      </c>
      <c r="F72" s="632" t="n">
        <v>24</v>
      </c>
      <c r="G72" s="633">
        <f>F72*CCBASE!$B$51</f>
        <v/>
      </c>
      <c r="H72" s="633">
        <f>CCBASE!$I$11*B72/1000</f>
        <v/>
      </c>
      <c r="I72" s="633" t="n"/>
      <c r="J72" s="633" t="n"/>
      <c r="K72" s="633" t="n"/>
      <c r="L72" s="633">
        <f>CCBASE!$I$14*B72/1000</f>
        <v/>
      </c>
      <c r="M72" s="633" t="n"/>
      <c r="N72" s="633" t="n"/>
      <c r="O72" s="633">
        <f>CCBASE!$I$45*B72/1000</f>
        <v/>
      </c>
      <c r="P72" s="633">
        <f>CCBASE!$I$9</f>
        <v/>
      </c>
      <c r="Q72" s="633">
        <f>CCBASE!$H$51</f>
        <v/>
      </c>
      <c r="R72" s="633">
        <f>CCBASE!$I$4</f>
        <v/>
      </c>
      <c r="S72" s="633">
        <f>CCBASE!$I$8</f>
        <v/>
      </c>
      <c r="T72" s="633">
        <f>CCBASE!$I$44</f>
        <v/>
      </c>
      <c r="U72" s="633" t="n"/>
      <c r="V72" s="633" t="n"/>
      <c r="W72" s="633">
        <f>CCBASE!$I$41*B72/1000</f>
        <v/>
      </c>
      <c r="X72" s="633" t="n"/>
      <c r="Y72" s="633" t="n"/>
      <c r="Z72" s="633" t="n"/>
      <c r="AA72" s="633" t="n"/>
      <c r="AB72" s="633" t="n"/>
      <c r="AC72" s="633" t="n"/>
      <c r="AD72" s="633">
        <f>CCBASE!$I$37*2</f>
        <v/>
      </c>
    </row>
    <row r="73">
      <c r="A73" s="631" t="inlineStr">
        <is>
          <t>UVI</t>
        </is>
      </c>
      <c r="B73" s="631" t="n">
        <v>3000</v>
      </c>
      <c r="C73" s="631" t="n">
        <v>1500</v>
      </c>
      <c r="D73" s="631">
        <f>A73&amp;B73&amp;C73</f>
        <v/>
      </c>
      <c r="E73" s="1040">
        <f>SUM(G73:AD73)</f>
        <v/>
      </c>
      <c r="F73" s="632" t="n">
        <v>24</v>
      </c>
      <c r="G73" s="633">
        <f>F73*CCBASE!$B$51</f>
        <v/>
      </c>
      <c r="H73" s="633">
        <f>CCBASE!$I$11*B73/1000</f>
        <v/>
      </c>
      <c r="I73" s="633" t="n"/>
      <c r="J73" s="633" t="n"/>
      <c r="K73" s="633" t="n"/>
      <c r="L73" s="633">
        <f>CCBASE!$I$14*B73/1000</f>
        <v/>
      </c>
      <c r="M73" s="633" t="n"/>
      <c r="N73" s="633" t="n"/>
      <c r="O73" s="633">
        <f>CCBASE!$I$45*B73/1000</f>
        <v/>
      </c>
      <c r="P73" s="633">
        <f>CCBASE!$I$9</f>
        <v/>
      </c>
      <c r="Q73" s="633">
        <f>CCBASE!$H$51</f>
        <v/>
      </c>
      <c r="R73" s="633">
        <f>CCBASE!$I$4</f>
        <v/>
      </c>
      <c r="S73" s="633">
        <f>CCBASE!$I$8</f>
        <v/>
      </c>
      <c r="T73" s="633">
        <f>CCBASE!$I$44</f>
        <v/>
      </c>
      <c r="U73" s="633" t="n"/>
      <c r="V73" s="633" t="n"/>
      <c r="W73" s="633">
        <f>CCBASE!$I$41*B73/1000</f>
        <v/>
      </c>
      <c r="X73" s="633" t="n"/>
      <c r="Y73" s="633" t="n"/>
      <c r="Z73" s="633" t="n"/>
      <c r="AA73" s="633" t="n"/>
      <c r="AB73" s="633" t="n"/>
      <c r="AC73" s="633" t="n"/>
      <c r="AD73" s="633">
        <f>CCBASE!$I$37*2</f>
        <v/>
      </c>
    </row>
    <row r="74">
      <c r="A74" s="631" t="inlineStr">
        <is>
          <t>UVI</t>
        </is>
      </c>
      <c r="B74" s="631" t="n">
        <v>1000</v>
      </c>
      <c r="C74" s="631" t="n">
        <v>1750</v>
      </c>
      <c r="D74" s="631">
        <f>A74&amp;B74&amp;C74</f>
        <v/>
      </c>
      <c r="E74" s="1040">
        <f>SUM(G74:AD74)</f>
        <v/>
      </c>
      <c r="F74" s="632" t="n">
        <v>19</v>
      </c>
      <c r="G74" s="633">
        <f>F74*CCBASE!$B$51</f>
        <v/>
      </c>
      <c r="H74" s="633">
        <f>CCBASE!$I$11*B74/1000</f>
        <v/>
      </c>
      <c r="I74" s="633" t="n"/>
      <c r="J74" s="633" t="n"/>
      <c r="K74" s="633" t="n"/>
      <c r="L74" s="633">
        <f>CCBASE!$I$14*B74/1000</f>
        <v/>
      </c>
      <c r="M74" s="633" t="n"/>
      <c r="N74" s="633" t="n"/>
      <c r="O74" s="633">
        <f>CCBASE!$I$45*B74/1000</f>
        <v/>
      </c>
      <c r="P74" s="633">
        <f>CCBASE!$I$10</f>
        <v/>
      </c>
      <c r="Q74" s="633">
        <f>CCBASE!$H$51</f>
        <v/>
      </c>
      <c r="R74" s="633">
        <f>CCBASE!$I$4</f>
        <v/>
      </c>
      <c r="S74" s="633">
        <f>CCBASE!$I$8</f>
        <v/>
      </c>
      <c r="T74" s="633">
        <f>CCBASE!$I$44</f>
        <v/>
      </c>
      <c r="U74" s="632" t="n"/>
      <c r="V74" s="632" t="n"/>
      <c r="W74" s="633">
        <f>CCBASE!$I$42*B74/1000</f>
        <v/>
      </c>
      <c r="X74" s="633" t="n"/>
      <c r="Y74" s="633" t="n"/>
      <c r="Z74" s="633" t="n"/>
      <c r="AA74" s="633" t="n"/>
      <c r="AB74" s="633" t="n"/>
      <c r="AC74" s="633" t="n"/>
      <c r="AD74" s="633">
        <f>CCBASE!$I$38*2</f>
        <v/>
      </c>
    </row>
    <row r="75">
      <c r="A75" s="631" t="inlineStr">
        <is>
          <t>UVI</t>
        </is>
      </c>
      <c r="B75" s="631" t="n">
        <v>1250</v>
      </c>
      <c r="C75" s="631" t="n">
        <v>1750</v>
      </c>
      <c r="D75" s="631">
        <f>A75&amp;B75&amp;C75</f>
        <v/>
      </c>
      <c r="E75" s="1040">
        <f>SUM(G75:AD75)</f>
        <v/>
      </c>
      <c r="F75" s="632" t="n">
        <v>19</v>
      </c>
      <c r="G75" s="633">
        <f>F75*CCBASE!$B$51</f>
        <v/>
      </c>
      <c r="H75" s="633">
        <f>CCBASE!$I$11*B75/1000</f>
        <v/>
      </c>
      <c r="I75" s="633" t="n"/>
      <c r="J75" s="633" t="n"/>
      <c r="K75" s="633" t="n"/>
      <c r="L75" s="633">
        <f>CCBASE!$I$14*B75/1000</f>
        <v/>
      </c>
      <c r="M75" s="633" t="n"/>
      <c r="N75" s="633" t="n"/>
      <c r="O75" s="633">
        <f>CCBASE!$I$45*B75/1000</f>
        <v/>
      </c>
      <c r="P75" s="633">
        <f>CCBASE!$I$10</f>
        <v/>
      </c>
      <c r="Q75" s="633">
        <f>CCBASE!$H$51</f>
        <v/>
      </c>
      <c r="R75" s="633">
        <f>CCBASE!$I$4</f>
        <v/>
      </c>
      <c r="S75" s="633">
        <f>CCBASE!$I$8</f>
        <v/>
      </c>
      <c r="T75" s="633">
        <f>CCBASE!$I$44</f>
        <v/>
      </c>
      <c r="U75" s="632" t="n"/>
      <c r="V75" s="632" t="n"/>
      <c r="W75" s="633">
        <f>CCBASE!$I$42*B75/1000</f>
        <v/>
      </c>
      <c r="X75" s="633" t="n"/>
      <c r="Y75" s="633" t="n"/>
      <c r="Z75" s="633" t="n"/>
      <c r="AA75" s="633" t="n"/>
      <c r="AB75" s="633" t="n"/>
      <c r="AC75" s="633" t="n"/>
      <c r="AD75" s="633">
        <f>CCBASE!$I$38*2</f>
        <v/>
      </c>
    </row>
    <row r="76">
      <c r="A76" s="631" t="inlineStr">
        <is>
          <t>UVI</t>
        </is>
      </c>
      <c r="B76" s="631" t="n">
        <v>1500</v>
      </c>
      <c r="C76" s="631" t="n">
        <v>1750</v>
      </c>
      <c r="D76" s="631">
        <f>A76&amp;B76&amp;C76</f>
        <v/>
      </c>
      <c r="E76" s="1040">
        <f>SUM(G76:AD76)</f>
        <v/>
      </c>
      <c r="F76" s="632" t="n">
        <v>19</v>
      </c>
      <c r="G76" s="633">
        <f>F76*CCBASE!$B$51</f>
        <v/>
      </c>
      <c r="H76" s="633">
        <f>CCBASE!$I$11*B76/1000</f>
        <v/>
      </c>
      <c r="I76" s="633" t="n"/>
      <c r="J76" s="633" t="n"/>
      <c r="K76" s="633" t="n"/>
      <c r="L76" s="633">
        <f>CCBASE!$I$14*B76/1000</f>
        <v/>
      </c>
      <c r="M76" s="633" t="n"/>
      <c r="N76" s="633" t="n"/>
      <c r="O76" s="633">
        <f>CCBASE!$I$45*B76/1000</f>
        <v/>
      </c>
      <c r="P76" s="633">
        <f>CCBASE!$I$10</f>
        <v/>
      </c>
      <c r="Q76" s="633">
        <f>CCBASE!$H$51</f>
        <v/>
      </c>
      <c r="R76" s="633">
        <f>CCBASE!$I$4</f>
        <v/>
      </c>
      <c r="S76" s="633">
        <f>CCBASE!$I$8</f>
        <v/>
      </c>
      <c r="T76" s="633">
        <f>CCBASE!$I$44</f>
        <v/>
      </c>
      <c r="U76" s="632" t="n"/>
      <c r="V76" s="632" t="n"/>
      <c r="W76" s="633">
        <f>CCBASE!$I$42*B76/1000</f>
        <v/>
      </c>
      <c r="X76" s="633" t="n"/>
      <c r="Y76" s="633" t="n"/>
      <c r="Z76" s="633" t="n"/>
      <c r="AA76" s="633" t="n"/>
      <c r="AB76" s="633" t="n"/>
      <c r="AC76" s="633" t="n"/>
      <c r="AD76" s="633">
        <f>CCBASE!$I$38*2</f>
        <v/>
      </c>
    </row>
    <row r="77">
      <c r="A77" s="631" t="inlineStr">
        <is>
          <t>UVI</t>
        </is>
      </c>
      <c r="B77" s="631" t="n">
        <v>1750</v>
      </c>
      <c r="C77" s="631" t="n">
        <v>1750</v>
      </c>
      <c r="D77" s="631">
        <f>A77&amp;B77&amp;C77</f>
        <v/>
      </c>
      <c r="E77" s="1040">
        <f>SUM(G77:AD77)</f>
        <v/>
      </c>
      <c r="F77" s="632" t="n">
        <v>19</v>
      </c>
      <c r="G77" s="633">
        <f>F77*CCBASE!$B$51</f>
        <v/>
      </c>
      <c r="H77" s="633">
        <f>CCBASE!$I$11*B77/1000</f>
        <v/>
      </c>
      <c r="I77" s="633" t="n"/>
      <c r="J77" s="633" t="n"/>
      <c r="K77" s="633" t="n"/>
      <c r="L77" s="633">
        <f>CCBASE!$I$14*B77/1000</f>
        <v/>
      </c>
      <c r="M77" s="633" t="n"/>
      <c r="N77" s="633" t="n"/>
      <c r="O77" s="633">
        <f>CCBASE!$I$45*B77/1000</f>
        <v/>
      </c>
      <c r="P77" s="633">
        <f>CCBASE!$I$9</f>
        <v/>
      </c>
      <c r="Q77" s="633">
        <f>CCBASE!$H$51</f>
        <v/>
      </c>
      <c r="R77" s="633">
        <f>CCBASE!$I$4</f>
        <v/>
      </c>
      <c r="S77" s="633">
        <f>CCBASE!$I$8</f>
        <v/>
      </c>
      <c r="T77" s="633">
        <f>CCBASE!$I$44</f>
        <v/>
      </c>
      <c r="U77" s="632" t="n"/>
      <c r="V77" s="632" t="n"/>
      <c r="W77" s="633">
        <f>CCBASE!$I$42*B77/1000</f>
        <v/>
      </c>
      <c r="X77" s="633" t="n"/>
      <c r="Y77" s="633" t="n"/>
      <c r="Z77" s="633" t="n"/>
      <c r="AA77" s="633" t="n"/>
      <c r="AB77" s="633" t="n"/>
      <c r="AC77" s="633" t="n"/>
      <c r="AD77" s="633">
        <f>CCBASE!$I$38*2</f>
        <v/>
      </c>
    </row>
    <row r="78">
      <c r="A78" s="631" t="inlineStr">
        <is>
          <t>UVI</t>
        </is>
      </c>
      <c r="B78" s="631" t="n">
        <v>2000</v>
      </c>
      <c r="C78" s="631" t="n">
        <v>1750</v>
      </c>
      <c r="D78" s="631">
        <f>A78&amp;B78&amp;C78</f>
        <v/>
      </c>
      <c r="E78" s="1040">
        <f>SUM(G78:AD78)</f>
        <v/>
      </c>
      <c r="F78" s="632" t="n">
        <v>19</v>
      </c>
      <c r="G78" s="633">
        <f>F78*CCBASE!$B$51</f>
        <v/>
      </c>
      <c r="H78" s="633">
        <f>CCBASE!$I$11*B78/1000</f>
        <v/>
      </c>
      <c r="I78" s="633" t="n"/>
      <c r="J78" s="633" t="n"/>
      <c r="K78" s="633" t="n"/>
      <c r="L78" s="633">
        <f>CCBASE!$I$14*B78/1000</f>
        <v/>
      </c>
      <c r="M78" s="633" t="n"/>
      <c r="N78" s="633" t="n"/>
      <c r="O78" s="633">
        <f>CCBASE!$I$45*B78/1000</f>
        <v/>
      </c>
      <c r="P78" s="633">
        <f>CCBASE!$I$9</f>
        <v/>
      </c>
      <c r="Q78" s="633">
        <f>CCBASE!$H$51</f>
        <v/>
      </c>
      <c r="R78" s="633">
        <f>CCBASE!$I$4</f>
        <v/>
      </c>
      <c r="S78" s="633">
        <f>CCBASE!$I$8</f>
        <v/>
      </c>
      <c r="T78" s="633">
        <f>CCBASE!$I$44</f>
        <v/>
      </c>
      <c r="U78" s="632" t="n"/>
      <c r="V78" s="632" t="n"/>
      <c r="W78" s="633">
        <f>CCBASE!$I$42*B78/1000</f>
        <v/>
      </c>
      <c r="X78" s="633" t="n"/>
      <c r="Y78" s="633" t="n"/>
      <c r="Z78" s="633" t="n"/>
      <c r="AA78" s="633" t="n"/>
      <c r="AB78" s="633" t="n"/>
      <c r="AC78" s="633" t="n"/>
      <c r="AD78" s="633">
        <f>CCBASE!$I$38*2</f>
        <v/>
      </c>
    </row>
    <row r="79">
      <c r="A79" s="631" t="inlineStr">
        <is>
          <t>UVI</t>
        </is>
      </c>
      <c r="B79" s="631" t="n">
        <v>2250</v>
      </c>
      <c r="C79" s="631" t="n">
        <v>1750</v>
      </c>
      <c r="D79" s="631">
        <f>A79&amp;B79&amp;C79</f>
        <v/>
      </c>
      <c r="E79" s="1040">
        <f>SUM(G79:AD79)</f>
        <v/>
      </c>
      <c r="F79" s="632" t="n">
        <v>24</v>
      </c>
      <c r="G79" s="633">
        <f>F79*CCBASE!$B$51</f>
        <v/>
      </c>
      <c r="H79" s="633">
        <f>CCBASE!$I$11*B79/1000</f>
        <v/>
      </c>
      <c r="I79" s="633" t="n"/>
      <c r="J79" s="633" t="n"/>
      <c r="K79" s="633" t="n"/>
      <c r="L79" s="633">
        <f>CCBASE!$I$14*B79/1000</f>
        <v/>
      </c>
      <c r="M79" s="633" t="n"/>
      <c r="N79" s="633" t="n"/>
      <c r="O79" s="633">
        <f>CCBASE!$I$45*B79/1000</f>
        <v/>
      </c>
      <c r="P79" s="633">
        <f>CCBASE!$I$9</f>
        <v/>
      </c>
      <c r="Q79" s="633">
        <f>CCBASE!$H$51</f>
        <v/>
      </c>
      <c r="R79" s="633">
        <f>CCBASE!$I$4</f>
        <v/>
      </c>
      <c r="S79" s="633">
        <f>CCBASE!$I$8</f>
        <v/>
      </c>
      <c r="T79" s="633">
        <f>CCBASE!$I$44</f>
        <v/>
      </c>
      <c r="U79" s="632" t="n"/>
      <c r="V79" s="632" t="n"/>
      <c r="W79" s="633">
        <f>CCBASE!$I$42*B79/1000</f>
        <v/>
      </c>
      <c r="X79" s="633" t="n"/>
      <c r="Y79" s="633" t="n"/>
      <c r="Z79" s="633" t="n"/>
      <c r="AA79" s="633" t="n"/>
      <c r="AB79" s="633" t="n"/>
      <c r="AC79" s="633" t="n"/>
      <c r="AD79" s="633">
        <f>CCBASE!$I$38*2</f>
        <v/>
      </c>
    </row>
    <row r="80">
      <c r="A80" s="631" t="inlineStr">
        <is>
          <t>UVI</t>
        </is>
      </c>
      <c r="B80" s="631" t="n">
        <v>2500</v>
      </c>
      <c r="C80" s="631" t="n">
        <v>1750</v>
      </c>
      <c r="D80" s="631">
        <f>A80&amp;B80&amp;C80</f>
        <v/>
      </c>
      <c r="E80" s="1040">
        <f>SUM(G80:AD80)</f>
        <v/>
      </c>
      <c r="F80" s="632" t="n">
        <v>24</v>
      </c>
      <c r="G80" s="633">
        <f>F80*CCBASE!$B$51</f>
        <v/>
      </c>
      <c r="H80" s="633">
        <f>CCBASE!$I$11*B80/1000</f>
        <v/>
      </c>
      <c r="I80" s="633" t="n"/>
      <c r="J80" s="633" t="n"/>
      <c r="K80" s="633" t="n"/>
      <c r="L80" s="633">
        <f>CCBASE!$I$14*B80/1000</f>
        <v/>
      </c>
      <c r="M80" s="633" t="n"/>
      <c r="N80" s="633" t="n"/>
      <c r="O80" s="633">
        <f>CCBASE!$I$45*B80/1000</f>
        <v/>
      </c>
      <c r="P80" s="633">
        <f>CCBASE!$I$9</f>
        <v/>
      </c>
      <c r="Q80" s="633">
        <f>CCBASE!$H$51</f>
        <v/>
      </c>
      <c r="R80" s="633">
        <f>CCBASE!$I$4</f>
        <v/>
      </c>
      <c r="S80" s="633">
        <f>CCBASE!$I$8</f>
        <v/>
      </c>
      <c r="T80" s="633">
        <f>CCBASE!$I$44</f>
        <v/>
      </c>
      <c r="U80" s="632" t="n"/>
      <c r="V80" s="632" t="n"/>
      <c r="W80" s="633">
        <f>CCBASE!$I$42*B80/1000</f>
        <v/>
      </c>
      <c r="X80" s="633" t="n"/>
      <c r="Y80" s="633" t="n"/>
      <c r="Z80" s="633" t="n"/>
      <c r="AA80" s="633" t="n"/>
      <c r="AB80" s="633" t="n"/>
      <c r="AC80" s="633" t="n"/>
      <c r="AD80" s="633">
        <f>CCBASE!$I$38*2</f>
        <v/>
      </c>
    </row>
    <row r="81">
      <c r="A81" s="631" t="inlineStr">
        <is>
          <t>UVI</t>
        </is>
      </c>
      <c r="B81" s="631" t="n">
        <v>2750</v>
      </c>
      <c r="C81" s="631" t="n">
        <v>1750</v>
      </c>
      <c r="D81" s="631">
        <f>A81&amp;B81&amp;C81</f>
        <v/>
      </c>
      <c r="E81" s="1040">
        <f>SUM(G81:AD81)</f>
        <v/>
      </c>
      <c r="F81" s="632" t="n">
        <v>24</v>
      </c>
      <c r="G81" s="633">
        <f>F81*CCBASE!$B$51</f>
        <v/>
      </c>
      <c r="H81" s="633">
        <f>CCBASE!$I$11*B81/1000</f>
        <v/>
      </c>
      <c r="I81" s="633" t="n"/>
      <c r="J81" s="633" t="n"/>
      <c r="K81" s="633" t="n"/>
      <c r="L81" s="633">
        <f>CCBASE!$I$14*B81/1000</f>
        <v/>
      </c>
      <c r="M81" s="633" t="n"/>
      <c r="N81" s="633" t="n"/>
      <c r="O81" s="633">
        <f>CCBASE!$I$45*B81/1000</f>
        <v/>
      </c>
      <c r="P81" s="633">
        <f>CCBASE!$I$9</f>
        <v/>
      </c>
      <c r="Q81" s="633">
        <f>CCBASE!$H$51</f>
        <v/>
      </c>
      <c r="R81" s="633">
        <f>CCBASE!$I$4</f>
        <v/>
      </c>
      <c r="S81" s="633">
        <f>CCBASE!$I$8</f>
        <v/>
      </c>
      <c r="T81" s="633">
        <f>CCBASE!$I$44</f>
        <v/>
      </c>
      <c r="U81" s="632" t="n"/>
      <c r="V81" s="632" t="n"/>
      <c r="W81" s="633">
        <f>CCBASE!$I$42*B81/1000</f>
        <v/>
      </c>
      <c r="X81" s="633" t="n"/>
      <c r="Y81" s="633" t="n"/>
      <c r="Z81" s="633" t="n"/>
      <c r="AA81" s="633" t="n"/>
      <c r="AB81" s="633" t="n"/>
      <c r="AC81" s="633" t="n"/>
      <c r="AD81" s="633">
        <f>CCBASE!$I$38*2</f>
        <v/>
      </c>
    </row>
    <row r="82">
      <c r="A82" s="631" t="inlineStr">
        <is>
          <t>UVI</t>
        </is>
      </c>
      <c r="B82" s="631" t="n">
        <v>3000</v>
      </c>
      <c r="C82" s="631" t="n">
        <v>1750</v>
      </c>
      <c r="D82" s="631">
        <f>A82&amp;B82&amp;C82</f>
        <v/>
      </c>
      <c r="E82" s="1040">
        <f>SUM(G82:AD82)</f>
        <v/>
      </c>
      <c r="F82" s="632" t="n">
        <v>24</v>
      </c>
      <c r="G82" s="633">
        <f>F82*CCBASE!$B$51</f>
        <v/>
      </c>
      <c r="H82" s="633">
        <f>CCBASE!$I$11*B82/1000</f>
        <v/>
      </c>
      <c r="I82" s="633" t="n"/>
      <c r="J82" s="633" t="n"/>
      <c r="K82" s="633" t="n"/>
      <c r="L82" s="633">
        <f>CCBASE!$I$14*B82/1000</f>
        <v/>
      </c>
      <c r="M82" s="633" t="n"/>
      <c r="N82" s="633" t="n"/>
      <c r="O82" s="633">
        <f>CCBASE!$I$45*B82/1000</f>
        <v/>
      </c>
      <c r="P82" s="633">
        <f>CCBASE!$I$9</f>
        <v/>
      </c>
      <c r="Q82" s="633">
        <f>CCBASE!$H$51</f>
        <v/>
      </c>
      <c r="R82" s="633">
        <f>CCBASE!$I$4</f>
        <v/>
      </c>
      <c r="S82" s="633">
        <f>CCBASE!$I$8</f>
        <v/>
      </c>
      <c r="T82" s="633">
        <f>CCBASE!$I$44</f>
        <v/>
      </c>
      <c r="U82" s="632" t="n"/>
      <c r="V82" s="632" t="n"/>
      <c r="W82" s="633">
        <f>CCBASE!$I$42*B82/1000</f>
        <v/>
      </c>
      <c r="X82" s="633" t="n"/>
      <c r="Y82" s="633" t="n"/>
      <c r="Z82" s="633" t="n"/>
      <c r="AA82" s="633" t="n"/>
      <c r="AB82" s="633" t="n"/>
      <c r="AC82" s="633" t="n"/>
      <c r="AD82" s="633">
        <f>CCBASE!$I$38*2</f>
        <v/>
      </c>
    </row>
    <row r="83">
      <c r="A83" s="631" t="inlineStr">
        <is>
          <t>UVI</t>
        </is>
      </c>
      <c r="B83" s="631" t="n">
        <v>1000</v>
      </c>
      <c r="C83" s="631" t="n">
        <v>2000</v>
      </c>
      <c r="D83" s="631">
        <f>A83&amp;B83&amp;C83</f>
        <v/>
      </c>
      <c r="E83" s="1040">
        <f>SUM(G83:AD83)</f>
        <v/>
      </c>
      <c r="F83" s="632" t="n">
        <v>19</v>
      </c>
      <c r="G83" s="633">
        <f>F83*CCBASE!$B$51</f>
        <v/>
      </c>
      <c r="H83" s="633">
        <f>CCBASE!$I$11*B83/1000</f>
        <v/>
      </c>
      <c r="I83" s="633" t="n"/>
      <c r="J83" s="633" t="n"/>
      <c r="K83" s="633" t="n"/>
      <c r="L83" s="633">
        <f>CCBASE!$I$14*B83/1000</f>
        <v/>
      </c>
      <c r="M83" s="633" t="n"/>
      <c r="N83" s="633" t="n"/>
      <c r="O83" s="633">
        <f>CCBASE!$I$45*B83/1000</f>
        <v/>
      </c>
      <c r="P83" s="633">
        <f>CCBASE!$I$10</f>
        <v/>
      </c>
      <c r="Q83" s="633">
        <f>CCBASE!$H$51</f>
        <v/>
      </c>
      <c r="R83" s="633">
        <f>CCBASE!$I$4</f>
        <v/>
      </c>
      <c r="S83" s="633">
        <f>CCBASE!$I$8</f>
        <v/>
      </c>
      <c r="T83" s="633">
        <f>CCBASE!$I$44</f>
        <v/>
      </c>
      <c r="U83" s="632" t="n"/>
      <c r="V83" s="632" t="n"/>
      <c r="W83" s="633">
        <f>CCBASE!$I$43*B83/1000</f>
        <v/>
      </c>
      <c r="X83" s="633" t="n"/>
      <c r="Y83" s="633" t="n"/>
      <c r="Z83" s="633" t="n"/>
      <c r="AA83" s="633" t="n"/>
      <c r="AB83" s="633" t="n"/>
      <c r="AC83" s="633" t="n"/>
      <c r="AD83" s="633">
        <f>CCBASE!$I$39*2</f>
        <v/>
      </c>
    </row>
    <row r="84">
      <c r="A84" s="631" t="inlineStr">
        <is>
          <t>UVI</t>
        </is>
      </c>
      <c r="B84" s="631" t="n">
        <v>1250</v>
      </c>
      <c r="C84" s="631" t="n">
        <v>2000</v>
      </c>
      <c r="D84" s="631">
        <f>A84&amp;B84&amp;C84</f>
        <v/>
      </c>
      <c r="E84" s="1040">
        <f>SUM(G84:AD84)</f>
        <v/>
      </c>
      <c r="F84" s="632" t="n">
        <v>19</v>
      </c>
      <c r="G84" s="633">
        <f>F84*CCBASE!$B$51</f>
        <v/>
      </c>
      <c r="H84" s="633">
        <f>CCBASE!$I$11*B84/1000</f>
        <v/>
      </c>
      <c r="I84" s="633" t="n"/>
      <c r="J84" s="633" t="n"/>
      <c r="K84" s="633" t="n"/>
      <c r="L84" s="633">
        <f>CCBASE!$I$14*B84/1000</f>
        <v/>
      </c>
      <c r="M84" s="633" t="n"/>
      <c r="N84" s="633" t="n"/>
      <c r="O84" s="633">
        <f>CCBASE!$I$45*B84/1000</f>
        <v/>
      </c>
      <c r="P84" s="633">
        <f>CCBASE!$I$10</f>
        <v/>
      </c>
      <c r="Q84" s="633">
        <f>CCBASE!$H$51</f>
        <v/>
      </c>
      <c r="R84" s="633">
        <f>CCBASE!$I$4</f>
        <v/>
      </c>
      <c r="S84" s="633">
        <f>CCBASE!$I$8</f>
        <v/>
      </c>
      <c r="T84" s="633">
        <f>CCBASE!$I$44</f>
        <v/>
      </c>
      <c r="U84" s="632" t="n"/>
      <c r="V84" s="632" t="n"/>
      <c r="W84" s="633">
        <f>CCBASE!$I$43*B84/1000</f>
        <v/>
      </c>
      <c r="X84" s="633" t="n"/>
      <c r="Y84" s="633" t="n"/>
      <c r="Z84" s="633" t="n"/>
      <c r="AA84" s="633" t="n"/>
      <c r="AB84" s="633" t="n"/>
      <c r="AC84" s="633" t="n"/>
      <c r="AD84" s="633">
        <f>CCBASE!$I$39*2</f>
        <v/>
      </c>
    </row>
    <row r="85">
      <c r="A85" s="631" t="inlineStr">
        <is>
          <t>UVI</t>
        </is>
      </c>
      <c r="B85" s="631" t="n">
        <v>1500</v>
      </c>
      <c r="C85" s="631" t="n">
        <v>2000</v>
      </c>
      <c r="D85" s="631">
        <f>A85&amp;B85&amp;C85</f>
        <v/>
      </c>
      <c r="E85" s="1040">
        <f>SUM(G85:AD85)</f>
        <v/>
      </c>
      <c r="F85" s="632" t="n">
        <v>19</v>
      </c>
      <c r="G85" s="633">
        <f>F85*CCBASE!$B$51</f>
        <v/>
      </c>
      <c r="H85" s="633">
        <f>CCBASE!$I$11*B85/1000</f>
        <v/>
      </c>
      <c r="I85" s="633" t="n"/>
      <c r="J85" s="633" t="n"/>
      <c r="K85" s="633" t="n"/>
      <c r="L85" s="633">
        <f>CCBASE!$I$14*B85/1000</f>
        <v/>
      </c>
      <c r="M85" s="633" t="n"/>
      <c r="N85" s="633" t="n"/>
      <c r="O85" s="633">
        <f>CCBASE!$I$45*B85/1000</f>
        <v/>
      </c>
      <c r="P85" s="633">
        <f>CCBASE!$I$10</f>
        <v/>
      </c>
      <c r="Q85" s="633">
        <f>CCBASE!$H$51</f>
        <v/>
      </c>
      <c r="R85" s="633">
        <f>CCBASE!$I$4</f>
        <v/>
      </c>
      <c r="S85" s="633">
        <f>CCBASE!$I$8</f>
        <v/>
      </c>
      <c r="T85" s="633">
        <f>CCBASE!$I$44</f>
        <v/>
      </c>
      <c r="U85" s="632" t="n"/>
      <c r="V85" s="632" t="n"/>
      <c r="W85" s="633">
        <f>CCBASE!$I$43*B85/1000</f>
        <v/>
      </c>
      <c r="X85" s="633" t="n"/>
      <c r="Y85" s="633" t="n"/>
      <c r="Z85" s="633" t="n"/>
      <c r="AA85" s="633" t="n"/>
      <c r="AB85" s="633" t="n"/>
      <c r="AC85" s="633" t="n"/>
      <c r="AD85" s="633">
        <f>CCBASE!$I$39*2</f>
        <v/>
      </c>
    </row>
    <row r="86">
      <c r="A86" s="631" t="inlineStr">
        <is>
          <t>UVI</t>
        </is>
      </c>
      <c r="B86" s="631" t="n">
        <v>1750</v>
      </c>
      <c r="C86" s="631" t="n">
        <v>2000</v>
      </c>
      <c r="D86" s="631">
        <f>A86&amp;B86&amp;C86</f>
        <v/>
      </c>
      <c r="E86" s="1040">
        <f>SUM(G86:AD86)</f>
        <v/>
      </c>
      <c r="F86" s="632" t="n">
        <v>19</v>
      </c>
      <c r="G86" s="633">
        <f>F86*CCBASE!$B$51</f>
        <v/>
      </c>
      <c r="H86" s="633">
        <f>CCBASE!$I$11*B86/1000</f>
        <v/>
      </c>
      <c r="I86" s="633" t="n"/>
      <c r="J86" s="633" t="n"/>
      <c r="K86" s="633" t="n"/>
      <c r="L86" s="633">
        <f>CCBASE!$I$14*B86/1000</f>
        <v/>
      </c>
      <c r="M86" s="633" t="n"/>
      <c r="N86" s="633" t="n"/>
      <c r="O86" s="633">
        <f>CCBASE!$I$45*B86/1000</f>
        <v/>
      </c>
      <c r="P86" s="633">
        <f>CCBASE!$I$9</f>
        <v/>
      </c>
      <c r="Q86" s="633">
        <f>CCBASE!$H$51</f>
        <v/>
      </c>
      <c r="R86" s="633">
        <f>CCBASE!$I$4</f>
        <v/>
      </c>
      <c r="S86" s="633">
        <f>CCBASE!$I$8</f>
        <v/>
      </c>
      <c r="T86" s="633">
        <f>CCBASE!$I$44</f>
        <v/>
      </c>
      <c r="U86" s="632" t="n"/>
      <c r="V86" s="632" t="n"/>
      <c r="W86" s="633">
        <f>CCBASE!$I$43*B86/1000</f>
        <v/>
      </c>
      <c r="X86" s="633" t="n"/>
      <c r="Y86" s="633" t="n"/>
      <c r="Z86" s="633" t="n"/>
      <c r="AA86" s="633" t="n"/>
      <c r="AB86" s="633" t="n"/>
      <c r="AC86" s="633" t="n"/>
      <c r="AD86" s="633">
        <f>CCBASE!$I$39*2</f>
        <v/>
      </c>
    </row>
    <row r="87">
      <c r="A87" s="631" t="inlineStr">
        <is>
          <t>UVI</t>
        </is>
      </c>
      <c r="B87" s="631" t="n">
        <v>2000</v>
      </c>
      <c r="C87" s="631" t="n">
        <v>2000</v>
      </c>
      <c r="D87" s="631">
        <f>A87&amp;B87&amp;C87</f>
        <v/>
      </c>
      <c r="E87" s="1040">
        <f>SUM(G87:AD87)</f>
        <v/>
      </c>
      <c r="F87" s="632" t="n">
        <v>19</v>
      </c>
      <c r="G87" s="633">
        <f>F87*CCBASE!$B$51</f>
        <v/>
      </c>
      <c r="H87" s="633">
        <f>CCBASE!$I$11*B87/1000</f>
        <v/>
      </c>
      <c r="I87" s="633" t="n"/>
      <c r="J87" s="633" t="n"/>
      <c r="K87" s="633" t="n"/>
      <c r="L87" s="633">
        <f>CCBASE!$I$14*B87/1000</f>
        <v/>
      </c>
      <c r="M87" s="633" t="n"/>
      <c r="N87" s="633" t="n"/>
      <c r="O87" s="633">
        <f>CCBASE!$I$45*B87/1000</f>
        <v/>
      </c>
      <c r="P87" s="633">
        <f>CCBASE!$I$9</f>
        <v/>
      </c>
      <c r="Q87" s="633">
        <f>CCBASE!$H$51</f>
        <v/>
      </c>
      <c r="R87" s="633">
        <f>CCBASE!$I$4</f>
        <v/>
      </c>
      <c r="S87" s="633">
        <f>CCBASE!$I$8</f>
        <v/>
      </c>
      <c r="T87" s="633">
        <f>CCBASE!$I$44</f>
        <v/>
      </c>
      <c r="U87" s="632" t="n"/>
      <c r="V87" s="632" t="n"/>
      <c r="W87" s="633">
        <f>CCBASE!$I$43*B87/1000</f>
        <v/>
      </c>
      <c r="X87" s="633" t="n"/>
      <c r="Y87" s="633" t="n"/>
      <c r="Z87" s="633" t="n"/>
      <c r="AA87" s="633" t="n"/>
      <c r="AB87" s="633" t="n"/>
      <c r="AC87" s="633" t="n"/>
      <c r="AD87" s="633">
        <f>CCBASE!$I$39*2</f>
        <v/>
      </c>
    </row>
    <row r="88">
      <c r="A88" s="631" t="inlineStr">
        <is>
          <t>UVI</t>
        </is>
      </c>
      <c r="B88" s="631" t="n">
        <v>2250</v>
      </c>
      <c r="C88" s="631" t="n">
        <v>2000</v>
      </c>
      <c r="D88" s="631">
        <f>A88&amp;B88&amp;C88</f>
        <v/>
      </c>
      <c r="E88" s="1040">
        <f>SUM(G88:AD88)</f>
        <v/>
      </c>
      <c r="F88" s="632" t="n">
        <v>24</v>
      </c>
      <c r="G88" s="633">
        <f>F88*CCBASE!$B$51</f>
        <v/>
      </c>
      <c r="H88" s="633">
        <f>CCBASE!$I$11*B88/1000</f>
        <v/>
      </c>
      <c r="I88" s="633" t="n"/>
      <c r="J88" s="633" t="n"/>
      <c r="K88" s="633" t="n"/>
      <c r="L88" s="633">
        <f>CCBASE!$I$14*B88/1000</f>
        <v/>
      </c>
      <c r="M88" s="633" t="n"/>
      <c r="N88" s="633" t="n"/>
      <c r="O88" s="633">
        <f>CCBASE!$I$45*B88/1000</f>
        <v/>
      </c>
      <c r="P88" s="633">
        <f>CCBASE!$I$9</f>
        <v/>
      </c>
      <c r="Q88" s="633">
        <f>CCBASE!$H$51</f>
        <v/>
      </c>
      <c r="R88" s="633">
        <f>CCBASE!$I$4</f>
        <v/>
      </c>
      <c r="S88" s="633">
        <f>CCBASE!$I$8</f>
        <v/>
      </c>
      <c r="T88" s="633">
        <f>CCBASE!$I$44</f>
        <v/>
      </c>
      <c r="U88" s="632" t="n"/>
      <c r="V88" s="632" t="n"/>
      <c r="W88" s="633">
        <f>CCBASE!$I$43*B88/1000</f>
        <v/>
      </c>
      <c r="X88" s="633" t="n"/>
      <c r="Y88" s="633" t="n"/>
      <c r="Z88" s="633" t="n"/>
      <c r="AA88" s="633" t="n"/>
      <c r="AB88" s="633" t="n"/>
      <c r="AC88" s="633" t="n"/>
      <c r="AD88" s="633">
        <f>CCBASE!$I$39*2</f>
        <v/>
      </c>
    </row>
    <row r="89">
      <c r="A89" s="631" t="inlineStr">
        <is>
          <t>UVI</t>
        </is>
      </c>
      <c r="B89" s="631" t="n">
        <v>2500</v>
      </c>
      <c r="C89" s="631" t="n">
        <v>2000</v>
      </c>
      <c r="D89" s="631">
        <f>A89&amp;B89&amp;C89</f>
        <v/>
      </c>
      <c r="E89" s="1040">
        <f>SUM(G89:AD89)</f>
        <v/>
      </c>
      <c r="F89" s="632" t="n">
        <v>24</v>
      </c>
      <c r="G89" s="633">
        <f>F89*CCBASE!$B$51</f>
        <v/>
      </c>
      <c r="H89" s="633">
        <f>CCBASE!$I$11*B89/1000</f>
        <v/>
      </c>
      <c r="I89" s="633" t="n"/>
      <c r="J89" s="633" t="n"/>
      <c r="K89" s="633" t="n"/>
      <c r="L89" s="633">
        <f>CCBASE!$I$14*B89/1000</f>
        <v/>
      </c>
      <c r="M89" s="633" t="n"/>
      <c r="N89" s="633" t="n"/>
      <c r="O89" s="633">
        <f>CCBASE!$I$45*B89/1000</f>
        <v/>
      </c>
      <c r="P89" s="633">
        <f>CCBASE!$I$9</f>
        <v/>
      </c>
      <c r="Q89" s="633">
        <f>CCBASE!$H$51</f>
        <v/>
      </c>
      <c r="R89" s="633">
        <f>CCBASE!$I$4</f>
        <v/>
      </c>
      <c r="S89" s="633">
        <f>CCBASE!$I$8</f>
        <v/>
      </c>
      <c r="T89" s="633">
        <f>CCBASE!$I$44</f>
        <v/>
      </c>
      <c r="U89" s="632" t="n"/>
      <c r="V89" s="632" t="n"/>
      <c r="W89" s="633">
        <f>CCBASE!$I$43*B89/1000</f>
        <v/>
      </c>
      <c r="X89" s="633" t="n"/>
      <c r="Y89" s="633" t="n"/>
      <c r="Z89" s="633" t="n"/>
      <c r="AA89" s="633" t="n"/>
      <c r="AB89" s="633" t="n"/>
      <c r="AC89" s="633" t="n"/>
      <c r="AD89" s="633">
        <f>CCBASE!$I$39*2</f>
        <v/>
      </c>
    </row>
    <row r="90">
      <c r="A90" s="631" t="inlineStr">
        <is>
          <t>UVI</t>
        </is>
      </c>
      <c r="B90" s="631" t="n">
        <v>2750</v>
      </c>
      <c r="C90" s="631" t="n">
        <v>2000</v>
      </c>
      <c r="D90" s="631">
        <f>A90&amp;B90&amp;C90</f>
        <v/>
      </c>
      <c r="E90" s="1040">
        <f>SUM(G90:AD90)</f>
        <v/>
      </c>
      <c r="F90" s="632" t="n">
        <v>24</v>
      </c>
      <c r="G90" s="633">
        <f>F90*CCBASE!$B$51</f>
        <v/>
      </c>
      <c r="H90" s="633">
        <f>CCBASE!$I$11*B90/1000</f>
        <v/>
      </c>
      <c r="I90" s="633" t="n"/>
      <c r="J90" s="633" t="n"/>
      <c r="K90" s="633" t="n"/>
      <c r="L90" s="633">
        <f>CCBASE!$I$14*B90/1000</f>
        <v/>
      </c>
      <c r="M90" s="633" t="n"/>
      <c r="N90" s="633" t="n"/>
      <c r="O90" s="633">
        <f>CCBASE!$I$45*B90/1000</f>
        <v/>
      </c>
      <c r="P90" s="633">
        <f>CCBASE!$I$9</f>
        <v/>
      </c>
      <c r="Q90" s="633">
        <f>CCBASE!$H$51</f>
        <v/>
      </c>
      <c r="R90" s="633">
        <f>CCBASE!$I$4</f>
        <v/>
      </c>
      <c r="S90" s="633">
        <f>CCBASE!$I$8</f>
        <v/>
      </c>
      <c r="T90" s="633">
        <f>CCBASE!$I$44</f>
        <v/>
      </c>
      <c r="U90" s="632" t="n"/>
      <c r="V90" s="632" t="n"/>
      <c r="W90" s="633">
        <f>CCBASE!$I$43*B90/1000</f>
        <v/>
      </c>
      <c r="X90" s="633" t="n"/>
      <c r="Y90" s="633" t="n"/>
      <c r="Z90" s="633" t="n"/>
      <c r="AA90" s="633" t="n"/>
      <c r="AB90" s="633" t="n"/>
      <c r="AC90" s="633" t="n"/>
      <c r="AD90" s="633">
        <f>CCBASE!$I$39*2</f>
        <v/>
      </c>
    </row>
    <row r="91">
      <c r="A91" s="631" t="inlineStr">
        <is>
          <t>UVI</t>
        </is>
      </c>
      <c r="B91" s="631" t="n">
        <v>3000</v>
      </c>
      <c r="C91" s="631" t="n">
        <v>2000</v>
      </c>
      <c r="D91" s="631">
        <f>A91&amp;B91&amp;C91</f>
        <v/>
      </c>
      <c r="E91" s="1040">
        <f>SUM(G91:AD91)</f>
        <v/>
      </c>
      <c r="F91" s="632" t="n">
        <v>24</v>
      </c>
      <c r="G91" s="633">
        <f>F91*CCBASE!$B$51</f>
        <v/>
      </c>
      <c r="H91" s="633">
        <f>CCBASE!$I$11*B91/1000</f>
        <v/>
      </c>
      <c r="I91" s="633" t="n"/>
      <c r="J91" s="633" t="n"/>
      <c r="K91" s="633" t="n"/>
      <c r="L91" s="633">
        <f>CCBASE!$I$14*B91/1000</f>
        <v/>
      </c>
      <c r="M91" s="633" t="n"/>
      <c r="N91" s="633" t="n"/>
      <c r="O91" s="633">
        <f>CCBASE!$I$45*B91/1000</f>
        <v/>
      </c>
      <c r="P91" s="633">
        <f>CCBASE!$I$9</f>
        <v/>
      </c>
      <c r="Q91" s="633">
        <f>CCBASE!$H$51</f>
        <v/>
      </c>
      <c r="R91" s="633">
        <f>CCBASE!$I$4</f>
        <v/>
      </c>
      <c r="S91" s="633">
        <f>CCBASE!$I$8</f>
        <v/>
      </c>
      <c r="T91" s="633">
        <f>CCBASE!$I$44</f>
        <v/>
      </c>
      <c r="U91" s="632" t="n"/>
      <c r="V91" s="632" t="n"/>
      <c r="W91" s="633">
        <f>CCBASE!$I$43*B91/1000</f>
        <v/>
      </c>
      <c r="X91" s="633" t="n"/>
      <c r="Y91" s="633" t="n"/>
      <c r="Z91" s="633" t="n"/>
      <c r="AA91" s="633" t="n"/>
      <c r="AB91" s="633" t="n"/>
      <c r="AC91" s="633" t="n"/>
      <c r="AD91" s="633">
        <f>CCBASE!$I$39*2</f>
        <v/>
      </c>
    </row>
    <row r="92">
      <c r="A92" s="631" t="inlineStr">
        <is>
          <t>UVF</t>
        </is>
      </c>
      <c r="B92" s="631" t="n">
        <v>1000</v>
      </c>
      <c r="C92" s="631" t="n">
        <v>1000</v>
      </c>
      <c r="D92" s="631">
        <f>A92&amp;B92&amp;C92</f>
        <v/>
      </c>
      <c r="E92" s="1040">
        <f>SUM(G92:AD92)</f>
        <v/>
      </c>
      <c r="F92" s="632" t="n">
        <v>27.5</v>
      </c>
      <c r="G92" s="633">
        <f>F92*CCBASE!$B$51</f>
        <v/>
      </c>
      <c r="H92" s="633">
        <f>CCBASE!$I$11*B92/1000</f>
        <v/>
      </c>
      <c r="I92" s="633" t="n"/>
      <c r="J92" s="633" t="n"/>
      <c r="K92" s="633" t="n"/>
      <c r="L92" s="633">
        <f>CCBASE!$I$13*B92/1000</f>
        <v/>
      </c>
      <c r="M92" s="633" t="n"/>
      <c r="N92" s="633">
        <f>CCBASE!$I$7*B92/1000</f>
        <v/>
      </c>
      <c r="O92" s="633">
        <f>CCBASE!$I$45*B92/1000</f>
        <v/>
      </c>
      <c r="P92" s="633">
        <f>CCBASE!$I$10</f>
        <v/>
      </c>
      <c r="Q92" s="633">
        <f>CCBASE!$H$51</f>
        <v/>
      </c>
      <c r="R92" s="633">
        <f>CCBASE!$I$4</f>
        <v/>
      </c>
      <c r="S92" s="633">
        <f>CCBASE!$I$8</f>
        <v/>
      </c>
      <c r="T92" s="633">
        <f>CCBASE!$I$44</f>
        <v/>
      </c>
      <c r="U92" s="633">
        <f>CCBASE!$I$47</f>
        <v/>
      </c>
      <c r="V92" s="633">
        <f>CCBASE!$I$46</f>
        <v/>
      </c>
      <c r="W92" s="633">
        <f>CCBASE!$I$40*B92/1000</f>
        <v/>
      </c>
      <c r="X92" s="633" t="n"/>
      <c r="Y92" s="633" t="n"/>
      <c r="Z92" s="633" t="n"/>
      <c r="AA92" s="633" t="n"/>
      <c r="AB92" s="633" t="n"/>
      <c r="AC92" s="633" t="n"/>
      <c r="AD92" s="633">
        <f>CCBASE!$I$36*2</f>
        <v/>
      </c>
    </row>
    <row r="93">
      <c r="A93" s="631" t="inlineStr">
        <is>
          <t>UVF</t>
        </is>
      </c>
      <c r="B93" s="631" t="n">
        <v>1250</v>
      </c>
      <c r="C93" s="631" t="n">
        <v>1000</v>
      </c>
      <c r="D93" s="631">
        <f>A93&amp;B93&amp;C93</f>
        <v/>
      </c>
      <c r="E93" s="1040">
        <f>SUM(G93:AD93)</f>
        <v/>
      </c>
      <c r="F93" s="632" t="n">
        <v>27.5</v>
      </c>
      <c r="G93" s="633">
        <f>F93*CCBASE!$B$51</f>
        <v/>
      </c>
      <c r="H93" s="633">
        <f>CCBASE!$I$11*B93/1000</f>
        <v/>
      </c>
      <c r="I93" s="633" t="n"/>
      <c r="J93" s="633" t="n"/>
      <c r="K93" s="633" t="n"/>
      <c r="L93" s="633">
        <f>CCBASE!$I$13*B93/1000</f>
        <v/>
      </c>
      <c r="M93" s="633" t="n"/>
      <c r="N93" s="633">
        <f>CCBASE!$I$7*B93/1000</f>
        <v/>
      </c>
      <c r="O93" s="633">
        <f>CCBASE!$I$45*B93/1000</f>
        <v/>
      </c>
      <c r="P93" s="633">
        <f>CCBASE!$I$10</f>
        <v/>
      </c>
      <c r="Q93" s="633">
        <f>CCBASE!$H$51</f>
        <v/>
      </c>
      <c r="R93" s="633">
        <f>CCBASE!$I$4</f>
        <v/>
      </c>
      <c r="S93" s="633">
        <f>CCBASE!$I$8</f>
        <v/>
      </c>
      <c r="T93" s="633">
        <f>CCBASE!$I$44</f>
        <v/>
      </c>
      <c r="U93" s="633">
        <f>CCBASE!$I$47*2</f>
        <v/>
      </c>
      <c r="V93" s="633">
        <f>CCBASE!$I$46</f>
        <v/>
      </c>
      <c r="W93" s="633">
        <f>CCBASE!$I$40*B93/1000</f>
        <v/>
      </c>
      <c r="X93" s="633" t="n"/>
      <c r="Y93" s="633" t="n"/>
      <c r="Z93" s="633" t="n"/>
      <c r="AA93" s="633" t="n"/>
      <c r="AB93" s="633" t="n"/>
      <c r="AC93" s="633" t="n"/>
      <c r="AD93" s="633">
        <f>CCBASE!$I$36*2</f>
        <v/>
      </c>
    </row>
    <row r="94">
      <c r="A94" s="631" t="inlineStr">
        <is>
          <t>UVF</t>
        </is>
      </c>
      <c r="B94" s="631" t="n">
        <v>1500</v>
      </c>
      <c r="C94" s="631" t="n">
        <v>1000</v>
      </c>
      <c r="D94" s="631">
        <f>A94&amp;B94&amp;C94</f>
        <v/>
      </c>
      <c r="E94" s="1040">
        <f>SUM(G94:AD94)</f>
        <v/>
      </c>
      <c r="F94" s="632" t="n">
        <v>27.5</v>
      </c>
      <c r="G94" s="633">
        <f>F94*CCBASE!$B$51</f>
        <v/>
      </c>
      <c r="H94" s="633">
        <f>CCBASE!$I$11*B94/1000</f>
        <v/>
      </c>
      <c r="I94" s="633" t="n"/>
      <c r="J94" s="633" t="n"/>
      <c r="K94" s="633" t="n"/>
      <c r="L94" s="633">
        <f>CCBASE!$I$13*B94/1000</f>
        <v/>
      </c>
      <c r="M94" s="633" t="n"/>
      <c r="N94" s="633">
        <f>CCBASE!$I$7*B94/1000</f>
        <v/>
      </c>
      <c r="O94" s="633">
        <f>CCBASE!$I$45*B94/1000</f>
        <v/>
      </c>
      <c r="P94" s="633">
        <f>CCBASE!$I$10</f>
        <v/>
      </c>
      <c r="Q94" s="633">
        <f>CCBASE!$H$51</f>
        <v/>
      </c>
      <c r="R94" s="633">
        <f>CCBASE!$I$4</f>
        <v/>
      </c>
      <c r="S94" s="633">
        <f>CCBASE!$I$8</f>
        <v/>
      </c>
      <c r="T94" s="633">
        <f>CCBASE!$I$44</f>
        <v/>
      </c>
      <c r="U94" s="633">
        <f>CCBASE!$I$47*2</f>
        <v/>
      </c>
      <c r="V94" s="633">
        <f>CCBASE!$I$46</f>
        <v/>
      </c>
      <c r="W94" s="633">
        <f>CCBASE!$I$40*B94/1000</f>
        <v/>
      </c>
      <c r="X94" s="633" t="n"/>
      <c r="Y94" s="633" t="n"/>
      <c r="Z94" s="633" t="n"/>
      <c r="AA94" s="633" t="n"/>
      <c r="AB94" s="633" t="n"/>
      <c r="AC94" s="633" t="n"/>
      <c r="AD94" s="633">
        <f>CCBASE!$I$36*2</f>
        <v/>
      </c>
    </row>
    <row r="95">
      <c r="A95" s="631" t="inlineStr">
        <is>
          <t>UVF</t>
        </is>
      </c>
      <c r="B95" s="631" t="n">
        <v>1750</v>
      </c>
      <c r="C95" s="631" t="n">
        <v>1000</v>
      </c>
      <c r="D95" s="631">
        <f>A95&amp;B95&amp;C95</f>
        <v/>
      </c>
      <c r="E95" s="1040">
        <f>SUM(G95:AD95)</f>
        <v/>
      </c>
      <c r="F95" s="632" t="n">
        <v>27.5</v>
      </c>
      <c r="G95" s="633">
        <f>F95*CCBASE!$B$51</f>
        <v/>
      </c>
      <c r="H95" s="633">
        <f>CCBASE!$I$11*B95/1000</f>
        <v/>
      </c>
      <c r="I95" s="633" t="n"/>
      <c r="J95" s="633" t="n"/>
      <c r="K95" s="633" t="n"/>
      <c r="L95" s="633">
        <f>CCBASE!$I$13*B95/1000</f>
        <v/>
      </c>
      <c r="M95" s="633" t="n"/>
      <c r="N95" s="633">
        <f>CCBASE!$I$7*B95/1000</f>
        <v/>
      </c>
      <c r="O95" s="633">
        <f>CCBASE!$I$45*B95/1000</f>
        <v/>
      </c>
      <c r="P95" s="633">
        <f>CCBASE!$I$9</f>
        <v/>
      </c>
      <c r="Q95" s="633">
        <f>CCBASE!$H$51</f>
        <v/>
      </c>
      <c r="R95" s="633">
        <f>CCBASE!$I$4</f>
        <v/>
      </c>
      <c r="S95" s="633">
        <f>CCBASE!$I$8</f>
        <v/>
      </c>
      <c r="T95" s="633">
        <f>CCBASE!$I$44</f>
        <v/>
      </c>
      <c r="U95" s="633">
        <f>CCBASE!$I$47*2</f>
        <v/>
      </c>
      <c r="V95" s="633">
        <f>CCBASE!$I$46*1.5</f>
        <v/>
      </c>
      <c r="W95" s="633">
        <f>CCBASE!$I$40*B95/1000</f>
        <v/>
      </c>
      <c r="X95" s="633" t="n"/>
      <c r="Y95" s="633" t="n"/>
      <c r="Z95" s="633" t="n"/>
      <c r="AA95" s="633" t="n"/>
      <c r="AB95" s="633" t="n"/>
      <c r="AC95" s="633" t="n"/>
      <c r="AD95" s="633">
        <f>CCBASE!$I$36*2</f>
        <v/>
      </c>
    </row>
    <row r="96">
      <c r="A96" s="631" t="inlineStr">
        <is>
          <t>UVF</t>
        </is>
      </c>
      <c r="B96" s="631" t="n">
        <v>2000</v>
      </c>
      <c r="C96" s="631" t="n">
        <v>1000</v>
      </c>
      <c r="D96" s="631">
        <f>A96&amp;B96&amp;C96</f>
        <v/>
      </c>
      <c r="E96" s="1040">
        <f>SUM(G96:AD96)</f>
        <v/>
      </c>
      <c r="F96" s="632" t="n">
        <v>27.5</v>
      </c>
      <c r="G96" s="633">
        <f>F96*CCBASE!$B$51</f>
        <v/>
      </c>
      <c r="H96" s="633">
        <f>CCBASE!$I$11*B96/1000</f>
        <v/>
      </c>
      <c r="I96" s="633" t="n"/>
      <c r="J96" s="633" t="n"/>
      <c r="K96" s="633" t="n"/>
      <c r="L96" s="633">
        <f>CCBASE!$I$13*B96/1000</f>
        <v/>
      </c>
      <c r="M96" s="633" t="n"/>
      <c r="N96" s="633">
        <f>CCBASE!$I$7*B96/1000</f>
        <v/>
      </c>
      <c r="O96" s="633">
        <f>CCBASE!$I$45*B96/1000</f>
        <v/>
      </c>
      <c r="P96" s="633">
        <f>CCBASE!$I$9</f>
        <v/>
      </c>
      <c r="Q96" s="633">
        <f>CCBASE!$H$51</f>
        <v/>
      </c>
      <c r="R96" s="633">
        <f>CCBASE!$I$4</f>
        <v/>
      </c>
      <c r="S96" s="633">
        <f>CCBASE!$I$8</f>
        <v/>
      </c>
      <c r="T96" s="633">
        <f>CCBASE!$I$44</f>
        <v/>
      </c>
      <c r="U96" s="633">
        <f>CCBASE!$I$47*2</f>
        <v/>
      </c>
      <c r="V96" s="633">
        <f>CCBASE!$I$46*1.5</f>
        <v/>
      </c>
      <c r="W96" s="633">
        <f>CCBASE!$I$40*B96/1000</f>
        <v/>
      </c>
      <c r="X96" s="633" t="n"/>
      <c r="Y96" s="633" t="n"/>
      <c r="Z96" s="633" t="n"/>
      <c r="AA96" s="633" t="n"/>
      <c r="AB96" s="633" t="n"/>
      <c r="AC96" s="633" t="n"/>
      <c r="AD96" s="633">
        <f>CCBASE!$I$36*2</f>
        <v/>
      </c>
    </row>
    <row r="97">
      <c r="A97" s="631" t="inlineStr">
        <is>
          <t>UVF</t>
        </is>
      </c>
      <c r="B97" s="631" t="n">
        <v>2250</v>
      </c>
      <c r="C97" s="631" t="n">
        <v>1000</v>
      </c>
      <c r="D97" s="631">
        <f>A97&amp;B97&amp;C97</f>
        <v/>
      </c>
      <c r="E97" s="1040">
        <f>SUM(G97:AD97)</f>
        <v/>
      </c>
      <c r="F97" s="632" t="n">
        <v>29.5</v>
      </c>
      <c r="G97" s="633">
        <f>F97*CCBASE!$B$51</f>
        <v/>
      </c>
      <c r="H97" s="633">
        <f>CCBASE!$I$11*B97/1000</f>
        <v/>
      </c>
      <c r="I97" s="633" t="n"/>
      <c r="J97" s="633" t="n"/>
      <c r="K97" s="633" t="n"/>
      <c r="L97" s="633">
        <f>CCBASE!$I$13*B97/1000</f>
        <v/>
      </c>
      <c r="M97" s="633" t="n"/>
      <c r="N97" s="633">
        <f>CCBASE!$I$7*B97/1000</f>
        <v/>
      </c>
      <c r="O97" s="633">
        <f>CCBASE!$I$45*B97/1000</f>
        <v/>
      </c>
      <c r="P97" s="633">
        <f>CCBASE!$I$9</f>
        <v/>
      </c>
      <c r="Q97" s="633">
        <f>CCBASE!$H$51</f>
        <v/>
      </c>
      <c r="R97" s="633">
        <f>CCBASE!$I$4</f>
        <v/>
      </c>
      <c r="S97" s="633">
        <f>CCBASE!$I$8</f>
        <v/>
      </c>
      <c r="T97" s="633">
        <f>CCBASE!$I$44</f>
        <v/>
      </c>
      <c r="U97" s="633">
        <f>CCBASE!$I$47*2</f>
        <v/>
      </c>
      <c r="V97" s="633">
        <f>CCBASE!$I$46*1.5</f>
        <v/>
      </c>
      <c r="W97" s="633">
        <f>CCBASE!$I$40*B97/1000</f>
        <v/>
      </c>
      <c r="X97" s="633" t="n"/>
      <c r="Y97" s="633" t="n"/>
      <c r="Z97" s="633" t="n"/>
      <c r="AA97" s="633" t="n"/>
      <c r="AB97" s="633" t="n"/>
      <c r="AC97" s="633" t="n"/>
      <c r="AD97" s="633">
        <f>CCBASE!$I$36*2</f>
        <v/>
      </c>
    </row>
    <row r="98">
      <c r="A98" s="631" t="inlineStr">
        <is>
          <t>UVF</t>
        </is>
      </c>
      <c r="B98" s="631" t="n">
        <v>2500</v>
      </c>
      <c r="C98" s="631" t="n">
        <v>1000</v>
      </c>
      <c r="D98" s="631">
        <f>A98&amp;B98&amp;C98</f>
        <v/>
      </c>
      <c r="E98" s="1040">
        <f>SUM(G98:AD98)</f>
        <v/>
      </c>
      <c r="F98" s="632" t="n">
        <v>29.5</v>
      </c>
      <c r="G98" s="633">
        <f>F98*CCBASE!$B$51</f>
        <v/>
      </c>
      <c r="H98" s="633">
        <f>CCBASE!$I$11*B98/1000</f>
        <v/>
      </c>
      <c r="I98" s="633" t="n"/>
      <c r="J98" s="633" t="n"/>
      <c r="K98" s="633" t="n"/>
      <c r="L98" s="633">
        <f>CCBASE!$I$13*B98/1000</f>
        <v/>
      </c>
      <c r="M98" s="633" t="n"/>
      <c r="N98" s="633">
        <f>CCBASE!$I$7*B98/1000</f>
        <v/>
      </c>
      <c r="O98" s="633">
        <f>CCBASE!$I$45*B98/1000</f>
        <v/>
      </c>
      <c r="P98" s="633">
        <f>CCBASE!$I$9</f>
        <v/>
      </c>
      <c r="Q98" s="633">
        <f>CCBASE!$H$51</f>
        <v/>
      </c>
      <c r="R98" s="633">
        <f>CCBASE!$I$4</f>
        <v/>
      </c>
      <c r="S98" s="633">
        <f>CCBASE!$I$8</f>
        <v/>
      </c>
      <c r="T98" s="633">
        <f>CCBASE!$I$44</f>
        <v/>
      </c>
      <c r="U98" s="633">
        <f>CCBASE!$I$47*2</f>
        <v/>
      </c>
      <c r="V98" s="633">
        <f>CCBASE!$I$46*1.5</f>
        <v/>
      </c>
      <c r="W98" s="633">
        <f>CCBASE!$I$40*B98/1000</f>
        <v/>
      </c>
      <c r="X98" s="633" t="n"/>
      <c r="Y98" s="633" t="n"/>
      <c r="Z98" s="633" t="n"/>
      <c r="AA98" s="633" t="n"/>
      <c r="AB98" s="633" t="n"/>
      <c r="AC98" s="633" t="n"/>
      <c r="AD98" s="633">
        <f>CCBASE!$I$36*2</f>
        <v/>
      </c>
    </row>
    <row r="99">
      <c r="A99" s="631" t="inlineStr">
        <is>
          <t>UVF</t>
        </is>
      </c>
      <c r="B99" s="631" t="n">
        <v>2750</v>
      </c>
      <c r="C99" s="631" t="n">
        <v>1000</v>
      </c>
      <c r="D99" s="631">
        <f>A99&amp;B99&amp;C99</f>
        <v/>
      </c>
      <c r="E99" s="1040">
        <f>SUM(G99:AD99)</f>
        <v/>
      </c>
      <c r="F99" s="632" t="n">
        <v>29.5</v>
      </c>
      <c r="G99" s="633">
        <f>F99*CCBASE!$B$51</f>
        <v/>
      </c>
      <c r="H99" s="633">
        <f>CCBASE!$I$11*B99/1000</f>
        <v/>
      </c>
      <c r="I99" s="633" t="n"/>
      <c r="J99" s="633" t="n"/>
      <c r="K99" s="633" t="n"/>
      <c r="L99" s="633">
        <f>CCBASE!$I$13*B99/1000</f>
        <v/>
      </c>
      <c r="M99" s="633" t="n"/>
      <c r="N99" s="633">
        <f>CCBASE!$I$7*B99/1000</f>
        <v/>
      </c>
      <c r="O99" s="633">
        <f>CCBASE!$I$45*B99/1000</f>
        <v/>
      </c>
      <c r="P99" s="633">
        <f>CCBASE!$I$9</f>
        <v/>
      </c>
      <c r="Q99" s="633">
        <f>CCBASE!$H$51</f>
        <v/>
      </c>
      <c r="R99" s="633">
        <f>CCBASE!$I$4</f>
        <v/>
      </c>
      <c r="S99" s="633">
        <f>CCBASE!$I$8</f>
        <v/>
      </c>
      <c r="T99" s="633">
        <f>CCBASE!$I$44</f>
        <v/>
      </c>
      <c r="U99" s="633">
        <f>CCBASE!$I$47*2</f>
        <v/>
      </c>
      <c r="V99" s="633">
        <f>CCBASE!$I$46*1.5</f>
        <v/>
      </c>
      <c r="W99" s="633">
        <f>CCBASE!$I$40*B99/1000</f>
        <v/>
      </c>
      <c r="X99" s="633" t="n"/>
      <c r="Y99" s="633" t="n"/>
      <c r="Z99" s="633" t="n"/>
      <c r="AA99" s="633" t="n"/>
      <c r="AB99" s="633" t="n"/>
      <c r="AC99" s="633" t="n"/>
      <c r="AD99" s="633">
        <f>CCBASE!$I$36*2</f>
        <v/>
      </c>
    </row>
    <row r="100">
      <c r="A100" s="631" t="inlineStr">
        <is>
          <t>UVF</t>
        </is>
      </c>
      <c r="B100" s="631" t="n">
        <v>3000</v>
      </c>
      <c r="C100" s="631" t="n">
        <v>1000</v>
      </c>
      <c r="D100" s="631">
        <f>A100&amp;B100&amp;C100</f>
        <v/>
      </c>
      <c r="E100" s="1040">
        <f>SUM(G100:AD100)</f>
        <v/>
      </c>
      <c r="F100" s="632" t="n">
        <v>29.5</v>
      </c>
      <c r="G100" s="633">
        <f>F100*CCBASE!$B$51</f>
        <v/>
      </c>
      <c r="H100" s="633">
        <f>CCBASE!$I$11*B100/1000</f>
        <v/>
      </c>
      <c r="I100" s="633" t="n"/>
      <c r="J100" s="633" t="n"/>
      <c r="K100" s="633" t="n"/>
      <c r="L100" s="633">
        <f>CCBASE!$I$13*B100/1000</f>
        <v/>
      </c>
      <c r="M100" s="633" t="n"/>
      <c r="N100" s="633">
        <f>CCBASE!$I$7*B100/1000</f>
        <v/>
      </c>
      <c r="O100" s="633">
        <f>CCBASE!$I$45*B100/1000</f>
        <v/>
      </c>
      <c r="P100" s="633">
        <f>CCBASE!$I$9</f>
        <v/>
      </c>
      <c r="Q100" s="633">
        <f>CCBASE!$H$51</f>
        <v/>
      </c>
      <c r="R100" s="633">
        <f>CCBASE!$I$4</f>
        <v/>
      </c>
      <c r="S100" s="633">
        <f>CCBASE!$I$8</f>
        <v/>
      </c>
      <c r="T100" s="633">
        <f>CCBASE!$I$44</f>
        <v/>
      </c>
      <c r="U100" s="633">
        <f>CCBASE!$I$47*2</f>
        <v/>
      </c>
      <c r="V100" s="633">
        <f>CCBASE!$I$46*1.5</f>
        <v/>
      </c>
      <c r="W100" s="633">
        <f>CCBASE!$I$40*B100/1000</f>
        <v/>
      </c>
      <c r="X100" s="633" t="n"/>
      <c r="Y100" s="633" t="n"/>
      <c r="Z100" s="633" t="n"/>
      <c r="AA100" s="633" t="n"/>
      <c r="AB100" s="633" t="n"/>
      <c r="AC100" s="633" t="n"/>
      <c r="AD100" s="633">
        <f>CCBASE!$I$36*2</f>
        <v/>
      </c>
    </row>
    <row r="101">
      <c r="A101" s="631" t="inlineStr">
        <is>
          <t>UVF</t>
        </is>
      </c>
      <c r="B101" s="631" t="n">
        <v>1000</v>
      </c>
      <c r="C101" s="631" t="n">
        <v>1250</v>
      </c>
      <c r="D101" s="631">
        <f>A101&amp;B101&amp;C101</f>
        <v/>
      </c>
      <c r="E101" s="1040">
        <f>SUM(G101:AD101)</f>
        <v/>
      </c>
      <c r="F101" s="632" t="n">
        <v>27.5</v>
      </c>
      <c r="G101" s="633">
        <f>F101*CCBASE!$B$51</f>
        <v/>
      </c>
      <c r="H101" s="633">
        <f>CCBASE!$I$11*B101/1000</f>
        <v/>
      </c>
      <c r="I101" s="633" t="n"/>
      <c r="J101" s="633" t="n"/>
      <c r="K101" s="633" t="n"/>
      <c r="L101" s="633">
        <f>CCBASE!$I$13*B101/1000</f>
        <v/>
      </c>
      <c r="M101" s="633" t="n"/>
      <c r="N101" s="633">
        <f>CCBASE!$I$7*B101/1000</f>
        <v/>
      </c>
      <c r="O101" s="633">
        <f>CCBASE!$I$45*B101/1000</f>
        <v/>
      </c>
      <c r="P101" s="633">
        <f>CCBASE!$I$10</f>
        <v/>
      </c>
      <c r="Q101" s="633">
        <f>CCBASE!$H$51</f>
        <v/>
      </c>
      <c r="R101" s="633">
        <f>CCBASE!$I$4</f>
        <v/>
      </c>
      <c r="S101" s="633">
        <f>CCBASE!$I$8</f>
        <v/>
      </c>
      <c r="T101" s="633">
        <f>CCBASE!$I$44</f>
        <v/>
      </c>
      <c r="U101" s="633">
        <f>CCBASE!$I$47</f>
        <v/>
      </c>
      <c r="V101" s="633">
        <f>CCBASE!$I$46</f>
        <v/>
      </c>
      <c r="W101" s="633">
        <f>CCBASE!$I$40*B101/1000</f>
        <v/>
      </c>
      <c r="X101" s="633" t="n"/>
      <c r="Y101" s="633" t="n"/>
      <c r="Z101" s="633" t="n"/>
      <c r="AA101" s="633" t="n"/>
      <c r="AB101" s="633" t="n"/>
      <c r="AC101" s="633" t="n"/>
      <c r="AD101" s="633">
        <f>CCBASE!$I$36*2</f>
        <v/>
      </c>
    </row>
    <row r="102">
      <c r="A102" s="631" t="inlineStr">
        <is>
          <t>UVF</t>
        </is>
      </c>
      <c r="B102" s="631" t="n">
        <v>1250</v>
      </c>
      <c r="C102" s="631" t="n">
        <v>1250</v>
      </c>
      <c r="D102" s="631">
        <f>A102&amp;B102&amp;C102</f>
        <v/>
      </c>
      <c r="E102" s="1040">
        <f>SUM(G102:AD102)</f>
        <v/>
      </c>
      <c r="F102" s="632" t="n">
        <v>27.5</v>
      </c>
      <c r="G102" s="633">
        <f>F102*CCBASE!$B$51</f>
        <v/>
      </c>
      <c r="H102" s="633">
        <f>CCBASE!$I$11*B102/1000</f>
        <v/>
      </c>
      <c r="I102" s="633" t="n"/>
      <c r="J102" s="633" t="n"/>
      <c r="K102" s="633" t="n"/>
      <c r="L102" s="633">
        <f>CCBASE!$I$13*B102/1000</f>
        <v/>
      </c>
      <c r="M102" s="633" t="n"/>
      <c r="N102" s="633">
        <f>CCBASE!$I$7*B102/1000</f>
        <v/>
      </c>
      <c r="O102" s="633">
        <f>CCBASE!$I$45*B102/1000</f>
        <v/>
      </c>
      <c r="P102" s="633">
        <f>CCBASE!$I$10</f>
        <v/>
      </c>
      <c r="Q102" s="633">
        <f>CCBASE!$H$51</f>
        <v/>
      </c>
      <c r="R102" s="633">
        <f>CCBASE!$I$4</f>
        <v/>
      </c>
      <c r="S102" s="633">
        <f>CCBASE!$I$8</f>
        <v/>
      </c>
      <c r="T102" s="633">
        <f>CCBASE!$I$44</f>
        <v/>
      </c>
      <c r="U102" s="633">
        <f>CCBASE!$I$47*2</f>
        <v/>
      </c>
      <c r="V102" s="633">
        <f>CCBASE!$I$46</f>
        <v/>
      </c>
      <c r="W102" s="633">
        <f>CCBASE!$I$40*B102/1000</f>
        <v/>
      </c>
      <c r="X102" s="633" t="n"/>
      <c r="Y102" s="633" t="n"/>
      <c r="Z102" s="633" t="n"/>
      <c r="AA102" s="633" t="n"/>
      <c r="AB102" s="633" t="n"/>
      <c r="AC102" s="633" t="n"/>
      <c r="AD102" s="633">
        <f>CCBASE!$I$36*2</f>
        <v/>
      </c>
    </row>
    <row r="103">
      <c r="A103" s="631" t="inlineStr">
        <is>
          <t>UVF</t>
        </is>
      </c>
      <c r="B103" s="631" t="n">
        <v>1500</v>
      </c>
      <c r="C103" s="631" t="n">
        <v>1250</v>
      </c>
      <c r="D103" s="631">
        <f>A103&amp;B103&amp;C103</f>
        <v/>
      </c>
      <c r="E103" s="1040">
        <f>SUM(G103:AD103)</f>
        <v/>
      </c>
      <c r="F103" s="632" t="n">
        <v>27.5</v>
      </c>
      <c r="G103" s="633">
        <f>F103*CCBASE!$B$51</f>
        <v/>
      </c>
      <c r="H103" s="633">
        <f>CCBASE!$I$11*B103/1000</f>
        <v/>
      </c>
      <c r="I103" s="633" t="n"/>
      <c r="J103" s="633" t="n"/>
      <c r="K103" s="633" t="n"/>
      <c r="L103" s="633">
        <f>CCBASE!$I$13*B103/1000</f>
        <v/>
      </c>
      <c r="M103" s="633" t="n"/>
      <c r="N103" s="633">
        <f>CCBASE!$I$7*B103/1000</f>
        <v/>
      </c>
      <c r="O103" s="633">
        <f>CCBASE!$I$45*B103/1000</f>
        <v/>
      </c>
      <c r="P103" s="633">
        <f>CCBASE!$I$10</f>
        <v/>
      </c>
      <c r="Q103" s="633">
        <f>CCBASE!$H$51</f>
        <v/>
      </c>
      <c r="R103" s="633">
        <f>CCBASE!$I$4</f>
        <v/>
      </c>
      <c r="S103" s="633">
        <f>CCBASE!$I$8</f>
        <v/>
      </c>
      <c r="T103" s="633">
        <f>CCBASE!$I$44</f>
        <v/>
      </c>
      <c r="U103" s="633">
        <f>CCBASE!$I$47*2</f>
        <v/>
      </c>
      <c r="V103" s="633">
        <f>CCBASE!$I$46</f>
        <v/>
      </c>
      <c r="W103" s="633">
        <f>CCBASE!$I$40*B103/1000</f>
        <v/>
      </c>
      <c r="X103" s="633" t="n"/>
      <c r="Y103" s="633" t="n"/>
      <c r="Z103" s="633" t="n"/>
      <c r="AA103" s="633" t="n"/>
      <c r="AB103" s="633" t="n"/>
      <c r="AC103" s="633" t="n"/>
      <c r="AD103" s="633">
        <f>CCBASE!$I$36*2</f>
        <v/>
      </c>
    </row>
    <row r="104">
      <c r="A104" s="631" t="inlineStr">
        <is>
          <t>UVF</t>
        </is>
      </c>
      <c r="B104" s="631" t="n">
        <v>1750</v>
      </c>
      <c r="C104" s="631" t="n">
        <v>1250</v>
      </c>
      <c r="D104" s="631">
        <f>A104&amp;B104&amp;C104</f>
        <v/>
      </c>
      <c r="E104" s="1040">
        <f>SUM(G104:AD104)</f>
        <v/>
      </c>
      <c r="F104" s="632" t="n">
        <v>27.5</v>
      </c>
      <c r="G104" s="633">
        <f>F104*CCBASE!$B$51</f>
        <v/>
      </c>
      <c r="H104" s="633">
        <f>CCBASE!$I$11*B104/1000</f>
        <v/>
      </c>
      <c r="I104" s="633" t="n"/>
      <c r="J104" s="633" t="n"/>
      <c r="K104" s="633" t="n"/>
      <c r="L104" s="633">
        <f>CCBASE!$I$13*B104/1000</f>
        <v/>
      </c>
      <c r="M104" s="633" t="n"/>
      <c r="N104" s="633">
        <f>CCBASE!$I$7*B104/1000</f>
        <v/>
      </c>
      <c r="O104" s="633">
        <f>CCBASE!$I$45*B104/1000</f>
        <v/>
      </c>
      <c r="P104" s="633">
        <f>CCBASE!$I$9</f>
        <v/>
      </c>
      <c r="Q104" s="633">
        <f>CCBASE!$H$51</f>
        <v/>
      </c>
      <c r="R104" s="633">
        <f>CCBASE!$I$4</f>
        <v/>
      </c>
      <c r="S104" s="633">
        <f>CCBASE!$I$8</f>
        <v/>
      </c>
      <c r="T104" s="633">
        <f>CCBASE!$I$44</f>
        <v/>
      </c>
      <c r="U104" s="633">
        <f>CCBASE!$I$47*2</f>
        <v/>
      </c>
      <c r="V104" s="633">
        <f>CCBASE!$I$46*1.5</f>
        <v/>
      </c>
      <c r="W104" s="633">
        <f>CCBASE!$I$40*B104/1000</f>
        <v/>
      </c>
      <c r="X104" s="633" t="n"/>
      <c r="Y104" s="633" t="n"/>
      <c r="Z104" s="633" t="n"/>
      <c r="AA104" s="633" t="n"/>
      <c r="AB104" s="633" t="n"/>
      <c r="AC104" s="633" t="n"/>
      <c r="AD104" s="633">
        <f>CCBASE!$I$36*2</f>
        <v/>
      </c>
    </row>
    <row r="105">
      <c r="A105" s="631" t="inlineStr">
        <is>
          <t>UVF</t>
        </is>
      </c>
      <c r="B105" s="631" t="n">
        <v>2000</v>
      </c>
      <c r="C105" s="631" t="n">
        <v>1250</v>
      </c>
      <c r="D105" s="631">
        <f>A105&amp;B105&amp;C105</f>
        <v/>
      </c>
      <c r="E105" s="1040">
        <f>SUM(G105:AD105)</f>
        <v/>
      </c>
      <c r="F105" s="632" t="n">
        <v>27.5</v>
      </c>
      <c r="G105" s="633">
        <f>F105*CCBASE!$B$51</f>
        <v/>
      </c>
      <c r="H105" s="633">
        <f>CCBASE!$I$11*B105/1000</f>
        <v/>
      </c>
      <c r="I105" s="633" t="n"/>
      <c r="J105" s="633" t="n"/>
      <c r="K105" s="633" t="n"/>
      <c r="L105" s="633">
        <f>CCBASE!$I$13*B105/1000</f>
        <v/>
      </c>
      <c r="M105" s="633" t="n"/>
      <c r="N105" s="633">
        <f>CCBASE!$I$7*B105/1000</f>
        <v/>
      </c>
      <c r="O105" s="633">
        <f>CCBASE!$I$45*B105/1000</f>
        <v/>
      </c>
      <c r="P105" s="633">
        <f>CCBASE!$I$9</f>
        <v/>
      </c>
      <c r="Q105" s="633">
        <f>CCBASE!$H$51</f>
        <v/>
      </c>
      <c r="R105" s="633">
        <f>CCBASE!$I$4</f>
        <v/>
      </c>
      <c r="S105" s="633">
        <f>CCBASE!$I$8</f>
        <v/>
      </c>
      <c r="T105" s="633">
        <f>CCBASE!$I$44</f>
        <v/>
      </c>
      <c r="U105" s="633">
        <f>CCBASE!$I$47*2</f>
        <v/>
      </c>
      <c r="V105" s="633">
        <f>CCBASE!$I$46*1.5</f>
        <v/>
      </c>
      <c r="W105" s="633">
        <f>CCBASE!$I$40*B105/1000</f>
        <v/>
      </c>
      <c r="X105" s="633" t="n"/>
      <c r="Y105" s="633" t="n"/>
      <c r="Z105" s="633" t="n"/>
      <c r="AA105" s="633" t="n"/>
      <c r="AB105" s="633" t="n"/>
      <c r="AC105" s="633" t="n"/>
      <c r="AD105" s="633">
        <f>CCBASE!$I$36*2</f>
        <v/>
      </c>
    </row>
    <row r="106">
      <c r="A106" s="631" t="inlineStr">
        <is>
          <t>UVF</t>
        </is>
      </c>
      <c r="B106" s="631" t="n">
        <v>2250</v>
      </c>
      <c r="C106" s="631" t="n">
        <v>1250</v>
      </c>
      <c r="D106" s="631">
        <f>A106&amp;B106&amp;C106</f>
        <v/>
      </c>
      <c r="E106" s="1040">
        <f>SUM(G106:AD106)</f>
        <v/>
      </c>
      <c r="F106" s="632" t="n">
        <v>29.5</v>
      </c>
      <c r="G106" s="633">
        <f>F106*CCBASE!$B$51</f>
        <v/>
      </c>
      <c r="H106" s="633">
        <f>CCBASE!$I$11*B106/1000</f>
        <v/>
      </c>
      <c r="I106" s="633" t="n"/>
      <c r="J106" s="633" t="n"/>
      <c r="K106" s="633" t="n"/>
      <c r="L106" s="633">
        <f>CCBASE!$I$13*B106/1000</f>
        <v/>
      </c>
      <c r="M106" s="633" t="n"/>
      <c r="N106" s="633">
        <f>CCBASE!$I$7*B106/1000</f>
        <v/>
      </c>
      <c r="O106" s="633">
        <f>CCBASE!$I$45*B106/1000</f>
        <v/>
      </c>
      <c r="P106" s="633">
        <f>CCBASE!$I$9</f>
        <v/>
      </c>
      <c r="Q106" s="633">
        <f>CCBASE!$H$51</f>
        <v/>
      </c>
      <c r="R106" s="633">
        <f>CCBASE!$I$4</f>
        <v/>
      </c>
      <c r="S106" s="633">
        <f>CCBASE!$I$8</f>
        <v/>
      </c>
      <c r="T106" s="633">
        <f>CCBASE!$I$44</f>
        <v/>
      </c>
      <c r="U106" s="633">
        <f>CCBASE!$I$47*2</f>
        <v/>
      </c>
      <c r="V106" s="633">
        <f>CCBASE!$I$46*1.5</f>
        <v/>
      </c>
      <c r="W106" s="633">
        <f>CCBASE!$I$40*B106/1000</f>
        <v/>
      </c>
      <c r="X106" s="633" t="n"/>
      <c r="Y106" s="633" t="n"/>
      <c r="Z106" s="633" t="n"/>
      <c r="AA106" s="633" t="n"/>
      <c r="AB106" s="633" t="n"/>
      <c r="AC106" s="633" t="n"/>
      <c r="AD106" s="633">
        <f>CCBASE!$I$36*2</f>
        <v/>
      </c>
    </row>
    <row r="107">
      <c r="A107" s="631" t="inlineStr">
        <is>
          <t>UVF</t>
        </is>
      </c>
      <c r="B107" s="631" t="n">
        <v>2500</v>
      </c>
      <c r="C107" s="631" t="n">
        <v>1250</v>
      </c>
      <c r="D107" s="631">
        <f>A107&amp;B107&amp;C107</f>
        <v/>
      </c>
      <c r="E107" s="1040">
        <f>SUM(G107:AD107)</f>
        <v/>
      </c>
      <c r="F107" s="632" t="n">
        <v>29.5</v>
      </c>
      <c r="G107" s="633">
        <f>F107*CCBASE!$B$51</f>
        <v/>
      </c>
      <c r="H107" s="633">
        <f>CCBASE!$I$11*B107/1000</f>
        <v/>
      </c>
      <c r="I107" s="633" t="n"/>
      <c r="J107" s="633" t="n"/>
      <c r="K107" s="633" t="n"/>
      <c r="L107" s="633">
        <f>CCBASE!$I$13*B107/1000</f>
        <v/>
      </c>
      <c r="M107" s="633" t="n"/>
      <c r="N107" s="633">
        <f>CCBASE!$I$7*B107/1000</f>
        <v/>
      </c>
      <c r="O107" s="633">
        <f>CCBASE!$I$45*B107/1000</f>
        <v/>
      </c>
      <c r="P107" s="633">
        <f>CCBASE!$I$9</f>
        <v/>
      </c>
      <c r="Q107" s="633">
        <f>CCBASE!$H$51</f>
        <v/>
      </c>
      <c r="R107" s="633">
        <f>CCBASE!$I$4</f>
        <v/>
      </c>
      <c r="S107" s="633">
        <f>CCBASE!$I$8</f>
        <v/>
      </c>
      <c r="T107" s="633">
        <f>CCBASE!$I$44</f>
        <v/>
      </c>
      <c r="U107" s="633">
        <f>CCBASE!$I$47*2</f>
        <v/>
      </c>
      <c r="V107" s="633">
        <f>CCBASE!$I$46*1.5</f>
        <v/>
      </c>
      <c r="W107" s="633">
        <f>CCBASE!$I$40*B107/1000</f>
        <v/>
      </c>
      <c r="X107" s="633" t="n"/>
      <c r="Y107" s="633" t="n"/>
      <c r="Z107" s="633" t="n"/>
      <c r="AA107" s="633" t="n"/>
      <c r="AB107" s="633" t="n"/>
      <c r="AC107" s="633" t="n"/>
      <c r="AD107" s="633">
        <f>CCBASE!$I$36*2</f>
        <v/>
      </c>
    </row>
    <row r="108">
      <c r="A108" s="631" t="inlineStr">
        <is>
          <t>UVF</t>
        </is>
      </c>
      <c r="B108" s="631" t="n">
        <v>2750</v>
      </c>
      <c r="C108" s="631" t="n">
        <v>1250</v>
      </c>
      <c r="D108" s="631">
        <f>A108&amp;B108&amp;C108</f>
        <v/>
      </c>
      <c r="E108" s="1040">
        <f>SUM(G108:AD108)</f>
        <v/>
      </c>
      <c r="F108" s="632" t="n">
        <v>29.5</v>
      </c>
      <c r="G108" s="633">
        <f>F108*CCBASE!$B$51</f>
        <v/>
      </c>
      <c r="H108" s="633">
        <f>CCBASE!$I$11*B108/1000</f>
        <v/>
      </c>
      <c r="I108" s="633" t="n"/>
      <c r="J108" s="633" t="n"/>
      <c r="K108" s="633" t="n"/>
      <c r="L108" s="633">
        <f>CCBASE!$I$13*B108/1000</f>
        <v/>
      </c>
      <c r="M108" s="633" t="n"/>
      <c r="N108" s="633">
        <f>CCBASE!$I$7*B108/1000</f>
        <v/>
      </c>
      <c r="O108" s="633">
        <f>CCBASE!$I$45*B108/1000</f>
        <v/>
      </c>
      <c r="P108" s="633">
        <f>CCBASE!$I$9</f>
        <v/>
      </c>
      <c r="Q108" s="633">
        <f>CCBASE!$H$51</f>
        <v/>
      </c>
      <c r="R108" s="633">
        <f>CCBASE!$I$4</f>
        <v/>
      </c>
      <c r="S108" s="633">
        <f>CCBASE!$I$8</f>
        <v/>
      </c>
      <c r="T108" s="633">
        <f>CCBASE!$I$44</f>
        <v/>
      </c>
      <c r="U108" s="633">
        <f>CCBASE!$I$47*2</f>
        <v/>
      </c>
      <c r="V108" s="633">
        <f>CCBASE!$I$46*1.5</f>
        <v/>
      </c>
      <c r="W108" s="633">
        <f>CCBASE!$I$40*B108/1000</f>
        <v/>
      </c>
      <c r="X108" s="633" t="n"/>
      <c r="Y108" s="633" t="n"/>
      <c r="Z108" s="633" t="n"/>
      <c r="AA108" s="633" t="n"/>
      <c r="AB108" s="633" t="n"/>
      <c r="AC108" s="633" t="n"/>
      <c r="AD108" s="633">
        <f>CCBASE!$I$36*2</f>
        <v/>
      </c>
    </row>
    <row r="109">
      <c r="A109" s="631" t="inlineStr">
        <is>
          <t>UVF</t>
        </is>
      </c>
      <c r="B109" s="631" t="n">
        <v>3000</v>
      </c>
      <c r="C109" s="631" t="n">
        <v>1250</v>
      </c>
      <c r="D109" s="631">
        <f>A109&amp;B109&amp;C109</f>
        <v/>
      </c>
      <c r="E109" s="1040">
        <f>SUM(G109:AD109)</f>
        <v/>
      </c>
      <c r="F109" s="632" t="n">
        <v>29.5</v>
      </c>
      <c r="G109" s="633">
        <f>F109*CCBASE!$B$51</f>
        <v/>
      </c>
      <c r="H109" s="633">
        <f>CCBASE!$I$11*B109/1000</f>
        <v/>
      </c>
      <c r="I109" s="633" t="n"/>
      <c r="J109" s="633" t="n"/>
      <c r="K109" s="633" t="n"/>
      <c r="L109" s="633">
        <f>CCBASE!$I$13*B109/1000</f>
        <v/>
      </c>
      <c r="M109" s="633" t="n"/>
      <c r="N109" s="633">
        <f>CCBASE!$I$7*B109/1000</f>
        <v/>
      </c>
      <c r="O109" s="633">
        <f>CCBASE!$I$45*B109/1000</f>
        <v/>
      </c>
      <c r="P109" s="633">
        <f>CCBASE!$I$9</f>
        <v/>
      </c>
      <c r="Q109" s="633">
        <f>CCBASE!$H$51</f>
        <v/>
      </c>
      <c r="R109" s="633">
        <f>CCBASE!$I$4</f>
        <v/>
      </c>
      <c r="S109" s="633">
        <f>CCBASE!$I$8</f>
        <v/>
      </c>
      <c r="T109" s="633">
        <f>CCBASE!$I$44</f>
        <v/>
      </c>
      <c r="U109" s="633">
        <f>CCBASE!$I$47*2</f>
        <v/>
      </c>
      <c r="V109" s="633">
        <f>CCBASE!$I$46*1.5</f>
        <v/>
      </c>
      <c r="W109" s="633">
        <f>CCBASE!$I$40*B109/1000</f>
        <v/>
      </c>
      <c r="X109" s="633" t="n"/>
      <c r="Y109" s="633" t="n"/>
      <c r="Z109" s="633" t="n"/>
      <c r="AA109" s="633" t="n"/>
      <c r="AB109" s="633" t="n"/>
      <c r="AC109" s="633" t="n"/>
      <c r="AD109" s="633">
        <f>CCBASE!$I$36*2</f>
        <v/>
      </c>
    </row>
    <row r="110">
      <c r="A110" s="631" t="inlineStr">
        <is>
          <t>UVF</t>
        </is>
      </c>
      <c r="B110" s="631" t="n">
        <v>1000</v>
      </c>
      <c r="C110" s="631" t="n">
        <v>1500</v>
      </c>
      <c r="D110" s="631">
        <f>A110&amp;B110&amp;C110</f>
        <v/>
      </c>
      <c r="E110" s="1040">
        <f>SUM(G110:AD110)</f>
        <v/>
      </c>
      <c r="F110" s="632" t="n">
        <v>29.5</v>
      </c>
      <c r="G110" s="633">
        <f>F110*CCBASE!$B$51</f>
        <v/>
      </c>
      <c r="H110" s="633">
        <f>CCBASE!$I$11*B110/1000</f>
        <v/>
      </c>
      <c r="I110" s="633" t="n"/>
      <c r="J110" s="633" t="n"/>
      <c r="K110" s="633" t="n"/>
      <c r="L110" s="633">
        <f>CCBASE!$I$13*B110/1000</f>
        <v/>
      </c>
      <c r="M110" s="633" t="n"/>
      <c r="N110" s="633">
        <f>CCBASE!$I$7*B110/1000</f>
        <v/>
      </c>
      <c r="O110" s="633">
        <f>CCBASE!$I$45*B110/1000</f>
        <v/>
      </c>
      <c r="P110" s="633">
        <f>CCBASE!$I$10</f>
        <v/>
      </c>
      <c r="Q110" s="633">
        <f>CCBASE!$H$51</f>
        <v/>
      </c>
      <c r="R110" s="633">
        <f>CCBASE!$I$4</f>
        <v/>
      </c>
      <c r="S110" s="633">
        <f>CCBASE!$I$8</f>
        <v/>
      </c>
      <c r="T110" s="633">
        <f>CCBASE!$I$44</f>
        <v/>
      </c>
      <c r="U110" s="633">
        <f>CCBASE!$I$47</f>
        <v/>
      </c>
      <c r="V110" s="633">
        <f>CCBASE!$I$46</f>
        <v/>
      </c>
      <c r="W110" s="633">
        <f>CCBASE!$I$41*B110/1000</f>
        <v/>
      </c>
      <c r="X110" s="633" t="n"/>
      <c r="Y110" s="633" t="n"/>
      <c r="Z110" s="633" t="n"/>
      <c r="AA110" s="633" t="n"/>
      <c r="AB110" s="633" t="n"/>
      <c r="AC110" s="633" t="n"/>
      <c r="AD110" s="633">
        <f>CCBASE!$I$37*2</f>
        <v/>
      </c>
    </row>
    <row r="111">
      <c r="A111" s="631" t="inlineStr">
        <is>
          <t>UVF</t>
        </is>
      </c>
      <c r="B111" s="631" t="n">
        <v>1250</v>
      </c>
      <c r="C111" s="631" t="n">
        <v>1500</v>
      </c>
      <c r="D111" s="631">
        <f>A111&amp;B111&amp;C111</f>
        <v/>
      </c>
      <c r="E111" s="1040">
        <f>SUM(G111:AD111)</f>
        <v/>
      </c>
      <c r="F111" s="632" t="n">
        <v>29.5</v>
      </c>
      <c r="G111" s="633">
        <f>F111*CCBASE!$B$51</f>
        <v/>
      </c>
      <c r="H111" s="633">
        <f>CCBASE!$I$11*B111/1000</f>
        <v/>
      </c>
      <c r="I111" s="633" t="n"/>
      <c r="J111" s="633" t="n"/>
      <c r="K111" s="633" t="n"/>
      <c r="L111" s="633">
        <f>CCBASE!$I$13*B111/1000</f>
        <v/>
      </c>
      <c r="M111" s="633" t="n"/>
      <c r="N111" s="633">
        <f>CCBASE!$I$7*B111/1000</f>
        <v/>
      </c>
      <c r="O111" s="633">
        <f>CCBASE!$I$45*B111/1000</f>
        <v/>
      </c>
      <c r="P111" s="633">
        <f>CCBASE!$I$10</f>
        <v/>
      </c>
      <c r="Q111" s="633">
        <f>CCBASE!$H$51</f>
        <v/>
      </c>
      <c r="R111" s="633">
        <f>CCBASE!$I$4</f>
        <v/>
      </c>
      <c r="S111" s="633">
        <f>CCBASE!$I$8</f>
        <v/>
      </c>
      <c r="T111" s="633">
        <f>CCBASE!$I$44</f>
        <v/>
      </c>
      <c r="U111" s="633">
        <f>CCBASE!$I$47*2</f>
        <v/>
      </c>
      <c r="V111" s="633">
        <f>CCBASE!$I$46</f>
        <v/>
      </c>
      <c r="W111" s="633">
        <f>CCBASE!$I$41*B111/1000</f>
        <v/>
      </c>
      <c r="X111" s="633" t="n"/>
      <c r="Y111" s="633" t="n"/>
      <c r="Z111" s="633" t="n"/>
      <c r="AA111" s="633" t="n"/>
      <c r="AB111" s="633" t="n"/>
      <c r="AC111" s="633" t="n"/>
      <c r="AD111" s="633">
        <f>CCBASE!$I$37*2</f>
        <v/>
      </c>
    </row>
    <row r="112">
      <c r="A112" s="631" t="inlineStr">
        <is>
          <t>UVF</t>
        </is>
      </c>
      <c r="B112" s="631" t="n">
        <v>1500</v>
      </c>
      <c r="C112" s="631" t="n">
        <v>1500</v>
      </c>
      <c r="D112" s="631">
        <f>A112&amp;B112&amp;C112</f>
        <v/>
      </c>
      <c r="E112" s="1040">
        <f>SUM(G112:AD112)</f>
        <v/>
      </c>
      <c r="F112" s="632" t="n">
        <v>29.5</v>
      </c>
      <c r="G112" s="633">
        <f>F112*CCBASE!$B$51</f>
        <v/>
      </c>
      <c r="H112" s="633">
        <f>CCBASE!$I$11*B112/1000</f>
        <v/>
      </c>
      <c r="I112" s="633" t="n"/>
      <c r="J112" s="633" t="n"/>
      <c r="K112" s="633" t="n"/>
      <c r="L112" s="633">
        <f>CCBASE!$I$13*B112/1000</f>
        <v/>
      </c>
      <c r="M112" s="633" t="n"/>
      <c r="N112" s="633">
        <f>CCBASE!$I$7*B112/1000</f>
        <v/>
      </c>
      <c r="O112" s="633">
        <f>CCBASE!$I$45*B112/1000</f>
        <v/>
      </c>
      <c r="P112" s="633">
        <f>CCBASE!$I$10</f>
        <v/>
      </c>
      <c r="Q112" s="633">
        <f>CCBASE!$H$51</f>
        <v/>
      </c>
      <c r="R112" s="633">
        <f>CCBASE!$I$4</f>
        <v/>
      </c>
      <c r="S112" s="633">
        <f>CCBASE!$I$8</f>
        <v/>
      </c>
      <c r="T112" s="633">
        <f>CCBASE!$I$44</f>
        <v/>
      </c>
      <c r="U112" s="633">
        <f>CCBASE!$I$47*2</f>
        <v/>
      </c>
      <c r="V112" s="633">
        <f>CCBASE!$I$46</f>
        <v/>
      </c>
      <c r="W112" s="633">
        <f>CCBASE!$I$41*B112/1000</f>
        <v/>
      </c>
      <c r="X112" s="633" t="n"/>
      <c r="Y112" s="633" t="n"/>
      <c r="Z112" s="633" t="n"/>
      <c r="AA112" s="633" t="n"/>
      <c r="AB112" s="633" t="n"/>
      <c r="AC112" s="633" t="n"/>
      <c r="AD112" s="633">
        <f>CCBASE!$I$37*2</f>
        <v/>
      </c>
    </row>
    <row r="113">
      <c r="A113" s="631" t="inlineStr">
        <is>
          <t>UVF</t>
        </is>
      </c>
      <c r="B113" s="631" t="n">
        <v>1750</v>
      </c>
      <c r="C113" s="631" t="n">
        <v>1500</v>
      </c>
      <c r="D113" s="631">
        <f>A113&amp;B113&amp;C113</f>
        <v/>
      </c>
      <c r="E113" s="1040">
        <f>SUM(G113:AD113)</f>
        <v/>
      </c>
      <c r="F113" s="632" t="n">
        <v>29.5</v>
      </c>
      <c r="G113" s="633">
        <f>F113*CCBASE!$B$51</f>
        <v/>
      </c>
      <c r="H113" s="633">
        <f>CCBASE!$I$11*B113/1000</f>
        <v/>
      </c>
      <c r="I113" s="633" t="n"/>
      <c r="J113" s="633" t="n"/>
      <c r="K113" s="633" t="n"/>
      <c r="L113" s="633">
        <f>CCBASE!$I$13*B113/1000</f>
        <v/>
      </c>
      <c r="M113" s="633" t="n"/>
      <c r="N113" s="633">
        <f>CCBASE!$I$7*B113/1000</f>
        <v/>
      </c>
      <c r="O113" s="633">
        <f>CCBASE!$I$45*B113/1000</f>
        <v/>
      </c>
      <c r="P113" s="633">
        <f>CCBASE!$I$9</f>
        <v/>
      </c>
      <c r="Q113" s="633">
        <f>CCBASE!$H$51</f>
        <v/>
      </c>
      <c r="R113" s="633">
        <f>CCBASE!$I$4</f>
        <v/>
      </c>
      <c r="S113" s="633">
        <f>CCBASE!$I$8</f>
        <v/>
      </c>
      <c r="T113" s="633">
        <f>CCBASE!$I$44</f>
        <v/>
      </c>
      <c r="U113" s="633">
        <f>CCBASE!$I$47*2</f>
        <v/>
      </c>
      <c r="V113" s="633">
        <f>CCBASE!$I$46*1.5</f>
        <v/>
      </c>
      <c r="W113" s="633">
        <f>CCBASE!$I$41*B113/1000</f>
        <v/>
      </c>
      <c r="X113" s="633" t="n"/>
      <c r="Y113" s="633" t="n"/>
      <c r="Z113" s="633" t="n"/>
      <c r="AA113" s="633" t="n"/>
      <c r="AB113" s="633" t="n"/>
      <c r="AC113" s="633" t="n"/>
      <c r="AD113" s="633">
        <f>CCBASE!$I$37*2</f>
        <v/>
      </c>
    </row>
    <row r="114">
      <c r="A114" s="631" t="inlineStr">
        <is>
          <t>UVF</t>
        </is>
      </c>
      <c r="B114" s="631" t="n">
        <v>2000</v>
      </c>
      <c r="C114" s="631" t="n">
        <v>1500</v>
      </c>
      <c r="D114" s="631">
        <f>A114&amp;B114&amp;C114</f>
        <v/>
      </c>
      <c r="E114" s="1040">
        <f>SUM(G114:AD114)</f>
        <v/>
      </c>
      <c r="F114" s="632" t="n">
        <v>29.5</v>
      </c>
      <c r="G114" s="633">
        <f>F114*CCBASE!$B$51</f>
        <v/>
      </c>
      <c r="H114" s="633">
        <f>CCBASE!$I$11*B114/1000</f>
        <v/>
      </c>
      <c r="I114" s="633" t="n"/>
      <c r="J114" s="633" t="n"/>
      <c r="K114" s="633" t="n"/>
      <c r="L114" s="633">
        <f>CCBASE!$I$13*B114/1000</f>
        <v/>
      </c>
      <c r="M114" s="633" t="n"/>
      <c r="N114" s="633">
        <f>CCBASE!$I$7*B114/1000</f>
        <v/>
      </c>
      <c r="O114" s="633">
        <f>CCBASE!$I$45*B114/1000</f>
        <v/>
      </c>
      <c r="P114" s="633">
        <f>CCBASE!$I$9</f>
        <v/>
      </c>
      <c r="Q114" s="633">
        <f>CCBASE!$H$51</f>
        <v/>
      </c>
      <c r="R114" s="633">
        <f>CCBASE!$I$4</f>
        <v/>
      </c>
      <c r="S114" s="633">
        <f>CCBASE!$I$8</f>
        <v/>
      </c>
      <c r="T114" s="633">
        <f>CCBASE!$I$44</f>
        <v/>
      </c>
      <c r="U114" s="633">
        <f>CCBASE!$I$47*2</f>
        <v/>
      </c>
      <c r="V114" s="633">
        <f>CCBASE!$I$46*1.5</f>
        <v/>
      </c>
      <c r="W114" s="633">
        <f>CCBASE!$I$41*B114/1000</f>
        <v/>
      </c>
      <c r="X114" s="633" t="n"/>
      <c r="Y114" s="633" t="n"/>
      <c r="Z114" s="633" t="n"/>
      <c r="AA114" s="633" t="n"/>
      <c r="AB114" s="633" t="n"/>
      <c r="AC114" s="633" t="n"/>
      <c r="AD114" s="633">
        <f>CCBASE!$I$37*2</f>
        <v/>
      </c>
    </row>
    <row r="115">
      <c r="A115" s="631" t="inlineStr">
        <is>
          <t>UVF</t>
        </is>
      </c>
      <c r="B115" s="631" t="n">
        <v>2250</v>
      </c>
      <c r="C115" s="631" t="n">
        <v>1500</v>
      </c>
      <c r="D115" s="631">
        <f>A115&amp;B115&amp;C115</f>
        <v/>
      </c>
      <c r="E115" s="1040">
        <f>SUM(G115:AD115)</f>
        <v/>
      </c>
      <c r="F115" s="632" t="n">
        <v>30.5</v>
      </c>
      <c r="G115" s="633">
        <f>F115*CCBASE!$B$51</f>
        <v/>
      </c>
      <c r="H115" s="633">
        <f>CCBASE!$I$11*B115/1000</f>
        <v/>
      </c>
      <c r="I115" s="633" t="n"/>
      <c r="J115" s="633" t="n"/>
      <c r="K115" s="633" t="n"/>
      <c r="L115" s="633">
        <f>CCBASE!$I$13*B115/1000</f>
        <v/>
      </c>
      <c r="M115" s="633" t="n"/>
      <c r="N115" s="633">
        <f>CCBASE!$I$7*B115/1000</f>
        <v/>
      </c>
      <c r="O115" s="633">
        <f>CCBASE!$I$45*B115/1000</f>
        <v/>
      </c>
      <c r="P115" s="633">
        <f>CCBASE!$I$9</f>
        <v/>
      </c>
      <c r="Q115" s="633">
        <f>CCBASE!$H$51</f>
        <v/>
      </c>
      <c r="R115" s="633">
        <f>CCBASE!$I$4</f>
        <v/>
      </c>
      <c r="S115" s="633">
        <f>CCBASE!$I$8</f>
        <v/>
      </c>
      <c r="T115" s="633">
        <f>CCBASE!$I$44</f>
        <v/>
      </c>
      <c r="U115" s="633">
        <f>CCBASE!$I$47*2</f>
        <v/>
      </c>
      <c r="V115" s="633">
        <f>CCBASE!$I$46*1.5</f>
        <v/>
      </c>
      <c r="W115" s="633">
        <f>CCBASE!$I$41*B115/1000</f>
        <v/>
      </c>
      <c r="X115" s="633" t="n"/>
      <c r="Y115" s="633" t="n"/>
      <c r="Z115" s="633" t="n"/>
      <c r="AA115" s="633" t="n"/>
      <c r="AB115" s="633" t="n"/>
      <c r="AC115" s="633" t="n"/>
      <c r="AD115" s="633">
        <f>CCBASE!$I$37*2</f>
        <v/>
      </c>
    </row>
    <row r="116">
      <c r="A116" s="631" t="inlineStr">
        <is>
          <t>UVF</t>
        </is>
      </c>
      <c r="B116" s="631" t="n">
        <v>2500</v>
      </c>
      <c r="C116" s="631" t="n">
        <v>1500</v>
      </c>
      <c r="D116" s="631">
        <f>A116&amp;B116&amp;C116</f>
        <v/>
      </c>
      <c r="E116" s="1040">
        <f>SUM(G116:AD116)</f>
        <v/>
      </c>
      <c r="F116" s="632" t="n">
        <v>30.5</v>
      </c>
      <c r="G116" s="633">
        <f>F116*CCBASE!$B$51</f>
        <v/>
      </c>
      <c r="H116" s="633">
        <f>CCBASE!$I$11*B116/1000</f>
        <v/>
      </c>
      <c r="I116" s="633" t="n"/>
      <c r="J116" s="633" t="n"/>
      <c r="K116" s="633" t="n"/>
      <c r="L116" s="633">
        <f>CCBASE!$I$13*B116/1000</f>
        <v/>
      </c>
      <c r="M116" s="633" t="n"/>
      <c r="N116" s="633">
        <f>CCBASE!$I$7*B116/1000</f>
        <v/>
      </c>
      <c r="O116" s="633">
        <f>CCBASE!$I$45*B116/1000</f>
        <v/>
      </c>
      <c r="P116" s="633">
        <f>CCBASE!$I$9</f>
        <v/>
      </c>
      <c r="Q116" s="633">
        <f>CCBASE!$H$51</f>
        <v/>
      </c>
      <c r="R116" s="633">
        <f>CCBASE!$I$4</f>
        <v/>
      </c>
      <c r="S116" s="633">
        <f>CCBASE!$I$8</f>
        <v/>
      </c>
      <c r="T116" s="633">
        <f>CCBASE!$I$44</f>
        <v/>
      </c>
      <c r="U116" s="633">
        <f>CCBASE!$I$47*2</f>
        <v/>
      </c>
      <c r="V116" s="633">
        <f>CCBASE!$I$46*1.5</f>
        <v/>
      </c>
      <c r="W116" s="633">
        <f>CCBASE!$I$41*B116/1000</f>
        <v/>
      </c>
      <c r="X116" s="633" t="n"/>
      <c r="Y116" s="633" t="n"/>
      <c r="Z116" s="633" t="n"/>
      <c r="AA116" s="633" t="n"/>
      <c r="AB116" s="633" t="n"/>
      <c r="AC116" s="633" t="n"/>
      <c r="AD116" s="633">
        <f>CCBASE!$I$37*2</f>
        <v/>
      </c>
    </row>
    <row r="117">
      <c r="A117" s="631" t="inlineStr">
        <is>
          <t>UVF</t>
        </is>
      </c>
      <c r="B117" s="631" t="n">
        <v>2750</v>
      </c>
      <c r="C117" s="631" t="n">
        <v>1500</v>
      </c>
      <c r="D117" s="631">
        <f>A117&amp;B117&amp;C117</f>
        <v/>
      </c>
      <c r="E117" s="1040">
        <f>SUM(G117:AD117)</f>
        <v/>
      </c>
      <c r="F117" s="632" t="n">
        <v>30.5</v>
      </c>
      <c r="G117" s="633">
        <f>F117*CCBASE!$B$51</f>
        <v/>
      </c>
      <c r="H117" s="633">
        <f>CCBASE!$I$11*B117/1000</f>
        <v/>
      </c>
      <c r="I117" s="633" t="n"/>
      <c r="J117" s="633" t="n"/>
      <c r="K117" s="633" t="n"/>
      <c r="L117" s="633">
        <f>CCBASE!$I$13*B117/1000</f>
        <v/>
      </c>
      <c r="M117" s="633" t="n"/>
      <c r="N117" s="633">
        <f>CCBASE!$I$7*B117/1000</f>
        <v/>
      </c>
      <c r="O117" s="633">
        <f>CCBASE!$I$45*B117/1000</f>
        <v/>
      </c>
      <c r="P117" s="633">
        <f>CCBASE!$I$9</f>
        <v/>
      </c>
      <c r="Q117" s="633">
        <f>CCBASE!$H$51</f>
        <v/>
      </c>
      <c r="R117" s="633">
        <f>CCBASE!$I$4</f>
        <v/>
      </c>
      <c r="S117" s="633">
        <f>CCBASE!$I$8</f>
        <v/>
      </c>
      <c r="T117" s="633">
        <f>CCBASE!$I$44</f>
        <v/>
      </c>
      <c r="U117" s="633">
        <f>CCBASE!$I$47*2</f>
        <v/>
      </c>
      <c r="V117" s="633">
        <f>CCBASE!$I$46*1.5</f>
        <v/>
      </c>
      <c r="W117" s="633">
        <f>CCBASE!$I$41*B117/1000</f>
        <v/>
      </c>
      <c r="X117" s="633" t="n"/>
      <c r="Y117" s="633" t="n"/>
      <c r="Z117" s="633" t="n"/>
      <c r="AA117" s="633" t="n"/>
      <c r="AB117" s="633" t="n"/>
      <c r="AC117" s="633" t="n"/>
      <c r="AD117" s="633">
        <f>CCBASE!$I$37*2</f>
        <v/>
      </c>
    </row>
    <row r="118">
      <c r="A118" s="631" t="inlineStr">
        <is>
          <t>UVF</t>
        </is>
      </c>
      <c r="B118" s="631" t="n">
        <v>3000</v>
      </c>
      <c r="C118" s="631" t="n">
        <v>1500</v>
      </c>
      <c r="D118" s="631">
        <f>A118&amp;B118&amp;C118</f>
        <v/>
      </c>
      <c r="E118" s="1040">
        <f>SUM(G118:AD118)</f>
        <v/>
      </c>
      <c r="F118" s="632" t="n">
        <v>30.5</v>
      </c>
      <c r="G118" s="633">
        <f>F118*CCBASE!$B$51</f>
        <v/>
      </c>
      <c r="H118" s="633">
        <f>CCBASE!$I$11*B118/1000</f>
        <v/>
      </c>
      <c r="I118" s="633" t="n"/>
      <c r="J118" s="633" t="n"/>
      <c r="K118" s="633" t="n"/>
      <c r="L118" s="633">
        <f>CCBASE!$I$13*B118/1000</f>
        <v/>
      </c>
      <c r="M118" s="633" t="n"/>
      <c r="N118" s="633">
        <f>CCBASE!$I$7*B118/1000</f>
        <v/>
      </c>
      <c r="O118" s="633">
        <f>CCBASE!$I$45*B118/1000</f>
        <v/>
      </c>
      <c r="P118" s="633">
        <f>CCBASE!$I$9</f>
        <v/>
      </c>
      <c r="Q118" s="633">
        <f>CCBASE!$H$51</f>
        <v/>
      </c>
      <c r="R118" s="633">
        <f>CCBASE!$I$4</f>
        <v/>
      </c>
      <c r="S118" s="633">
        <f>CCBASE!$I$8</f>
        <v/>
      </c>
      <c r="T118" s="633">
        <f>CCBASE!$I$44</f>
        <v/>
      </c>
      <c r="U118" s="633">
        <f>CCBASE!$I$47*2</f>
        <v/>
      </c>
      <c r="V118" s="633">
        <f>CCBASE!$I$46*1.5</f>
        <v/>
      </c>
      <c r="W118" s="633">
        <f>CCBASE!$I$41*B118/1000</f>
        <v/>
      </c>
      <c r="X118" s="633" t="n"/>
      <c r="Y118" s="633" t="n"/>
      <c r="Z118" s="633" t="n"/>
      <c r="AA118" s="633" t="n"/>
      <c r="AB118" s="633" t="n"/>
      <c r="AC118" s="633" t="n"/>
      <c r="AD118" s="633">
        <f>CCBASE!$I$37*2</f>
        <v/>
      </c>
    </row>
    <row r="119">
      <c r="A119" s="631" t="inlineStr">
        <is>
          <t>UVF</t>
        </is>
      </c>
      <c r="B119" s="631" t="n">
        <v>1000</v>
      </c>
      <c r="C119" s="631" t="n">
        <v>1750</v>
      </c>
      <c r="D119" s="631">
        <f>A119&amp;B119&amp;C119</f>
        <v/>
      </c>
      <c r="E119" s="1040">
        <f>SUM(G119:AD119)</f>
        <v/>
      </c>
      <c r="F119" s="632" t="n">
        <v>29.5</v>
      </c>
      <c r="G119" s="633">
        <f>F119*CCBASE!$B$51</f>
        <v/>
      </c>
      <c r="H119" s="633">
        <f>CCBASE!$I$11*B119/1000</f>
        <v/>
      </c>
      <c r="I119" s="633" t="n"/>
      <c r="J119" s="633" t="n"/>
      <c r="K119" s="633" t="n"/>
      <c r="L119" s="633">
        <f>CCBASE!$I$13*B119/1000</f>
        <v/>
      </c>
      <c r="M119" s="633" t="n"/>
      <c r="N119" s="633">
        <f>CCBASE!$I$7*B119/1000</f>
        <v/>
      </c>
      <c r="O119" s="633">
        <f>CCBASE!$I$45*B119/1000</f>
        <v/>
      </c>
      <c r="P119" s="633">
        <f>CCBASE!$I$10</f>
        <v/>
      </c>
      <c r="Q119" s="633">
        <f>CCBASE!$H$51</f>
        <v/>
      </c>
      <c r="R119" s="633">
        <f>CCBASE!$I$4</f>
        <v/>
      </c>
      <c r="S119" s="633">
        <f>CCBASE!$I$8</f>
        <v/>
      </c>
      <c r="T119" s="633">
        <f>CCBASE!$I$44</f>
        <v/>
      </c>
      <c r="U119" s="633">
        <f>CCBASE!$I$47</f>
        <v/>
      </c>
      <c r="V119" s="633">
        <f>CCBASE!$I$46</f>
        <v/>
      </c>
      <c r="W119" s="633">
        <f>CCBASE!$I$42*B119/1000</f>
        <v/>
      </c>
      <c r="X119" s="633" t="n"/>
      <c r="Y119" s="633" t="n"/>
      <c r="Z119" s="633" t="n"/>
      <c r="AA119" s="633" t="n"/>
      <c r="AB119" s="633" t="n"/>
      <c r="AC119" s="633" t="n"/>
      <c r="AD119" s="633">
        <f>CCBASE!$I$38*2</f>
        <v/>
      </c>
    </row>
    <row r="120">
      <c r="A120" s="631" t="inlineStr">
        <is>
          <t>UVF</t>
        </is>
      </c>
      <c r="B120" s="631" t="n">
        <v>1250</v>
      </c>
      <c r="C120" s="631" t="n">
        <v>1750</v>
      </c>
      <c r="D120" s="631">
        <f>A120&amp;B120&amp;C120</f>
        <v/>
      </c>
      <c r="E120" s="1040">
        <f>SUM(G120:AD120)</f>
        <v/>
      </c>
      <c r="F120" s="632" t="n">
        <v>29.5</v>
      </c>
      <c r="G120" s="633">
        <f>F120*CCBASE!$B$51</f>
        <v/>
      </c>
      <c r="H120" s="633">
        <f>CCBASE!$I$11*B120/1000</f>
        <v/>
      </c>
      <c r="I120" s="633" t="n"/>
      <c r="J120" s="633" t="n"/>
      <c r="K120" s="633" t="n"/>
      <c r="L120" s="633">
        <f>CCBASE!$I$13*B120/1000</f>
        <v/>
      </c>
      <c r="M120" s="633" t="n"/>
      <c r="N120" s="633">
        <f>CCBASE!$I$7*B120/1000</f>
        <v/>
      </c>
      <c r="O120" s="633">
        <f>CCBASE!$I$45*B120/1000</f>
        <v/>
      </c>
      <c r="P120" s="633">
        <f>CCBASE!$I$10</f>
        <v/>
      </c>
      <c r="Q120" s="633">
        <f>CCBASE!$H$51</f>
        <v/>
      </c>
      <c r="R120" s="633">
        <f>CCBASE!$I$4</f>
        <v/>
      </c>
      <c r="S120" s="633">
        <f>CCBASE!$I$8</f>
        <v/>
      </c>
      <c r="T120" s="633">
        <f>CCBASE!$I$44</f>
        <v/>
      </c>
      <c r="U120" s="633">
        <f>CCBASE!$I$47*2</f>
        <v/>
      </c>
      <c r="V120" s="633">
        <f>CCBASE!$I$46</f>
        <v/>
      </c>
      <c r="W120" s="633">
        <f>CCBASE!$I$42*B120/1000</f>
        <v/>
      </c>
      <c r="X120" s="633" t="n"/>
      <c r="Y120" s="633" t="n"/>
      <c r="Z120" s="633" t="n"/>
      <c r="AA120" s="633" t="n"/>
      <c r="AB120" s="633" t="n"/>
      <c r="AC120" s="633" t="n"/>
      <c r="AD120" s="633">
        <f>CCBASE!$I$38*2</f>
        <v/>
      </c>
    </row>
    <row r="121">
      <c r="A121" s="631" t="inlineStr">
        <is>
          <t>UVF</t>
        </is>
      </c>
      <c r="B121" s="631" t="n">
        <v>1500</v>
      </c>
      <c r="C121" s="631" t="n">
        <v>1750</v>
      </c>
      <c r="D121" s="631">
        <f>A121&amp;B121&amp;C121</f>
        <v/>
      </c>
      <c r="E121" s="1040">
        <f>SUM(G121:AD121)</f>
        <v/>
      </c>
      <c r="F121" s="632" t="n">
        <v>29.5</v>
      </c>
      <c r="G121" s="633">
        <f>F121*CCBASE!$B$51</f>
        <v/>
      </c>
      <c r="H121" s="633">
        <f>CCBASE!$I$11*B121/1000</f>
        <v/>
      </c>
      <c r="I121" s="633" t="n"/>
      <c r="J121" s="633" t="n"/>
      <c r="K121" s="633" t="n"/>
      <c r="L121" s="633">
        <f>CCBASE!$I$13*B121/1000</f>
        <v/>
      </c>
      <c r="M121" s="633" t="n"/>
      <c r="N121" s="633">
        <f>CCBASE!$I$7*B121/1000</f>
        <v/>
      </c>
      <c r="O121" s="633">
        <f>CCBASE!$I$45*B121/1000</f>
        <v/>
      </c>
      <c r="P121" s="633">
        <f>CCBASE!$I$10</f>
        <v/>
      </c>
      <c r="Q121" s="633">
        <f>CCBASE!$H$51</f>
        <v/>
      </c>
      <c r="R121" s="633">
        <f>CCBASE!$I$4</f>
        <v/>
      </c>
      <c r="S121" s="633">
        <f>CCBASE!$I$8</f>
        <v/>
      </c>
      <c r="T121" s="633">
        <f>CCBASE!$I$44</f>
        <v/>
      </c>
      <c r="U121" s="633">
        <f>CCBASE!$I$47*2</f>
        <v/>
      </c>
      <c r="V121" s="633">
        <f>CCBASE!$I$46</f>
        <v/>
      </c>
      <c r="W121" s="633">
        <f>CCBASE!$I$42*B121/1000</f>
        <v/>
      </c>
      <c r="X121" s="633" t="n"/>
      <c r="Y121" s="633" t="n"/>
      <c r="Z121" s="633" t="n"/>
      <c r="AA121" s="633" t="n"/>
      <c r="AB121" s="633" t="n"/>
      <c r="AC121" s="633" t="n"/>
      <c r="AD121" s="633">
        <f>CCBASE!$I$38*2</f>
        <v/>
      </c>
    </row>
    <row r="122">
      <c r="A122" s="631" t="inlineStr">
        <is>
          <t>UVF</t>
        </is>
      </c>
      <c r="B122" s="631" t="n">
        <v>1750</v>
      </c>
      <c r="C122" s="631" t="n">
        <v>1750</v>
      </c>
      <c r="D122" s="631">
        <f>A122&amp;B122&amp;C122</f>
        <v/>
      </c>
      <c r="E122" s="1040">
        <f>SUM(G122:AD122)</f>
        <v/>
      </c>
      <c r="F122" s="632" t="n">
        <v>29.5</v>
      </c>
      <c r="G122" s="633">
        <f>F122*CCBASE!$B$51</f>
        <v/>
      </c>
      <c r="H122" s="633">
        <f>CCBASE!$I$11*B122/1000</f>
        <v/>
      </c>
      <c r="I122" s="633" t="n"/>
      <c r="J122" s="633" t="n"/>
      <c r="K122" s="633" t="n"/>
      <c r="L122" s="633">
        <f>CCBASE!$I$13*B122/1000</f>
        <v/>
      </c>
      <c r="M122" s="633" t="n"/>
      <c r="N122" s="633">
        <f>CCBASE!$I$7*B122/1000</f>
        <v/>
      </c>
      <c r="O122" s="633">
        <f>CCBASE!$I$45*B122/1000</f>
        <v/>
      </c>
      <c r="P122" s="633">
        <f>CCBASE!$I$9</f>
        <v/>
      </c>
      <c r="Q122" s="633">
        <f>CCBASE!$H$51</f>
        <v/>
      </c>
      <c r="R122" s="633">
        <f>CCBASE!$I$4</f>
        <v/>
      </c>
      <c r="S122" s="633">
        <f>CCBASE!$I$8</f>
        <v/>
      </c>
      <c r="T122" s="633">
        <f>CCBASE!$I$44</f>
        <v/>
      </c>
      <c r="U122" s="633">
        <f>CCBASE!$I$47*2</f>
        <v/>
      </c>
      <c r="V122" s="633">
        <f>CCBASE!$I$46*1.5</f>
        <v/>
      </c>
      <c r="W122" s="633">
        <f>CCBASE!$I$42*B122/1000</f>
        <v/>
      </c>
      <c r="X122" s="633" t="n"/>
      <c r="Y122" s="633" t="n"/>
      <c r="Z122" s="633" t="n"/>
      <c r="AA122" s="633" t="n"/>
      <c r="AB122" s="633" t="n"/>
      <c r="AC122" s="633" t="n"/>
      <c r="AD122" s="633">
        <f>CCBASE!$I$38*2</f>
        <v/>
      </c>
    </row>
    <row r="123">
      <c r="A123" s="631" t="inlineStr">
        <is>
          <t>UVF</t>
        </is>
      </c>
      <c r="B123" s="631" t="n">
        <v>2000</v>
      </c>
      <c r="C123" s="631" t="n">
        <v>1750</v>
      </c>
      <c r="D123" s="631">
        <f>A123&amp;B123&amp;C123</f>
        <v/>
      </c>
      <c r="E123" s="1040">
        <f>SUM(G123:AD123)</f>
        <v/>
      </c>
      <c r="F123" s="632" t="n">
        <v>29.5</v>
      </c>
      <c r="G123" s="633">
        <f>F123*CCBASE!$B$51</f>
        <v/>
      </c>
      <c r="H123" s="633">
        <f>CCBASE!$I$11*B123/1000</f>
        <v/>
      </c>
      <c r="I123" s="633" t="n"/>
      <c r="J123" s="633" t="n"/>
      <c r="K123" s="633" t="n"/>
      <c r="L123" s="633">
        <f>CCBASE!$I$13*B123/1000</f>
        <v/>
      </c>
      <c r="M123" s="633" t="n"/>
      <c r="N123" s="633">
        <f>CCBASE!$I$7*B123/1000</f>
        <v/>
      </c>
      <c r="O123" s="633">
        <f>CCBASE!$I$45*B123/1000</f>
        <v/>
      </c>
      <c r="P123" s="633">
        <f>CCBASE!$I$9</f>
        <v/>
      </c>
      <c r="Q123" s="633">
        <f>CCBASE!$H$51</f>
        <v/>
      </c>
      <c r="R123" s="633">
        <f>CCBASE!$I$4</f>
        <v/>
      </c>
      <c r="S123" s="633">
        <f>CCBASE!$I$8</f>
        <v/>
      </c>
      <c r="T123" s="633">
        <f>CCBASE!$I$44</f>
        <v/>
      </c>
      <c r="U123" s="633">
        <f>CCBASE!$I$47*2</f>
        <v/>
      </c>
      <c r="V123" s="633">
        <f>CCBASE!$I$46*1.5</f>
        <v/>
      </c>
      <c r="W123" s="633">
        <f>CCBASE!$I$42*B123/1000</f>
        <v/>
      </c>
      <c r="X123" s="633" t="n"/>
      <c r="Y123" s="633" t="n"/>
      <c r="Z123" s="633" t="n"/>
      <c r="AA123" s="633" t="n"/>
      <c r="AB123" s="633" t="n"/>
      <c r="AC123" s="633" t="n"/>
      <c r="AD123" s="633">
        <f>CCBASE!$I$38*2</f>
        <v/>
      </c>
    </row>
    <row r="124">
      <c r="A124" s="631" t="inlineStr">
        <is>
          <t>UVF</t>
        </is>
      </c>
      <c r="B124" s="631" t="n">
        <v>2250</v>
      </c>
      <c r="C124" s="631" t="n">
        <v>1750</v>
      </c>
      <c r="D124" s="631">
        <f>A124&amp;B124&amp;C124</f>
        <v/>
      </c>
      <c r="E124" s="1040">
        <f>SUM(G124:AD124)</f>
        <v/>
      </c>
      <c r="F124" s="632" t="n">
        <v>30.5</v>
      </c>
      <c r="G124" s="633">
        <f>F124*CCBASE!$B$51</f>
        <v/>
      </c>
      <c r="H124" s="633">
        <f>CCBASE!$I$11*B124/1000</f>
        <v/>
      </c>
      <c r="I124" s="633" t="n"/>
      <c r="J124" s="633" t="n"/>
      <c r="K124" s="633" t="n"/>
      <c r="L124" s="633">
        <f>CCBASE!$I$13*B124/1000</f>
        <v/>
      </c>
      <c r="M124" s="633" t="n"/>
      <c r="N124" s="633">
        <f>CCBASE!$I$7*B124/1000</f>
        <v/>
      </c>
      <c r="O124" s="633">
        <f>CCBASE!$I$45*B124/1000</f>
        <v/>
      </c>
      <c r="P124" s="633">
        <f>CCBASE!$I$9</f>
        <v/>
      </c>
      <c r="Q124" s="633">
        <f>CCBASE!$H$51</f>
        <v/>
      </c>
      <c r="R124" s="633">
        <f>CCBASE!$I$4</f>
        <v/>
      </c>
      <c r="S124" s="633">
        <f>CCBASE!$I$8</f>
        <v/>
      </c>
      <c r="T124" s="633">
        <f>CCBASE!$I$44</f>
        <v/>
      </c>
      <c r="U124" s="633">
        <f>CCBASE!$I$47*2</f>
        <v/>
      </c>
      <c r="V124" s="633">
        <f>CCBASE!$I$46*1.5</f>
        <v/>
      </c>
      <c r="W124" s="633">
        <f>CCBASE!$I$42*B124/1000</f>
        <v/>
      </c>
      <c r="X124" s="633" t="n"/>
      <c r="Y124" s="633" t="n"/>
      <c r="Z124" s="633" t="n"/>
      <c r="AA124" s="633" t="n"/>
      <c r="AB124" s="633" t="n"/>
      <c r="AC124" s="633" t="n"/>
      <c r="AD124" s="633">
        <f>CCBASE!$I$38*2</f>
        <v/>
      </c>
    </row>
    <row r="125">
      <c r="A125" s="631" t="inlineStr">
        <is>
          <t>UVF</t>
        </is>
      </c>
      <c r="B125" s="631" t="n">
        <v>2500</v>
      </c>
      <c r="C125" s="631" t="n">
        <v>1750</v>
      </c>
      <c r="D125" s="631">
        <f>A125&amp;B125&amp;C125</f>
        <v/>
      </c>
      <c r="E125" s="1040">
        <f>SUM(G125:AD125)</f>
        <v/>
      </c>
      <c r="F125" s="632" t="n">
        <v>30.5</v>
      </c>
      <c r="G125" s="633">
        <f>F125*CCBASE!$B$51</f>
        <v/>
      </c>
      <c r="H125" s="633">
        <f>CCBASE!$I$11*B125/1000</f>
        <v/>
      </c>
      <c r="I125" s="633" t="n"/>
      <c r="J125" s="633" t="n"/>
      <c r="K125" s="633" t="n"/>
      <c r="L125" s="633">
        <f>CCBASE!$I$13*B125/1000</f>
        <v/>
      </c>
      <c r="M125" s="633" t="n"/>
      <c r="N125" s="633">
        <f>CCBASE!$I$7*B125/1000</f>
        <v/>
      </c>
      <c r="O125" s="633">
        <f>CCBASE!$I$45*B125/1000</f>
        <v/>
      </c>
      <c r="P125" s="633">
        <f>CCBASE!$I$9</f>
        <v/>
      </c>
      <c r="Q125" s="633">
        <f>CCBASE!$H$51</f>
        <v/>
      </c>
      <c r="R125" s="633">
        <f>CCBASE!$I$4</f>
        <v/>
      </c>
      <c r="S125" s="633">
        <f>CCBASE!$I$8</f>
        <v/>
      </c>
      <c r="T125" s="633">
        <f>CCBASE!$I$44</f>
        <v/>
      </c>
      <c r="U125" s="633">
        <f>CCBASE!$I$47*2</f>
        <v/>
      </c>
      <c r="V125" s="633">
        <f>CCBASE!$I$46*1.5</f>
        <v/>
      </c>
      <c r="W125" s="633">
        <f>CCBASE!$I$42*B125/1000</f>
        <v/>
      </c>
      <c r="X125" s="633" t="n"/>
      <c r="Y125" s="633" t="n"/>
      <c r="Z125" s="633" t="n"/>
      <c r="AA125" s="633" t="n"/>
      <c r="AB125" s="633" t="n"/>
      <c r="AC125" s="633" t="n"/>
      <c r="AD125" s="633">
        <f>CCBASE!$I$38*2</f>
        <v/>
      </c>
    </row>
    <row r="126">
      <c r="A126" s="631" t="inlineStr">
        <is>
          <t>UVF</t>
        </is>
      </c>
      <c r="B126" s="631" t="n">
        <v>2750</v>
      </c>
      <c r="C126" s="631" t="n">
        <v>1750</v>
      </c>
      <c r="D126" s="631">
        <f>A126&amp;B126&amp;C126</f>
        <v/>
      </c>
      <c r="E126" s="1040">
        <f>SUM(G126:AD126)</f>
        <v/>
      </c>
      <c r="F126" s="632" t="n">
        <v>30.5</v>
      </c>
      <c r="G126" s="633">
        <f>F126*CCBASE!$B$51</f>
        <v/>
      </c>
      <c r="H126" s="633">
        <f>CCBASE!$I$11*B126/1000</f>
        <v/>
      </c>
      <c r="I126" s="633" t="n"/>
      <c r="J126" s="633" t="n"/>
      <c r="K126" s="633" t="n"/>
      <c r="L126" s="633">
        <f>CCBASE!$I$13*B126/1000</f>
        <v/>
      </c>
      <c r="M126" s="633" t="n"/>
      <c r="N126" s="633">
        <f>CCBASE!$I$7*B126/1000</f>
        <v/>
      </c>
      <c r="O126" s="633">
        <f>CCBASE!$I$45*B126/1000</f>
        <v/>
      </c>
      <c r="P126" s="633">
        <f>CCBASE!$I$9</f>
        <v/>
      </c>
      <c r="Q126" s="633">
        <f>CCBASE!$H$51</f>
        <v/>
      </c>
      <c r="R126" s="633">
        <f>CCBASE!$I$4</f>
        <v/>
      </c>
      <c r="S126" s="633">
        <f>CCBASE!$I$8</f>
        <v/>
      </c>
      <c r="T126" s="633">
        <f>CCBASE!$I$44</f>
        <v/>
      </c>
      <c r="U126" s="633">
        <f>CCBASE!$I$47*2</f>
        <v/>
      </c>
      <c r="V126" s="633">
        <f>CCBASE!$I$46*1.5</f>
        <v/>
      </c>
      <c r="W126" s="633">
        <f>CCBASE!$I$42*B126/1000</f>
        <v/>
      </c>
      <c r="X126" s="633" t="n"/>
      <c r="Y126" s="633" t="n"/>
      <c r="Z126" s="633" t="n"/>
      <c r="AA126" s="633" t="n"/>
      <c r="AB126" s="633" t="n"/>
      <c r="AC126" s="633" t="n"/>
      <c r="AD126" s="633">
        <f>CCBASE!$I$38*2</f>
        <v/>
      </c>
    </row>
    <row r="127">
      <c r="A127" s="631" t="inlineStr">
        <is>
          <t>UVF</t>
        </is>
      </c>
      <c r="B127" s="631" t="n">
        <v>3000</v>
      </c>
      <c r="C127" s="631" t="n">
        <v>1750</v>
      </c>
      <c r="D127" s="631">
        <f>A127&amp;B127&amp;C127</f>
        <v/>
      </c>
      <c r="E127" s="1040">
        <f>SUM(G127:AD127)</f>
        <v/>
      </c>
      <c r="F127" s="632" t="n">
        <v>30.5</v>
      </c>
      <c r="G127" s="633">
        <f>F127*CCBASE!$B$51</f>
        <v/>
      </c>
      <c r="H127" s="633">
        <f>CCBASE!$I$11*B127/1000</f>
        <v/>
      </c>
      <c r="I127" s="633" t="n"/>
      <c r="J127" s="633" t="n"/>
      <c r="K127" s="633" t="n"/>
      <c r="L127" s="633">
        <f>CCBASE!$I$13*B127/1000</f>
        <v/>
      </c>
      <c r="M127" s="633" t="n"/>
      <c r="N127" s="633">
        <f>CCBASE!$I$7*B127/1000</f>
        <v/>
      </c>
      <c r="O127" s="633">
        <f>CCBASE!$I$45*B127/1000</f>
        <v/>
      </c>
      <c r="P127" s="633">
        <f>CCBASE!$I$9</f>
        <v/>
      </c>
      <c r="Q127" s="633">
        <f>CCBASE!$H$51</f>
        <v/>
      </c>
      <c r="R127" s="633">
        <f>CCBASE!$I$4</f>
        <v/>
      </c>
      <c r="S127" s="633">
        <f>CCBASE!$I$8</f>
        <v/>
      </c>
      <c r="T127" s="633">
        <f>CCBASE!$I$44</f>
        <v/>
      </c>
      <c r="U127" s="633">
        <f>CCBASE!$I$47*2</f>
        <v/>
      </c>
      <c r="V127" s="633">
        <f>CCBASE!$I$46*1.5</f>
        <v/>
      </c>
      <c r="W127" s="633">
        <f>CCBASE!$I$42*B127/1000</f>
        <v/>
      </c>
      <c r="X127" s="633" t="n"/>
      <c r="Y127" s="633" t="n"/>
      <c r="Z127" s="633" t="n"/>
      <c r="AA127" s="633" t="n"/>
      <c r="AB127" s="633" t="n"/>
      <c r="AC127" s="633" t="n"/>
      <c r="AD127" s="633">
        <f>CCBASE!$I$38*2</f>
        <v/>
      </c>
    </row>
    <row r="128">
      <c r="A128" s="631" t="inlineStr">
        <is>
          <t>UVF</t>
        </is>
      </c>
      <c r="B128" s="631" t="n">
        <v>1000</v>
      </c>
      <c r="C128" s="631" t="n">
        <v>2000</v>
      </c>
      <c r="D128" s="631">
        <f>A128&amp;B128&amp;C128</f>
        <v/>
      </c>
      <c r="E128" s="1040">
        <f>SUM(G128:AD128)</f>
        <v/>
      </c>
      <c r="F128" s="632" t="n">
        <v>29.5</v>
      </c>
      <c r="G128" s="633">
        <f>F128*CCBASE!$B$51</f>
        <v/>
      </c>
      <c r="H128" s="633">
        <f>CCBASE!$I$11*B128/1000</f>
        <v/>
      </c>
      <c r="I128" s="633" t="n"/>
      <c r="J128" s="633" t="n"/>
      <c r="K128" s="633" t="n"/>
      <c r="L128" s="633">
        <f>CCBASE!$I$13*B128/1000</f>
        <v/>
      </c>
      <c r="M128" s="633" t="n"/>
      <c r="N128" s="633">
        <f>CCBASE!$I$7*B128/1000</f>
        <v/>
      </c>
      <c r="O128" s="633">
        <f>CCBASE!$I$45*B128/1000</f>
        <v/>
      </c>
      <c r="P128" s="633">
        <f>CCBASE!$I$10</f>
        <v/>
      </c>
      <c r="Q128" s="633">
        <f>CCBASE!$H$51</f>
        <v/>
      </c>
      <c r="R128" s="633">
        <f>CCBASE!$I$4</f>
        <v/>
      </c>
      <c r="S128" s="633">
        <f>CCBASE!$I$8</f>
        <v/>
      </c>
      <c r="T128" s="633">
        <f>CCBASE!$I$44</f>
        <v/>
      </c>
      <c r="U128" s="633">
        <f>CCBASE!$I$47</f>
        <v/>
      </c>
      <c r="V128" s="633">
        <f>CCBASE!$I$46</f>
        <v/>
      </c>
      <c r="W128" s="633">
        <f>CCBASE!$I$43*B128/1000</f>
        <v/>
      </c>
      <c r="X128" s="633" t="n"/>
      <c r="Y128" s="633" t="n"/>
      <c r="Z128" s="633" t="n"/>
      <c r="AA128" s="633" t="n"/>
      <c r="AB128" s="633" t="n"/>
      <c r="AC128" s="633" t="n"/>
      <c r="AD128" s="633">
        <f>CCBASE!$I$39*2</f>
        <v/>
      </c>
    </row>
    <row r="129">
      <c r="A129" s="631" t="inlineStr">
        <is>
          <t>UVF</t>
        </is>
      </c>
      <c r="B129" s="631" t="n">
        <v>1250</v>
      </c>
      <c r="C129" s="631" t="n">
        <v>2000</v>
      </c>
      <c r="D129" s="631">
        <f>A129&amp;B129&amp;C129</f>
        <v/>
      </c>
      <c r="E129" s="1040">
        <f>SUM(G129:AD129)</f>
        <v/>
      </c>
      <c r="F129" s="632" t="n">
        <v>29.5</v>
      </c>
      <c r="G129" s="633">
        <f>F129*CCBASE!$B$51</f>
        <v/>
      </c>
      <c r="H129" s="633">
        <f>CCBASE!$I$11*B129/1000</f>
        <v/>
      </c>
      <c r="I129" s="633" t="n"/>
      <c r="J129" s="633" t="n"/>
      <c r="K129" s="633" t="n"/>
      <c r="L129" s="633">
        <f>CCBASE!$I$13*B129/1000</f>
        <v/>
      </c>
      <c r="M129" s="633" t="n"/>
      <c r="N129" s="633">
        <f>CCBASE!$I$7*B129/1000</f>
        <v/>
      </c>
      <c r="O129" s="633">
        <f>CCBASE!$I$45*B129/1000</f>
        <v/>
      </c>
      <c r="P129" s="633">
        <f>CCBASE!$I$10</f>
        <v/>
      </c>
      <c r="Q129" s="633">
        <f>CCBASE!$H$51</f>
        <v/>
      </c>
      <c r="R129" s="633">
        <f>CCBASE!$I$4</f>
        <v/>
      </c>
      <c r="S129" s="633">
        <f>CCBASE!$I$8</f>
        <v/>
      </c>
      <c r="T129" s="633">
        <f>CCBASE!$I$44</f>
        <v/>
      </c>
      <c r="U129" s="633">
        <f>CCBASE!$I$47*2</f>
        <v/>
      </c>
      <c r="V129" s="633">
        <f>CCBASE!$I$46</f>
        <v/>
      </c>
      <c r="W129" s="633">
        <f>CCBASE!$I$43*B129/1000</f>
        <v/>
      </c>
      <c r="X129" s="633" t="n"/>
      <c r="Y129" s="633" t="n"/>
      <c r="Z129" s="633" t="n"/>
      <c r="AA129" s="633" t="n"/>
      <c r="AB129" s="633" t="n"/>
      <c r="AC129" s="633" t="n"/>
      <c r="AD129" s="633">
        <f>CCBASE!$I$39*2</f>
        <v/>
      </c>
    </row>
    <row r="130">
      <c r="A130" s="631" t="inlineStr">
        <is>
          <t>UVF</t>
        </is>
      </c>
      <c r="B130" s="631" t="n">
        <v>1500</v>
      </c>
      <c r="C130" s="631" t="n">
        <v>2000</v>
      </c>
      <c r="D130" s="631">
        <f>A130&amp;B130&amp;C130</f>
        <v/>
      </c>
      <c r="E130" s="1040">
        <f>SUM(G130:AD130)</f>
        <v/>
      </c>
      <c r="F130" s="632" t="n">
        <v>29.5</v>
      </c>
      <c r="G130" s="633">
        <f>F130*CCBASE!$B$51</f>
        <v/>
      </c>
      <c r="H130" s="633">
        <f>CCBASE!$I$11*B130/1000</f>
        <v/>
      </c>
      <c r="I130" s="633" t="n"/>
      <c r="J130" s="633" t="n"/>
      <c r="K130" s="633" t="n"/>
      <c r="L130" s="633">
        <f>CCBASE!$I$13*B130/1000</f>
        <v/>
      </c>
      <c r="M130" s="633" t="n"/>
      <c r="N130" s="633">
        <f>CCBASE!$I$7*B130/1000</f>
        <v/>
      </c>
      <c r="O130" s="633">
        <f>CCBASE!$I$45*B130/1000</f>
        <v/>
      </c>
      <c r="P130" s="633">
        <f>CCBASE!$I$10</f>
        <v/>
      </c>
      <c r="Q130" s="633">
        <f>CCBASE!$H$51</f>
        <v/>
      </c>
      <c r="R130" s="633">
        <f>CCBASE!$I$4</f>
        <v/>
      </c>
      <c r="S130" s="633">
        <f>CCBASE!$I$8</f>
        <v/>
      </c>
      <c r="T130" s="633">
        <f>CCBASE!$I$44</f>
        <v/>
      </c>
      <c r="U130" s="633">
        <f>CCBASE!$I$47*2</f>
        <v/>
      </c>
      <c r="V130" s="633">
        <f>CCBASE!$I$46</f>
        <v/>
      </c>
      <c r="W130" s="633">
        <f>CCBASE!$I$43*B130/1000</f>
        <v/>
      </c>
      <c r="X130" s="633" t="n"/>
      <c r="Y130" s="633" t="n"/>
      <c r="Z130" s="633" t="n"/>
      <c r="AA130" s="633" t="n"/>
      <c r="AB130" s="633" t="n"/>
      <c r="AC130" s="633" t="n"/>
      <c r="AD130" s="633">
        <f>CCBASE!$I$39*2</f>
        <v/>
      </c>
    </row>
    <row r="131">
      <c r="A131" s="631" t="inlineStr">
        <is>
          <t>UVF</t>
        </is>
      </c>
      <c r="B131" s="631" t="n">
        <v>1750</v>
      </c>
      <c r="C131" s="631" t="n">
        <v>2000</v>
      </c>
      <c r="D131" s="631">
        <f>A131&amp;B131&amp;C131</f>
        <v/>
      </c>
      <c r="E131" s="1040">
        <f>SUM(G131:AD131)</f>
        <v/>
      </c>
      <c r="F131" s="632" t="n">
        <v>29.5</v>
      </c>
      <c r="G131" s="633">
        <f>F131*CCBASE!$B$51</f>
        <v/>
      </c>
      <c r="H131" s="633">
        <f>CCBASE!$I$11*B131/1000</f>
        <v/>
      </c>
      <c r="I131" s="633" t="n"/>
      <c r="J131" s="633" t="n"/>
      <c r="K131" s="633" t="n"/>
      <c r="L131" s="633">
        <f>CCBASE!$I$13*B131/1000</f>
        <v/>
      </c>
      <c r="M131" s="633" t="n"/>
      <c r="N131" s="633">
        <f>CCBASE!$I$7*B131/1000</f>
        <v/>
      </c>
      <c r="O131" s="633">
        <f>CCBASE!$I$45*B131/1000</f>
        <v/>
      </c>
      <c r="P131" s="633">
        <f>CCBASE!$I$9</f>
        <v/>
      </c>
      <c r="Q131" s="633">
        <f>CCBASE!$H$51</f>
        <v/>
      </c>
      <c r="R131" s="633">
        <f>CCBASE!$I$4</f>
        <v/>
      </c>
      <c r="S131" s="633">
        <f>CCBASE!$I$8</f>
        <v/>
      </c>
      <c r="T131" s="633">
        <f>CCBASE!$I$44</f>
        <v/>
      </c>
      <c r="U131" s="633">
        <f>CCBASE!$I$47*2</f>
        <v/>
      </c>
      <c r="V131" s="633">
        <f>CCBASE!$I$46*1.5</f>
        <v/>
      </c>
      <c r="W131" s="633">
        <f>CCBASE!$I$43*B131/1000</f>
        <v/>
      </c>
      <c r="X131" s="633" t="n"/>
      <c r="Y131" s="633" t="n"/>
      <c r="Z131" s="633" t="n"/>
      <c r="AA131" s="633" t="n"/>
      <c r="AB131" s="633" t="n"/>
      <c r="AC131" s="633" t="n"/>
      <c r="AD131" s="633">
        <f>CCBASE!$I$39*2</f>
        <v/>
      </c>
    </row>
    <row r="132">
      <c r="A132" s="631" t="inlineStr">
        <is>
          <t>UVF</t>
        </is>
      </c>
      <c r="B132" s="631" t="n">
        <v>2000</v>
      </c>
      <c r="C132" s="631" t="n">
        <v>2000</v>
      </c>
      <c r="D132" s="631">
        <f>A132&amp;B132&amp;C132</f>
        <v/>
      </c>
      <c r="E132" s="1040">
        <f>SUM(G132:AD132)</f>
        <v/>
      </c>
      <c r="F132" s="632" t="n">
        <v>29.5</v>
      </c>
      <c r="G132" s="633">
        <f>F132*CCBASE!$B$51</f>
        <v/>
      </c>
      <c r="H132" s="633">
        <f>CCBASE!$I$11*B132/1000</f>
        <v/>
      </c>
      <c r="I132" s="633" t="n"/>
      <c r="J132" s="633" t="n"/>
      <c r="K132" s="633" t="n"/>
      <c r="L132" s="633">
        <f>CCBASE!$I$13*B132/1000</f>
        <v/>
      </c>
      <c r="M132" s="633" t="n"/>
      <c r="N132" s="633">
        <f>CCBASE!$I$7*B132/1000</f>
        <v/>
      </c>
      <c r="O132" s="633">
        <f>CCBASE!$I$45*B132/1000</f>
        <v/>
      </c>
      <c r="P132" s="633">
        <f>CCBASE!$I$9</f>
        <v/>
      </c>
      <c r="Q132" s="633">
        <f>CCBASE!$H$51</f>
        <v/>
      </c>
      <c r="R132" s="633">
        <f>CCBASE!$I$4</f>
        <v/>
      </c>
      <c r="S132" s="633">
        <f>CCBASE!$I$8</f>
        <v/>
      </c>
      <c r="T132" s="633">
        <f>CCBASE!$I$44</f>
        <v/>
      </c>
      <c r="U132" s="633">
        <f>CCBASE!$I$47*2</f>
        <v/>
      </c>
      <c r="V132" s="633">
        <f>CCBASE!$I$46*1.5</f>
        <v/>
      </c>
      <c r="W132" s="633">
        <f>CCBASE!$I$43*B132/1000</f>
        <v/>
      </c>
      <c r="X132" s="633" t="n"/>
      <c r="Y132" s="633" t="n"/>
      <c r="Z132" s="633" t="n"/>
      <c r="AA132" s="633" t="n"/>
      <c r="AB132" s="633" t="n"/>
      <c r="AC132" s="633" t="n"/>
      <c r="AD132" s="633">
        <f>CCBASE!$I$39*2</f>
        <v/>
      </c>
    </row>
    <row r="133">
      <c r="A133" s="631" t="inlineStr">
        <is>
          <t>UVF</t>
        </is>
      </c>
      <c r="B133" s="631" t="n">
        <v>2250</v>
      </c>
      <c r="C133" s="631" t="n">
        <v>2000</v>
      </c>
      <c r="D133" s="631">
        <f>A133&amp;B133&amp;C133</f>
        <v/>
      </c>
      <c r="E133" s="1040">
        <f>SUM(G133:AD133)</f>
        <v/>
      </c>
      <c r="F133" s="632" t="n">
        <v>30.5</v>
      </c>
      <c r="G133" s="633">
        <f>F133*CCBASE!$B$51</f>
        <v/>
      </c>
      <c r="H133" s="633">
        <f>CCBASE!$I$11*B133/1000</f>
        <v/>
      </c>
      <c r="I133" s="633" t="n"/>
      <c r="J133" s="633" t="n"/>
      <c r="K133" s="633" t="n"/>
      <c r="L133" s="633">
        <f>CCBASE!$I$13*B133/1000</f>
        <v/>
      </c>
      <c r="M133" s="633" t="n"/>
      <c r="N133" s="633">
        <f>CCBASE!$I$7*B133/1000</f>
        <v/>
      </c>
      <c r="O133" s="633">
        <f>CCBASE!$I$45*B133/1000</f>
        <v/>
      </c>
      <c r="P133" s="633">
        <f>CCBASE!$I$9</f>
        <v/>
      </c>
      <c r="Q133" s="633">
        <f>CCBASE!$H$51</f>
        <v/>
      </c>
      <c r="R133" s="633">
        <f>CCBASE!$I$4</f>
        <v/>
      </c>
      <c r="S133" s="633">
        <f>CCBASE!$I$8</f>
        <v/>
      </c>
      <c r="T133" s="633">
        <f>CCBASE!$I$44</f>
        <v/>
      </c>
      <c r="U133" s="633">
        <f>CCBASE!$I$47*2</f>
        <v/>
      </c>
      <c r="V133" s="633">
        <f>CCBASE!$I$46*1.5</f>
        <v/>
      </c>
      <c r="W133" s="633">
        <f>CCBASE!$I$43*B133/1000</f>
        <v/>
      </c>
      <c r="X133" s="633" t="n"/>
      <c r="Y133" s="633" t="n"/>
      <c r="Z133" s="633" t="n"/>
      <c r="AA133" s="633" t="n"/>
      <c r="AB133" s="633" t="n"/>
      <c r="AC133" s="633" t="n"/>
      <c r="AD133" s="633">
        <f>CCBASE!$I$39*2</f>
        <v/>
      </c>
    </row>
    <row r="134">
      <c r="A134" s="631" t="inlineStr">
        <is>
          <t>UVF</t>
        </is>
      </c>
      <c r="B134" s="631" t="n">
        <v>2500</v>
      </c>
      <c r="C134" s="631" t="n">
        <v>2000</v>
      </c>
      <c r="D134" s="631">
        <f>A134&amp;B134&amp;C134</f>
        <v/>
      </c>
      <c r="E134" s="1040">
        <f>SUM(G134:AD134)</f>
        <v/>
      </c>
      <c r="F134" s="632" t="n">
        <v>30.5</v>
      </c>
      <c r="G134" s="633">
        <f>F134*CCBASE!$B$51</f>
        <v/>
      </c>
      <c r="H134" s="633">
        <f>CCBASE!$I$11*B134/1000</f>
        <v/>
      </c>
      <c r="I134" s="633" t="n"/>
      <c r="J134" s="633" t="n"/>
      <c r="K134" s="633" t="n"/>
      <c r="L134" s="633">
        <f>CCBASE!$I$13*B134/1000</f>
        <v/>
      </c>
      <c r="M134" s="633" t="n"/>
      <c r="N134" s="633">
        <f>CCBASE!$I$7*B134/1000</f>
        <v/>
      </c>
      <c r="O134" s="633">
        <f>CCBASE!$I$45*B134/1000</f>
        <v/>
      </c>
      <c r="P134" s="633">
        <f>CCBASE!$I$9</f>
        <v/>
      </c>
      <c r="Q134" s="633">
        <f>CCBASE!$H$51</f>
        <v/>
      </c>
      <c r="R134" s="633">
        <f>CCBASE!$I$4</f>
        <v/>
      </c>
      <c r="S134" s="633">
        <f>CCBASE!$I$8</f>
        <v/>
      </c>
      <c r="T134" s="633">
        <f>CCBASE!$I$44</f>
        <v/>
      </c>
      <c r="U134" s="633">
        <f>CCBASE!$I$47*2</f>
        <v/>
      </c>
      <c r="V134" s="633">
        <f>CCBASE!$I$46*1.5</f>
        <v/>
      </c>
      <c r="W134" s="633">
        <f>CCBASE!$I$43*B134/1000</f>
        <v/>
      </c>
      <c r="X134" s="633" t="n"/>
      <c r="Y134" s="633" t="n"/>
      <c r="Z134" s="633" t="n"/>
      <c r="AA134" s="633" t="n"/>
      <c r="AB134" s="633" t="n"/>
      <c r="AC134" s="633" t="n"/>
      <c r="AD134" s="633">
        <f>CCBASE!$I$39*2</f>
        <v/>
      </c>
    </row>
    <row r="135">
      <c r="A135" s="631" t="inlineStr">
        <is>
          <t>UVF</t>
        </is>
      </c>
      <c r="B135" s="631" t="n">
        <v>2750</v>
      </c>
      <c r="C135" s="631" t="n">
        <v>2000</v>
      </c>
      <c r="D135" s="631">
        <f>A135&amp;B135&amp;C135</f>
        <v/>
      </c>
      <c r="E135" s="1040">
        <f>SUM(G135:AD135)</f>
        <v/>
      </c>
      <c r="F135" s="632" t="n">
        <v>30.5</v>
      </c>
      <c r="G135" s="633">
        <f>F135*CCBASE!$B$51</f>
        <v/>
      </c>
      <c r="H135" s="633">
        <f>CCBASE!$I$11*B135/1000</f>
        <v/>
      </c>
      <c r="I135" s="633" t="n"/>
      <c r="J135" s="633" t="n"/>
      <c r="K135" s="633" t="n"/>
      <c r="L135" s="633">
        <f>CCBASE!$I$13*B135/1000</f>
        <v/>
      </c>
      <c r="M135" s="633" t="n"/>
      <c r="N135" s="633">
        <f>CCBASE!$I$7*B135/1000</f>
        <v/>
      </c>
      <c r="O135" s="633">
        <f>CCBASE!$I$45*B135/1000</f>
        <v/>
      </c>
      <c r="P135" s="633">
        <f>CCBASE!$I$9</f>
        <v/>
      </c>
      <c r="Q135" s="633">
        <f>CCBASE!$H$51</f>
        <v/>
      </c>
      <c r="R135" s="633">
        <f>CCBASE!$I$4</f>
        <v/>
      </c>
      <c r="S135" s="633">
        <f>CCBASE!$I$8</f>
        <v/>
      </c>
      <c r="T135" s="633">
        <f>CCBASE!$I$44</f>
        <v/>
      </c>
      <c r="U135" s="633">
        <f>CCBASE!$I$47*2</f>
        <v/>
      </c>
      <c r="V135" s="633">
        <f>CCBASE!$I$46*1.5</f>
        <v/>
      </c>
      <c r="W135" s="633">
        <f>CCBASE!$I$43*B135/1000</f>
        <v/>
      </c>
      <c r="X135" s="633" t="n"/>
      <c r="Y135" s="633" t="n"/>
      <c r="Z135" s="633" t="n"/>
      <c r="AA135" s="633" t="n"/>
      <c r="AB135" s="633" t="n"/>
      <c r="AC135" s="633" t="n"/>
      <c r="AD135" s="633">
        <f>CCBASE!$I$39*2</f>
        <v/>
      </c>
    </row>
    <row r="136">
      <c r="A136" s="631" t="inlineStr">
        <is>
          <t>UVF</t>
        </is>
      </c>
      <c r="B136" s="631" t="n">
        <v>3000</v>
      </c>
      <c r="C136" s="631" t="n">
        <v>2000</v>
      </c>
      <c r="D136" s="631">
        <f>A136&amp;B136&amp;C136</f>
        <v/>
      </c>
      <c r="E136" s="1040">
        <f>SUM(G136:AD136)</f>
        <v/>
      </c>
      <c r="F136" s="632" t="n">
        <v>30.5</v>
      </c>
      <c r="G136" s="633">
        <f>F136*CCBASE!$B$51</f>
        <v/>
      </c>
      <c r="H136" s="633">
        <f>CCBASE!$I$11*B136/1000</f>
        <v/>
      </c>
      <c r="I136" s="633" t="n"/>
      <c r="J136" s="633" t="n"/>
      <c r="K136" s="633" t="n"/>
      <c r="L136" s="633">
        <f>CCBASE!$I$13*B136/1000</f>
        <v/>
      </c>
      <c r="M136" s="633" t="n"/>
      <c r="N136" s="633">
        <f>CCBASE!$I$7*B136/1000</f>
        <v/>
      </c>
      <c r="O136" s="633">
        <f>CCBASE!$I$45*B136/1000</f>
        <v/>
      </c>
      <c r="P136" s="633">
        <f>CCBASE!$I$9</f>
        <v/>
      </c>
      <c r="Q136" s="633">
        <f>CCBASE!$H$51</f>
        <v/>
      </c>
      <c r="R136" s="633">
        <f>CCBASE!$I$4</f>
        <v/>
      </c>
      <c r="S136" s="633">
        <f>CCBASE!$I$8</f>
        <v/>
      </c>
      <c r="T136" s="633">
        <f>CCBASE!$I$44</f>
        <v/>
      </c>
      <c r="U136" s="633">
        <f>CCBASE!$I$47*2</f>
        <v/>
      </c>
      <c r="V136" s="633">
        <f>CCBASE!$I$46*1.5</f>
        <v/>
      </c>
      <c r="W136" s="633">
        <f>CCBASE!$I$43*B136/1000</f>
        <v/>
      </c>
      <c r="X136" s="633" t="n"/>
      <c r="Y136" s="633" t="n"/>
      <c r="Z136" s="633" t="n"/>
      <c r="AA136" s="633" t="n"/>
      <c r="AB136" s="633" t="n"/>
      <c r="AC136" s="633" t="n"/>
      <c r="AD136" s="633">
        <f>CCBASE!$I$39*2</f>
        <v/>
      </c>
    </row>
    <row r="137">
      <c r="A137" s="631" t="inlineStr">
        <is>
          <t>KVX</t>
        </is>
      </c>
      <c r="B137" s="631" t="n">
        <v>1000</v>
      </c>
      <c r="C137" s="631" t="n">
        <v>1000</v>
      </c>
      <c r="D137" s="631">
        <f>$A137&amp;B137&amp;C137</f>
        <v/>
      </c>
      <c r="E137" s="1040">
        <f>SUM(G137:AD137)</f>
        <v/>
      </c>
      <c r="F137" s="632" t="n">
        <v>13</v>
      </c>
      <c r="G137" s="633">
        <f>F137*CCBASE!$B$51</f>
        <v/>
      </c>
      <c r="H137" s="633">
        <f>CCBASE!$I$12*B137/1000</f>
        <v/>
      </c>
      <c r="I137" s="633" t="n"/>
      <c r="J137" s="633" t="n"/>
      <c r="K137" s="633" t="n"/>
      <c r="L137" s="632" t="n"/>
      <c r="M137" s="633">
        <f>CCBASE!$I$15*B137/1000</f>
        <v/>
      </c>
      <c r="N137" s="633" t="n"/>
      <c r="O137" s="633" t="n"/>
      <c r="P137" s="633" t="n"/>
      <c r="Q137" s="633">
        <f>CCBASE!$I$51</f>
        <v/>
      </c>
      <c r="R137" s="633">
        <f>CCBASE!$I$4</f>
        <v/>
      </c>
      <c r="S137" s="633">
        <f>CCBASE!$I$8</f>
        <v/>
      </c>
      <c r="T137" s="632" t="n"/>
      <c r="U137" s="633" t="n"/>
      <c r="V137" s="633" t="n"/>
      <c r="W137" s="633">
        <f>CCBASE!$I$40*B137/1000</f>
        <v/>
      </c>
      <c r="X137" s="633" t="n"/>
      <c r="Y137" s="633" t="n"/>
      <c r="Z137" s="633" t="n"/>
      <c r="AA137" s="633" t="n"/>
      <c r="AB137" s="633" t="n"/>
      <c r="AC137" s="633" t="n"/>
      <c r="AD137" s="633">
        <f>CCBASE!$I$32*2</f>
        <v/>
      </c>
      <c r="AI137" s="635" t="n"/>
      <c r="AJ137" s="635" t="n"/>
      <c r="AK137" s="636" t="n"/>
      <c r="AL137" s="636" t="n"/>
      <c r="AM137" s="636" t="n"/>
      <c r="AN137" s="636" t="n"/>
      <c r="AO137" s="636" t="n"/>
      <c r="AP137" s="636" t="n"/>
      <c r="AQ137" s="636" t="n"/>
      <c r="AR137" s="636" t="n"/>
      <c r="AS137" s="636" t="n"/>
    </row>
    <row r="138">
      <c r="A138" s="631" t="inlineStr">
        <is>
          <t>KVX</t>
        </is>
      </c>
      <c r="B138" s="631" t="n">
        <v>1250</v>
      </c>
      <c r="C138" s="631" t="n">
        <v>1000</v>
      </c>
      <c r="D138" s="631">
        <f>$A138&amp;B138&amp;C138</f>
        <v/>
      </c>
      <c r="E138" s="1040">
        <f>SUM(G138:AD138)</f>
        <v/>
      </c>
      <c r="F138" s="632" t="n">
        <v>13</v>
      </c>
      <c r="G138" s="633">
        <f>F138*CCBASE!$B$51</f>
        <v/>
      </c>
      <c r="H138" s="633">
        <f>CCBASE!$I$12*B138/1000</f>
        <v/>
      </c>
      <c r="I138" s="633" t="n"/>
      <c r="J138" s="633" t="n"/>
      <c r="K138" s="633" t="n"/>
      <c r="L138" s="632" t="n"/>
      <c r="M138" s="633">
        <f>CCBASE!$I$15*B138/1000</f>
        <v/>
      </c>
      <c r="N138" s="633" t="n"/>
      <c r="O138" s="633" t="n"/>
      <c r="P138" s="633" t="n"/>
      <c r="Q138" s="633">
        <f>CCBASE!$I$51</f>
        <v/>
      </c>
      <c r="R138" s="633">
        <f>CCBASE!$I$4</f>
        <v/>
      </c>
      <c r="S138" s="633">
        <f>CCBASE!$I$8</f>
        <v/>
      </c>
      <c r="T138" s="632" t="n"/>
      <c r="U138" s="633" t="n"/>
      <c r="V138" s="633" t="n"/>
      <c r="W138" s="633">
        <f>CCBASE!$I$40*B138/1000</f>
        <v/>
      </c>
      <c r="X138" s="633" t="n"/>
      <c r="Y138" s="633" t="n"/>
      <c r="Z138" s="633" t="n"/>
      <c r="AA138" s="633" t="n"/>
      <c r="AB138" s="633" t="n"/>
      <c r="AC138" s="633" t="n"/>
      <c r="AD138" s="633">
        <f>CCBASE!$I$32*2</f>
        <v/>
      </c>
      <c r="AI138" s="635" t="n"/>
      <c r="AJ138" s="635" t="n"/>
      <c r="AK138" s="636" t="n"/>
      <c r="AL138" s="636" t="n"/>
      <c r="AM138" s="636" t="n"/>
      <c r="AN138" s="636" t="n"/>
      <c r="AO138" s="636" t="n"/>
      <c r="AP138" s="636" t="n"/>
      <c r="AQ138" s="636" t="n"/>
      <c r="AR138" s="636" t="n"/>
      <c r="AS138" s="636" t="n"/>
    </row>
    <row r="139">
      <c r="A139" s="631" t="inlineStr">
        <is>
          <t>KVX</t>
        </is>
      </c>
      <c r="B139" s="631" t="n">
        <v>1500</v>
      </c>
      <c r="C139" s="631" t="n">
        <v>1000</v>
      </c>
      <c r="D139" s="631">
        <f>$A139&amp;B139&amp;C139</f>
        <v/>
      </c>
      <c r="E139" s="1040">
        <f>SUM(G139:AD139)</f>
        <v/>
      </c>
      <c r="F139" s="632" t="n">
        <v>13</v>
      </c>
      <c r="G139" s="633">
        <f>F139*CCBASE!$B$51</f>
        <v/>
      </c>
      <c r="H139" s="633">
        <f>CCBASE!$I$12*B139/1000</f>
        <v/>
      </c>
      <c r="I139" s="633" t="n"/>
      <c r="J139" s="633" t="n"/>
      <c r="K139" s="633" t="n"/>
      <c r="L139" s="632" t="n"/>
      <c r="M139" s="633">
        <f>CCBASE!$I$15*B139/1000</f>
        <v/>
      </c>
      <c r="N139" s="633" t="n"/>
      <c r="O139" s="633" t="n"/>
      <c r="P139" s="633" t="n"/>
      <c r="Q139" s="633">
        <f>CCBASE!$I$51</f>
        <v/>
      </c>
      <c r="R139" s="633">
        <f>CCBASE!$I$4</f>
        <v/>
      </c>
      <c r="S139" s="633">
        <f>CCBASE!$I$8</f>
        <v/>
      </c>
      <c r="T139" s="632" t="n"/>
      <c r="U139" s="633" t="n"/>
      <c r="V139" s="633" t="n"/>
      <c r="W139" s="633">
        <f>CCBASE!$I$40*B139/1000</f>
        <v/>
      </c>
      <c r="X139" s="633" t="n"/>
      <c r="Y139" s="633" t="n"/>
      <c r="Z139" s="633" t="n"/>
      <c r="AA139" s="633" t="n"/>
      <c r="AB139" s="633" t="n"/>
      <c r="AC139" s="633" t="n"/>
      <c r="AD139" s="633">
        <f>CCBASE!$I$32*2</f>
        <v/>
      </c>
      <c r="AI139" s="635" t="n"/>
      <c r="AJ139" s="635" t="n"/>
      <c r="AK139" s="636" t="n"/>
      <c r="AL139" s="636" t="n"/>
      <c r="AM139" s="636" t="n"/>
      <c r="AN139" s="636" t="n"/>
      <c r="AO139" s="636" t="n"/>
      <c r="AP139" s="636" t="n"/>
      <c r="AQ139" s="636" t="n"/>
      <c r="AR139" s="636" t="n"/>
      <c r="AS139" s="636" t="n"/>
    </row>
    <row r="140">
      <c r="A140" s="631" t="inlineStr">
        <is>
          <t>KVX</t>
        </is>
      </c>
      <c r="B140" s="631" t="n">
        <v>1750</v>
      </c>
      <c r="C140" s="631" t="n">
        <v>1000</v>
      </c>
      <c r="D140" s="631">
        <f>$A140&amp;B140&amp;C140</f>
        <v/>
      </c>
      <c r="E140" s="1040">
        <f>SUM(G140:AD140)</f>
        <v/>
      </c>
      <c r="F140" s="632" t="n">
        <v>13</v>
      </c>
      <c r="G140" s="633">
        <f>F140*CCBASE!$B$51</f>
        <v/>
      </c>
      <c r="H140" s="633">
        <f>CCBASE!$I$12*B140/1000</f>
        <v/>
      </c>
      <c r="I140" s="633" t="n"/>
      <c r="J140" s="633" t="n"/>
      <c r="K140" s="633" t="n"/>
      <c r="L140" s="632" t="n"/>
      <c r="M140" s="633">
        <f>CCBASE!$I$15*B140/1000</f>
        <v/>
      </c>
      <c r="N140" s="633" t="n"/>
      <c r="O140" s="633" t="n"/>
      <c r="P140" s="633" t="n"/>
      <c r="Q140" s="633">
        <f>CCBASE!$I$51</f>
        <v/>
      </c>
      <c r="R140" s="633">
        <f>CCBASE!$I$4</f>
        <v/>
      </c>
      <c r="S140" s="633">
        <f>CCBASE!$I$8</f>
        <v/>
      </c>
      <c r="T140" s="632" t="n"/>
      <c r="U140" s="633" t="n"/>
      <c r="V140" s="633" t="n"/>
      <c r="W140" s="633">
        <f>CCBASE!$I$40*B140/1000</f>
        <v/>
      </c>
      <c r="X140" s="633" t="n"/>
      <c r="Y140" s="633" t="n"/>
      <c r="Z140" s="633" t="n"/>
      <c r="AA140" s="633" t="n"/>
      <c r="AB140" s="633" t="n"/>
      <c r="AC140" s="633" t="n"/>
      <c r="AD140" s="633">
        <f>CCBASE!$I$32*2</f>
        <v/>
      </c>
      <c r="AI140" s="635" t="n"/>
      <c r="AJ140" s="635" t="n"/>
      <c r="AN140" s="636" t="n"/>
      <c r="AO140" s="636" t="n"/>
      <c r="AP140" s="636" t="n"/>
      <c r="AQ140" s="636" t="n"/>
      <c r="AR140" s="636" t="n"/>
      <c r="AS140" s="636" t="n"/>
    </row>
    <row r="141">
      <c r="A141" s="631" t="inlineStr">
        <is>
          <t>KVX</t>
        </is>
      </c>
      <c r="B141" s="631" t="n">
        <v>2000</v>
      </c>
      <c r="C141" s="631" t="n">
        <v>1000</v>
      </c>
      <c r="D141" s="631">
        <f>$A141&amp;B141&amp;C141</f>
        <v/>
      </c>
      <c r="E141" s="1040">
        <f>SUM(G141:AD141)</f>
        <v/>
      </c>
      <c r="F141" s="632" t="n">
        <v>13</v>
      </c>
      <c r="G141" s="633">
        <f>F141*CCBASE!$B$51</f>
        <v/>
      </c>
      <c r="H141" s="633">
        <f>CCBASE!$I$12*B141/1000</f>
        <v/>
      </c>
      <c r="I141" s="633" t="n"/>
      <c r="J141" s="633" t="n"/>
      <c r="K141" s="633" t="n"/>
      <c r="L141" s="632" t="n"/>
      <c r="M141" s="633">
        <f>CCBASE!$I$15*B141/1000</f>
        <v/>
      </c>
      <c r="N141" s="633" t="n"/>
      <c r="O141" s="633" t="n"/>
      <c r="P141" s="633" t="n"/>
      <c r="Q141" s="633">
        <f>CCBASE!$I$51</f>
        <v/>
      </c>
      <c r="R141" s="633">
        <f>CCBASE!$I$4</f>
        <v/>
      </c>
      <c r="S141" s="633">
        <f>CCBASE!$I$8</f>
        <v/>
      </c>
      <c r="T141" s="632" t="n"/>
      <c r="U141" s="633" t="n"/>
      <c r="V141" s="633" t="n"/>
      <c r="W141" s="633">
        <f>CCBASE!$I$40*B141/1000</f>
        <v/>
      </c>
      <c r="X141" s="633" t="n"/>
      <c r="Y141" s="633" t="n"/>
      <c r="Z141" s="633" t="n"/>
      <c r="AA141" s="633" t="n"/>
      <c r="AB141" s="633" t="n"/>
      <c r="AC141" s="633" t="n"/>
      <c r="AD141" s="633">
        <f>CCBASE!$I$32*2</f>
        <v/>
      </c>
      <c r="AI141" s="635" t="n"/>
      <c r="AJ141" s="635" t="n"/>
      <c r="AN141" s="636" t="n"/>
      <c r="AO141" s="636" t="n"/>
      <c r="AP141" s="636" t="n"/>
      <c r="AQ141" s="636" t="n"/>
      <c r="AR141" s="636" t="n"/>
      <c r="AS141" s="636" t="n"/>
    </row>
    <row r="142">
      <c r="A142" s="631" t="inlineStr">
        <is>
          <t>KVX</t>
        </is>
      </c>
      <c r="B142" s="631" t="n">
        <v>2250</v>
      </c>
      <c r="C142" s="631" t="n">
        <v>1000</v>
      </c>
      <c r="D142" s="631">
        <f>$A142&amp;B142&amp;C142</f>
        <v/>
      </c>
      <c r="E142" s="1040">
        <f>SUM(G142:AD142)</f>
        <v/>
      </c>
      <c r="F142" s="632" t="n">
        <v>14</v>
      </c>
      <c r="G142" s="633">
        <f>F142*CCBASE!$B$51</f>
        <v/>
      </c>
      <c r="H142" s="633">
        <f>CCBASE!$I$12*B142/1000</f>
        <v/>
      </c>
      <c r="I142" s="633" t="n"/>
      <c r="J142" s="633" t="n"/>
      <c r="K142" s="633" t="n"/>
      <c r="L142" s="632" t="n"/>
      <c r="M142" s="633">
        <f>CCBASE!$I$15*B142/1000</f>
        <v/>
      </c>
      <c r="N142" s="633" t="n"/>
      <c r="O142" s="633" t="n"/>
      <c r="P142" s="633" t="n"/>
      <c r="Q142" s="633">
        <f>CCBASE!$I$51</f>
        <v/>
      </c>
      <c r="R142" s="633">
        <f>CCBASE!$I$4</f>
        <v/>
      </c>
      <c r="S142" s="633">
        <f>CCBASE!$I$8</f>
        <v/>
      </c>
      <c r="T142" s="632" t="n"/>
      <c r="U142" s="633" t="n"/>
      <c r="V142" s="633" t="n"/>
      <c r="W142" s="633">
        <f>CCBASE!$I$40*B142/1000</f>
        <v/>
      </c>
      <c r="X142" s="633" t="n"/>
      <c r="Y142" s="633" t="n"/>
      <c r="Z142" s="633" t="n"/>
      <c r="AA142" s="633" t="n"/>
      <c r="AB142" s="633" t="n"/>
      <c r="AC142" s="633" t="n"/>
      <c r="AD142" s="633">
        <f>CCBASE!$I$32*2</f>
        <v/>
      </c>
      <c r="AI142" s="635" t="n"/>
      <c r="AJ142" s="635" t="n"/>
      <c r="AN142" s="636" t="n"/>
      <c r="AO142" s="636" t="n"/>
      <c r="AP142" s="636" t="n"/>
      <c r="AQ142" s="636" t="n"/>
      <c r="AR142" s="636" t="n"/>
      <c r="AS142" s="636" t="n"/>
    </row>
    <row r="143">
      <c r="A143" s="631" t="inlineStr">
        <is>
          <t>KVX</t>
        </is>
      </c>
      <c r="B143" s="631" t="n">
        <v>2500</v>
      </c>
      <c r="C143" s="631" t="n">
        <v>1000</v>
      </c>
      <c r="D143" s="631">
        <f>$A143&amp;B143&amp;C143</f>
        <v/>
      </c>
      <c r="E143" s="1040">
        <f>SUM(G143:AD143)</f>
        <v/>
      </c>
      <c r="F143" s="632" t="n">
        <v>14</v>
      </c>
      <c r="G143" s="633">
        <f>F143*CCBASE!$B$51</f>
        <v/>
      </c>
      <c r="H143" s="633">
        <f>CCBASE!$I$12*B143/1000</f>
        <v/>
      </c>
      <c r="I143" s="633" t="n"/>
      <c r="J143" s="633" t="n"/>
      <c r="K143" s="633" t="n"/>
      <c r="L143" s="632" t="n"/>
      <c r="M143" s="633">
        <f>CCBASE!$I$15*B143/1000</f>
        <v/>
      </c>
      <c r="N143" s="633" t="n"/>
      <c r="O143" s="633" t="n"/>
      <c r="P143" s="633" t="n"/>
      <c r="Q143" s="633">
        <f>CCBASE!$I$51</f>
        <v/>
      </c>
      <c r="R143" s="633">
        <f>CCBASE!$I$4</f>
        <v/>
      </c>
      <c r="S143" s="633">
        <f>CCBASE!$I$8</f>
        <v/>
      </c>
      <c r="T143" s="632" t="n"/>
      <c r="U143" s="633" t="n"/>
      <c r="V143" s="633" t="n"/>
      <c r="W143" s="633">
        <f>CCBASE!$I$40*B143/1000</f>
        <v/>
      </c>
      <c r="X143" s="633" t="n"/>
      <c r="Y143" s="633" t="n"/>
      <c r="Z143" s="633" t="n"/>
      <c r="AA143" s="633" t="n"/>
      <c r="AB143" s="633" t="n"/>
      <c r="AC143" s="633" t="n"/>
      <c r="AD143" s="633">
        <f>CCBASE!$I$32*2</f>
        <v/>
      </c>
      <c r="AI143" s="635" t="n"/>
      <c r="AJ143" s="635" t="n"/>
      <c r="AN143" s="636" t="n"/>
      <c r="AO143" s="636" t="n"/>
      <c r="AP143" s="636" t="n"/>
      <c r="AQ143" s="636" t="n"/>
      <c r="AR143" s="636" t="n"/>
      <c r="AS143" s="636" t="n"/>
    </row>
    <row r="144">
      <c r="A144" s="631" t="inlineStr">
        <is>
          <t>KVX</t>
        </is>
      </c>
      <c r="B144" s="631" t="n">
        <v>2750</v>
      </c>
      <c r="C144" s="631" t="n">
        <v>1000</v>
      </c>
      <c r="D144" s="631">
        <f>$A144&amp;B144&amp;C144</f>
        <v/>
      </c>
      <c r="E144" s="1040">
        <f>SUM(G144:AD144)</f>
        <v/>
      </c>
      <c r="F144" s="632" t="n">
        <v>14</v>
      </c>
      <c r="G144" s="633">
        <f>F144*CCBASE!$B$51</f>
        <v/>
      </c>
      <c r="H144" s="633">
        <f>CCBASE!$I$12*B144/1000</f>
        <v/>
      </c>
      <c r="I144" s="633" t="n"/>
      <c r="J144" s="633" t="n"/>
      <c r="K144" s="633" t="n"/>
      <c r="L144" s="632" t="n"/>
      <c r="M144" s="633">
        <f>CCBASE!$I$15*B144/1000</f>
        <v/>
      </c>
      <c r="N144" s="633" t="n"/>
      <c r="O144" s="633" t="n"/>
      <c r="P144" s="633" t="n"/>
      <c r="Q144" s="633">
        <f>CCBASE!$I$51</f>
        <v/>
      </c>
      <c r="R144" s="633">
        <f>CCBASE!$I$4</f>
        <v/>
      </c>
      <c r="S144" s="633">
        <f>CCBASE!$I$8</f>
        <v/>
      </c>
      <c r="T144" s="632" t="n"/>
      <c r="U144" s="633" t="n"/>
      <c r="V144" s="633" t="n"/>
      <c r="W144" s="633">
        <f>CCBASE!$I$40*B144/1000</f>
        <v/>
      </c>
      <c r="X144" s="633" t="n"/>
      <c r="Y144" s="633" t="n"/>
      <c r="Z144" s="633" t="n"/>
      <c r="AA144" s="633" t="n"/>
      <c r="AB144" s="633" t="n"/>
      <c r="AC144" s="633" t="n"/>
      <c r="AD144" s="633">
        <f>CCBASE!$I$32*2</f>
        <v/>
      </c>
      <c r="AI144" s="635" t="n"/>
      <c r="AJ144" s="635" t="n"/>
      <c r="AN144" s="636" t="n"/>
      <c r="AO144" s="636" t="n"/>
      <c r="AP144" s="636" t="n"/>
      <c r="AQ144" s="636" t="n"/>
      <c r="AR144" s="636" t="n"/>
      <c r="AS144" s="636" t="n"/>
    </row>
    <row r="145">
      <c r="A145" s="631" t="inlineStr">
        <is>
          <t>KVX</t>
        </is>
      </c>
      <c r="B145" s="631" t="n">
        <v>3000</v>
      </c>
      <c r="C145" s="631" t="n">
        <v>1000</v>
      </c>
      <c r="D145" s="631">
        <f>$A145&amp;B145&amp;C145</f>
        <v/>
      </c>
      <c r="E145" s="1040">
        <f>SUM(G145:AD145)</f>
        <v/>
      </c>
      <c r="F145" s="632" t="n">
        <v>14</v>
      </c>
      <c r="G145" s="633">
        <f>F145*CCBASE!$B$51</f>
        <v/>
      </c>
      <c r="H145" s="633">
        <f>CCBASE!$I$12*B145/1000</f>
        <v/>
      </c>
      <c r="I145" s="633" t="n"/>
      <c r="J145" s="633" t="n"/>
      <c r="K145" s="633" t="n"/>
      <c r="L145" s="632" t="n"/>
      <c r="M145" s="633">
        <f>CCBASE!$I$15*B145/1000</f>
        <v/>
      </c>
      <c r="N145" s="633" t="n"/>
      <c r="O145" s="633" t="n"/>
      <c r="P145" s="633" t="n"/>
      <c r="Q145" s="633">
        <f>CCBASE!$I$51</f>
        <v/>
      </c>
      <c r="R145" s="633">
        <f>CCBASE!$I$4</f>
        <v/>
      </c>
      <c r="S145" s="633">
        <f>CCBASE!$I$8</f>
        <v/>
      </c>
      <c r="T145" s="632" t="n"/>
      <c r="U145" s="633" t="n"/>
      <c r="V145" s="633" t="n"/>
      <c r="W145" s="633">
        <f>CCBASE!$I$40*B145/1000</f>
        <v/>
      </c>
      <c r="X145" s="633" t="n"/>
      <c r="Y145" s="633" t="n"/>
      <c r="Z145" s="633" t="n"/>
      <c r="AA145" s="633" t="n"/>
      <c r="AB145" s="633" t="n"/>
      <c r="AC145" s="633" t="n"/>
      <c r="AD145" s="633">
        <f>CCBASE!$I$32*2</f>
        <v/>
      </c>
      <c r="AI145" s="635" t="n"/>
      <c r="AJ145" s="635" t="n"/>
      <c r="AN145" s="636" t="n"/>
      <c r="AO145" s="636" t="n"/>
      <c r="AP145" s="636" t="n"/>
      <c r="AQ145" s="636" t="n"/>
      <c r="AR145" s="636" t="n"/>
      <c r="AS145" s="636" t="n"/>
    </row>
    <row r="146">
      <c r="A146" s="631" t="inlineStr">
        <is>
          <t>KVX</t>
        </is>
      </c>
      <c r="B146" s="631" t="n">
        <v>1000</v>
      </c>
      <c r="C146" s="631" t="n">
        <v>1250</v>
      </c>
      <c r="D146" s="631">
        <f>$A146&amp;B146&amp;C146</f>
        <v/>
      </c>
      <c r="E146" s="1040">
        <f>SUM(G146:AD146)</f>
        <v/>
      </c>
      <c r="F146" s="632" t="n">
        <v>13</v>
      </c>
      <c r="G146" s="633">
        <f>F146*CCBASE!$B$51</f>
        <v/>
      </c>
      <c r="H146" s="633">
        <f>CCBASE!$I$12*B146/1000</f>
        <v/>
      </c>
      <c r="I146" s="633" t="n"/>
      <c r="J146" s="633" t="n"/>
      <c r="K146" s="633" t="n"/>
      <c r="L146" s="632" t="n"/>
      <c r="M146" s="633">
        <f>CCBASE!$I$15*B146/1000</f>
        <v/>
      </c>
      <c r="N146" s="633" t="n"/>
      <c r="O146" s="633" t="n"/>
      <c r="P146" s="633" t="n"/>
      <c r="Q146" s="633">
        <f>CCBASE!$I$51</f>
        <v/>
      </c>
      <c r="R146" s="633">
        <f>CCBASE!$I$4</f>
        <v/>
      </c>
      <c r="S146" s="633">
        <f>CCBASE!$I$8</f>
        <v/>
      </c>
      <c r="T146" s="632" t="n"/>
      <c r="U146" s="633" t="n"/>
      <c r="V146" s="633" t="n"/>
      <c r="W146" s="633">
        <f>CCBASE!$I$40*B146/1000</f>
        <v/>
      </c>
      <c r="X146" s="633" t="n"/>
      <c r="Y146" s="633" t="n"/>
      <c r="Z146" s="633" t="n"/>
      <c r="AA146" s="633" t="n"/>
      <c r="AB146" s="633" t="n"/>
      <c r="AC146" s="633" t="n"/>
      <c r="AD146" s="633">
        <f>CCBASE!$I$32*2</f>
        <v/>
      </c>
      <c r="AI146" s="635" t="n"/>
      <c r="AJ146" s="635" t="n"/>
      <c r="AK146" s="636" t="n"/>
      <c r="AL146" s="636" t="n"/>
      <c r="AM146" s="636" t="n"/>
      <c r="AN146" s="636" t="n"/>
      <c r="AO146" s="636" t="n"/>
      <c r="AP146" s="636" t="n"/>
      <c r="AQ146" s="636" t="n"/>
      <c r="AR146" s="636" t="n"/>
      <c r="AS146" s="636" t="n"/>
    </row>
    <row r="147">
      <c r="A147" s="631" t="inlineStr">
        <is>
          <t>KVX</t>
        </is>
      </c>
      <c r="B147" s="631" t="n">
        <v>1250</v>
      </c>
      <c r="C147" s="631" t="n">
        <v>1250</v>
      </c>
      <c r="D147" s="631">
        <f>$A147&amp;B147&amp;C147</f>
        <v/>
      </c>
      <c r="E147" s="1040">
        <f>SUM(G147:AD147)</f>
        <v/>
      </c>
      <c r="F147" s="632" t="n">
        <v>13</v>
      </c>
      <c r="G147" s="633">
        <f>F147*CCBASE!$B$51</f>
        <v/>
      </c>
      <c r="H147" s="633">
        <f>CCBASE!$I$12*B147/1000</f>
        <v/>
      </c>
      <c r="I147" s="633" t="n"/>
      <c r="J147" s="633" t="n"/>
      <c r="K147" s="633" t="n"/>
      <c r="L147" s="632" t="n"/>
      <c r="M147" s="633">
        <f>CCBASE!$I$15*B147/1000</f>
        <v/>
      </c>
      <c r="N147" s="633" t="n"/>
      <c r="O147" s="633" t="n"/>
      <c r="P147" s="633" t="n"/>
      <c r="Q147" s="633">
        <f>CCBASE!$I$51</f>
        <v/>
      </c>
      <c r="R147" s="633">
        <f>CCBASE!$I$4</f>
        <v/>
      </c>
      <c r="S147" s="633">
        <f>CCBASE!$I$8</f>
        <v/>
      </c>
      <c r="T147" s="632" t="n"/>
      <c r="U147" s="633" t="n"/>
      <c r="V147" s="633" t="n"/>
      <c r="W147" s="633">
        <f>CCBASE!$I$40*B147/1000</f>
        <v/>
      </c>
      <c r="X147" s="633" t="n"/>
      <c r="Y147" s="633" t="n"/>
      <c r="Z147" s="633" t="n"/>
      <c r="AA147" s="633" t="n"/>
      <c r="AB147" s="633" t="n"/>
      <c r="AC147" s="633" t="n"/>
      <c r="AD147" s="633">
        <f>CCBASE!$I$32*2</f>
        <v/>
      </c>
      <c r="AI147" s="635" t="n"/>
      <c r="AJ147" s="635" t="n"/>
      <c r="AK147" s="636" t="n"/>
      <c r="AL147" s="636" t="n"/>
      <c r="AM147" s="636" t="n"/>
      <c r="AN147" s="636" t="n"/>
      <c r="AO147" s="636" t="n"/>
      <c r="AP147" s="636" t="n"/>
      <c r="AQ147" s="636" t="n"/>
      <c r="AR147" s="636" t="n"/>
      <c r="AS147" s="636" t="n"/>
    </row>
    <row r="148">
      <c r="A148" s="631" t="inlineStr">
        <is>
          <t>KVX</t>
        </is>
      </c>
      <c r="B148" s="631" t="n">
        <v>1500</v>
      </c>
      <c r="C148" s="631" t="n">
        <v>1250</v>
      </c>
      <c r="D148" s="631">
        <f>$A148&amp;B148&amp;C148</f>
        <v/>
      </c>
      <c r="E148" s="1040">
        <f>SUM(G148:AD148)</f>
        <v/>
      </c>
      <c r="F148" s="632" t="n">
        <v>13</v>
      </c>
      <c r="G148" s="633">
        <f>F148*CCBASE!$B$51</f>
        <v/>
      </c>
      <c r="H148" s="633">
        <f>CCBASE!$I$12*B148/1000</f>
        <v/>
      </c>
      <c r="I148" s="633" t="n"/>
      <c r="J148" s="633" t="n"/>
      <c r="K148" s="633" t="n"/>
      <c r="L148" s="632" t="n"/>
      <c r="M148" s="633">
        <f>CCBASE!$I$15*B148/1000</f>
        <v/>
      </c>
      <c r="N148" s="633" t="n"/>
      <c r="O148" s="633" t="n"/>
      <c r="P148" s="633" t="n"/>
      <c r="Q148" s="633">
        <f>CCBASE!$I$51</f>
        <v/>
      </c>
      <c r="R148" s="633">
        <f>CCBASE!$I$4</f>
        <v/>
      </c>
      <c r="S148" s="633">
        <f>CCBASE!$I$8</f>
        <v/>
      </c>
      <c r="T148" s="632" t="n"/>
      <c r="U148" s="633" t="n"/>
      <c r="V148" s="633" t="n"/>
      <c r="W148" s="633">
        <f>CCBASE!$I$40*B148/1000</f>
        <v/>
      </c>
      <c r="X148" s="633" t="n"/>
      <c r="Y148" s="633" t="n"/>
      <c r="Z148" s="633" t="n"/>
      <c r="AA148" s="633" t="n"/>
      <c r="AB148" s="633" t="n"/>
      <c r="AC148" s="633" t="n"/>
      <c r="AD148" s="633">
        <f>CCBASE!$I$32*2</f>
        <v/>
      </c>
      <c r="AI148" s="635" t="n"/>
      <c r="AJ148" s="635" t="n"/>
      <c r="AK148" s="636" t="n"/>
      <c r="AL148" s="636" t="n"/>
      <c r="AM148" s="636" t="n"/>
      <c r="AN148" s="636" t="n"/>
      <c r="AO148" s="636" t="n"/>
      <c r="AP148" s="636" t="n"/>
      <c r="AQ148" s="636" t="n"/>
      <c r="AR148" s="636" t="n"/>
      <c r="AS148" s="636" t="n"/>
    </row>
    <row r="149">
      <c r="A149" s="631" t="inlineStr">
        <is>
          <t>KVX</t>
        </is>
      </c>
      <c r="B149" s="631" t="n">
        <v>1750</v>
      </c>
      <c r="C149" s="631" t="n">
        <v>1250</v>
      </c>
      <c r="D149" s="631">
        <f>$A149&amp;B149&amp;C149</f>
        <v/>
      </c>
      <c r="E149" s="1040">
        <f>SUM(G149:AD149)</f>
        <v/>
      </c>
      <c r="F149" s="632" t="n">
        <v>13</v>
      </c>
      <c r="G149" s="633">
        <f>F149*CCBASE!$B$51</f>
        <v/>
      </c>
      <c r="H149" s="633">
        <f>CCBASE!$I$12*B149/1000</f>
        <v/>
      </c>
      <c r="I149" s="633" t="n"/>
      <c r="J149" s="633" t="n"/>
      <c r="K149" s="633" t="n"/>
      <c r="L149" s="632" t="n"/>
      <c r="M149" s="633">
        <f>CCBASE!$I$15*B149/1000</f>
        <v/>
      </c>
      <c r="N149" s="633" t="n"/>
      <c r="O149" s="633" t="n"/>
      <c r="P149" s="633" t="n"/>
      <c r="Q149" s="633">
        <f>CCBASE!$I$51</f>
        <v/>
      </c>
      <c r="R149" s="633">
        <f>CCBASE!$I$4</f>
        <v/>
      </c>
      <c r="S149" s="633">
        <f>CCBASE!$I$8</f>
        <v/>
      </c>
      <c r="T149" s="632" t="n"/>
      <c r="U149" s="633" t="n"/>
      <c r="V149" s="633" t="n"/>
      <c r="W149" s="633">
        <f>CCBASE!$I$40*B149/1000</f>
        <v/>
      </c>
      <c r="X149" s="633" t="n"/>
      <c r="Y149" s="633" t="n"/>
      <c r="Z149" s="633" t="n"/>
      <c r="AA149" s="633" t="n"/>
      <c r="AB149" s="633" t="n"/>
      <c r="AC149" s="633" t="n"/>
      <c r="AD149" s="633">
        <f>CCBASE!$I$32*2</f>
        <v/>
      </c>
      <c r="AI149" s="635" t="n"/>
      <c r="AJ149" s="635" t="n"/>
      <c r="AN149" s="636" t="n"/>
      <c r="AO149" s="636" t="n"/>
      <c r="AP149" s="636" t="n"/>
      <c r="AQ149" s="636" t="n"/>
      <c r="AR149" s="636" t="n"/>
      <c r="AS149" s="636" t="n"/>
    </row>
    <row r="150">
      <c r="A150" s="631" t="inlineStr">
        <is>
          <t>KVX</t>
        </is>
      </c>
      <c r="B150" s="631" t="n">
        <v>2000</v>
      </c>
      <c r="C150" s="631" t="n">
        <v>1250</v>
      </c>
      <c r="D150" s="631">
        <f>$A150&amp;B150&amp;C150</f>
        <v/>
      </c>
      <c r="E150" s="1040">
        <f>SUM(G150:AD150)</f>
        <v/>
      </c>
      <c r="F150" s="632" t="n">
        <v>13</v>
      </c>
      <c r="G150" s="633">
        <f>F150*CCBASE!$B$51</f>
        <v/>
      </c>
      <c r="H150" s="633">
        <f>CCBASE!$I$12*B150/1000</f>
        <v/>
      </c>
      <c r="I150" s="633" t="n"/>
      <c r="J150" s="633" t="n"/>
      <c r="K150" s="633" t="n"/>
      <c r="L150" s="632" t="n"/>
      <c r="M150" s="633">
        <f>CCBASE!$I$15*B150/1000</f>
        <v/>
      </c>
      <c r="N150" s="633" t="n"/>
      <c r="O150" s="633" t="n"/>
      <c r="P150" s="633" t="n"/>
      <c r="Q150" s="633">
        <f>CCBASE!$I$51</f>
        <v/>
      </c>
      <c r="R150" s="633">
        <f>CCBASE!$I$4</f>
        <v/>
      </c>
      <c r="S150" s="633">
        <f>CCBASE!$I$8</f>
        <v/>
      </c>
      <c r="T150" s="632" t="n"/>
      <c r="U150" s="633" t="n"/>
      <c r="V150" s="633" t="n"/>
      <c r="W150" s="633">
        <f>CCBASE!$I$40*B150/1000</f>
        <v/>
      </c>
      <c r="X150" s="633" t="n"/>
      <c r="Y150" s="633" t="n"/>
      <c r="Z150" s="633" t="n"/>
      <c r="AA150" s="633" t="n"/>
      <c r="AB150" s="633" t="n"/>
      <c r="AC150" s="633" t="n"/>
      <c r="AD150" s="633">
        <f>CCBASE!$I$32*2</f>
        <v/>
      </c>
      <c r="AI150" s="635" t="n"/>
      <c r="AJ150" s="635" t="n"/>
      <c r="AN150" s="636" t="n"/>
      <c r="AO150" s="636" t="n"/>
      <c r="AP150" s="636" t="n"/>
      <c r="AQ150" s="636" t="n"/>
      <c r="AR150" s="636" t="n"/>
      <c r="AS150" s="636" t="n"/>
    </row>
    <row r="151">
      <c r="A151" s="631" t="inlineStr">
        <is>
          <t>KVX</t>
        </is>
      </c>
      <c r="B151" s="631" t="n">
        <v>2250</v>
      </c>
      <c r="C151" s="631" t="n">
        <v>1250</v>
      </c>
      <c r="D151" s="631">
        <f>$A151&amp;B151&amp;C151</f>
        <v/>
      </c>
      <c r="E151" s="1040">
        <f>SUM(G151:AD151)</f>
        <v/>
      </c>
      <c r="F151" s="632" t="n">
        <v>14</v>
      </c>
      <c r="G151" s="633">
        <f>F151*CCBASE!$B$51</f>
        <v/>
      </c>
      <c r="H151" s="633">
        <f>CCBASE!$I$12*B151/1000</f>
        <v/>
      </c>
      <c r="I151" s="633" t="n"/>
      <c r="J151" s="633" t="n"/>
      <c r="K151" s="633" t="n"/>
      <c r="L151" s="632" t="n"/>
      <c r="M151" s="633">
        <f>CCBASE!$I$15*B151/1000</f>
        <v/>
      </c>
      <c r="N151" s="633" t="n"/>
      <c r="O151" s="633" t="n"/>
      <c r="P151" s="633" t="n"/>
      <c r="Q151" s="633">
        <f>CCBASE!$I$51</f>
        <v/>
      </c>
      <c r="R151" s="633">
        <f>CCBASE!$I$4</f>
        <v/>
      </c>
      <c r="S151" s="633">
        <f>CCBASE!$I$8</f>
        <v/>
      </c>
      <c r="T151" s="632" t="n"/>
      <c r="U151" s="633" t="n"/>
      <c r="V151" s="633" t="n"/>
      <c r="W151" s="633">
        <f>CCBASE!$I$40*B151/1000</f>
        <v/>
      </c>
      <c r="X151" s="633" t="n"/>
      <c r="Y151" s="633" t="n"/>
      <c r="Z151" s="633" t="n"/>
      <c r="AA151" s="633" t="n"/>
      <c r="AB151" s="633" t="n"/>
      <c r="AC151" s="633" t="n"/>
      <c r="AD151" s="633">
        <f>CCBASE!$I$32*2</f>
        <v/>
      </c>
      <c r="AI151" s="635" t="n"/>
      <c r="AJ151" s="635" t="n"/>
      <c r="AN151" s="636" t="n"/>
      <c r="AO151" s="636" t="n"/>
      <c r="AP151" s="636" t="n"/>
      <c r="AQ151" s="636" t="n"/>
      <c r="AR151" s="636" t="n"/>
      <c r="AS151" s="636" t="n"/>
    </row>
    <row r="152">
      <c r="A152" s="631" t="inlineStr">
        <is>
          <t>KVX</t>
        </is>
      </c>
      <c r="B152" s="631" t="n">
        <v>2500</v>
      </c>
      <c r="C152" s="631" t="n">
        <v>1250</v>
      </c>
      <c r="D152" s="631">
        <f>$A152&amp;B152&amp;C152</f>
        <v/>
      </c>
      <c r="E152" s="1040">
        <f>SUM(G152:AD152)</f>
        <v/>
      </c>
      <c r="F152" s="632" t="n">
        <v>14</v>
      </c>
      <c r="G152" s="633">
        <f>F152*CCBASE!$B$51</f>
        <v/>
      </c>
      <c r="H152" s="633">
        <f>CCBASE!$I$12*B152/1000</f>
        <v/>
      </c>
      <c r="I152" s="633" t="n"/>
      <c r="J152" s="633" t="n"/>
      <c r="K152" s="633" t="n"/>
      <c r="L152" s="632" t="n"/>
      <c r="M152" s="633">
        <f>CCBASE!$I$15*B152/1000</f>
        <v/>
      </c>
      <c r="N152" s="633" t="n"/>
      <c r="O152" s="633" t="n"/>
      <c r="P152" s="633" t="n"/>
      <c r="Q152" s="633">
        <f>CCBASE!$I$51</f>
        <v/>
      </c>
      <c r="R152" s="633">
        <f>CCBASE!$I$4</f>
        <v/>
      </c>
      <c r="S152" s="633">
        <f>CCBASE!$I$8</f>
        <v/>
      </c>
      <c r="T152" s="632" t="n"/>
      <c r="U152" s="633" t="n"/>
      <c r="V152" s="633" t="n"/>
      <c r="W152" s="633">
        <f>CCBASE!$I$40*B152/1000</f>
        <v/>
      </c>
      <c r="X152" s="633" t="n"/>
      <c r="Y152" s="633" t="n"/>
      <c r="Z152" s="633" t="n"/>
      <c r="AA152" s="633" t="n"/>
      <c r="AB152" s="633" t="n"/>
      <c r="AC152" s="633" t="n"/>
      <c r="AD152" s="633">
        <f>CCBASE!$I$32*2</f>
        <v/>
      </c>
      <c r="AI152" s="635" t="n"/>
      <c r="AJ152" s="635" t="n"/>
      <c r="AN152" s="636" t="n"/>
      <c r="AO152" s="636" t="n"/>
      <c r="AP152" s="636" t="n"/>
      <c r="AQ152" s="636" t="n"/>
      <c r="AR152" s="636" t="n"/>
      <c r="AS152" s="636" t="n"/>
    </row>
    <row r="153">
      <c r="A153" s="631" t="inlineStr">
        <is>
          <t>KVX</t>
        </is>
      </c>
      <c r="B153" s="631" t="n">
        <v>2750</v>
      </c>
      <c r="C153" s="631" t="n">
        <v>1250</v>
      </c>
      <c r="D153" s="631">
        <f>$A153&amp;B153&amp;C153</f>
        <v/>
      </c>
      <c r="E153" s="1040">
        <f>SUM(G153:AD153)</f>
        <v/>
      </c>
      <c r="F153" s="632" t="n">
        <v>14</v>
      </c>
      <c r="G153" s="633">
        <f>F153*CCBASE!$B$51</f>
        <v/>
      </c>
      <c r="H153" s="633">
        <f>CCBASE!$I$12*B153/1000</f>
        <v/>
      </c>
      <c r="I153" s="633" t="n"/>
      <c r="J153" s="633" t="n"/>
      <c r="K153" s="633" t="n"/>
      <c r="L153" s="632" t="n"/>
      <c r="M153" s="633">
        <f>CCBASE!$I$15*B153/1000</f>
        <v/>
      </c>
      <c r="N153" s="633" t="n"/>
      <c r="O153" s="633" t="n"/>
      <c r="P153" s="633" t="n"/>
      <c r="Q153" s="633">
        <f>CCBASE!$I$51</f>
        <v/>
      </c>
      <c r="R153" s="633">
        <f>CCBASE!$I$4</f>
        <v/>
      </c>
      <c r="S153" s="633">
        <f>CCBASE!$I$8</f>
        <v/>
      </c>
      <c r="T153" s="632" t="n"/>
      <c r="U153" s="633" t="n"/>
      <c r="V153" s="633" t="n"/>
      <c r="W153" s="633">
        <f>CCBASE!$I$40*B153/1000</f>
        <v/>
      </c>
      <c r="X153" s="633" t="n"/>
      <c r="Y153" s="633" t="n"/>
      <c r="Z153" s="633" t="n"/>
      <c r="AA153" s="633" t="n"/>
      <c r="AB153" s="633" t="n"/>
      <c r="AC153" s="633" t="n"/>
      <c r="AD153" s="633">
        <f>CCBASE!$I$32*2</f>
        <v/>
      </c>
      <c r="AI153" s="635" t="n"/>
      <c r="AJ153" s="635" t="n"/>
      <c r="AN153" s="636" t="n"/>
      <c r="AO153" s="636" t="n"/>
      <c r="AP153" s="636" t="n"/>
      <c r="AQ153" s="636" t="n"/>
      <c r="AR153" s="636" t="n"/>
      <c r="AS153" s="636" t="n"/>
    </row>
    <row r="154">
      <c r="A154" s="631" t="inlineStr">
        <is>
          <t>KVX</t>
        </is>
      </c>
      <c r="B154" s="631" t="n">
        <v>3000</v>
      </c>
      <c r="C154" s="631" t="n">
        <v>1250</v>
      </c>
      <c r="D154" s="631">
        <f>$A154&amp;B154&amp;C154</f>
        <v/>
      </c>
      <c r="E154" s="1040">
        <f>SUM(G154:AD154)</f>
        <v/>
      </c>
      <c r="F154" s="632" t="n">
        <v>14</v>
      </c>
      <c r="G154" s="633">
        <f>F154*CCBASE!$B$51</f>
        <v/>
      </c>
      <c r="H154" s="633">
        <f>CCBASE!$I$12*B154/1000</f>
        <v/>
      </c>
      <c r="I154" s="633" t="n"/>
      <c r="J154" s="633" t="n"/>
      <c r="K154" s="633" t="n"/>
      <c r="L154" s="632" t="n"/>
      <c r="M154" s="633">
        <f>CCBASE!$I$15*B154/1000</f>
        <v/>
      </c>
      <c r="N154" s="633" t="n"/>
      <c r="O154" s="633" t="n"/>
      <c r="P154" s="633" t="n"/>
      <c r="Q154" s="633">
        <f>CCBASE!$I$51</f>
        <v/>
      </c>
      <c r="R154" s="633">
        <f>CCBASE!$I$4</f>
        <v/>
      </c>
      <c r="S154" s="633">
        <f>CCBASE!$I$8</f>
        <v/>
      </c>
      <c r="T154" s="632" t="n"/>
      <c r="U154" s="633" t="n"/>
      <c r="V154" s="633" t="n"/>
      <c r="W154" s="633">
        <f>CCBASE!$I$40*B154/1000</f>
        <v/>
      </c>
      <c r="X154" s="633" t="n"/>
      <c r="Y154" s="633" t="n"/>
      <c r="Z154" s="633" t="n"/>
      <c r="AA154" s="633" t="n"/>
      <c r="AB154" s="633" t="n"/>
      <c r="AC154" s="633" t="n"/>
      <c r="AD154" s="633">
        <f>CCBASE!$I$32*2</f>
        <v/>
      </c>
      <c r="AI154" s="635" t="n"/>
      <c r="AJ154" s="635" t="n"/>
      <c r="AN154" s="636" t="n"/>
      <c r="AO154" s="636" t="n"/>
      <c r="AP154" s="636" t="n"/>
      <c r="AQ154" s="636" t="n"/>
      <c r="AR154" s="636" t="n"/>
      <c r="AS154" s="636" t="n"/>
    </row>
    <row r="155">
      <c r="A155" s="631" t="inlineStr">
        <is>
          <t>KVX</t>
        </is>
      </c>
      <c r="B155" s="631" t="n">
        <v>1000</v>
      </c>
      <c r="C155" s="631" t="n">
        <v>1500</v>
      </c>
      <c r="D155" s="631">
        <f>$A155&amp;B155&amp;C155</f>
        <v/>
      </c>
      <c r="E155" s="1040">
        <f>SUM(G155:AD155)</f>
        <v/>
      </c>
      <c r="F155" s="632" t="n">
        <v>13</v>
      </c>
      <c r="G155" s="633">
        <f>F155*CCBASE!$B$51</f>
        <v/>
      </c>
      <c r="H155" s="633">
        <f>CCBASE!$I$12*B155/1000</f>
        <v/>
      </c>
      <c r="I155" s="633" t="n"/>
      <c r="J155" s="633" t="n"/>
      <c r="K155" s="633" t="n"/>
      <c r="L155" s="632" t="n"/>
      <c r="M155" s="633">
        <f>CCBASE!$I$15*B155/1000</f>
        <v/>
      </c>
      <c r="N155" s="633" t="n"/>
      <c r="O155" s="633" t="n"/>
      <c r="P155" s="633" t="n"/>
      <c r="Q155" s="633">
        <f>CCBASE!$I$51</f>
        <v/>
      </c>
      <c r="R155" s="633">
        <f>CCBASE!$I$4</f>
        <v/>
      </c>
      <c r="S155" s="633">
        <f>CCBASE!$I$8</f>
        <v/>
      </c>
      <c r="T155" s="632" t="n"/>
      <c r="U155" s="633" t="n"/>
      <c r="V155" s="633" t="n"/>
      <c r="W155" s="633">
        <f>CCBASE!$I$41*B155/1000</f>
        <v/>
      </c>
      <c r="X155" s="633" t="n"/>
      <c r="Y155" s="633" t="n"/>
      <c r="Z155" s="633" t="n"/>
      <c r="AA155" s="633" t="n"/>
      <c r="AB155" s="633" t="n"/>
      <c r="AC155" s="633" t="n"/>
      <c r="AD155" s="633">
        <f>CCBASE!$I$33*2</f>
        <v/>
      </c>
      <c r="AI155" s="635" t="n"/>
      <c r="AJ155" s="635" t="n"/>
      <c r="AN155" s="636" t="n"/>
      <c r="AO155" s="636" t="n"/>
      <c r="AP155" s="636" t="n"/>
      <c r="AQ155" s="636" t="n"/>
      <c r="AR155" s="636" t="n"/>
      <c r="AS155" s="636" t="n"/>
    </row>
    <row r="156">
      <c r="A156" s="631" t="inlineStr">
        <is>
          <t>KVX</t>
        </is>
      </c>
      <c r="B156" s="631" t="n">
        <v>1250</v>
      </c>
      <c r="C156" s="631" t="n">
        <v>1500</v>
      </c>
      <c r="D156" s="631">
        <f>$A156&amp;B156&amp;C156</f>
        <v/>
      </c>
      <c r="E156" s="1040">
        <f>SUM(G156:AD156)</f>
        <v/>
      </c>
      <c r="F156" s="632" t="n">
        <v>13</v>
      </c>
      <c r="G156" s="633">
        <f>F156*CCBASE!$B$51</f>
        <v/>
      </c>
      <c r="H156" s="633">
        <f>CCBASE!$I$12*B156/1000</f>
        <v/>
      </c>
      <c r="I156" s="633" t="n"/>
      <c r="J156" s="633" t="n"/>
      <c r="K156" s="633" t="n"/>
      <c r="L156" s="632" t="n"/>
      <c r="M156" s="633">
        <f>CCBASE!$I$15*B156/1000</f>
        <v/>
      </c>
      <c r="N156" s="633" t="n"/>
      <c r="O156" s="633" t="n"/>
      <c r="P156" s="633" t="n"/>
      <c r="Q156" s="633">
        <f>CCBASE!$I$51</f>
        <v/>
      </c>
      <c r="R156" s="633">
        <f>CCBASE!$I$4</f>
        <v/>
      </c>
      <c r="S156" s="633">
        <f>CCBASE!$I$8</f>
        <v/>
      </c>
      <c r="T156" s="632" t="n"/>
      <c r="U156" s="633" t="n"/>
      <c r="V156" s="633" t="n"/>
      <c r="W156" s="633">
        <f>CCBASE!$I$41*B156/1000</f>
        <v/>
      </c>
      <c r="X156" s="633" t="n"/>
      <c r="Y156" s="633" t="n"/>
      <c r="Z156" s="633" t="n"/>
      <c r="AA156" s="633" t="n"/>
      <c r="AB156" s="633" t="n"/>
      <c r="AC156" s="633" t="n"/>
      <c r="AD156" s="633">
        <f>CCBASE!$I$33*2</f>
        <v/>
      </c>
      <c r="AI156" s="635" t="n"/>
      <c r="AJ156" s="635" t="n"/>
      <c r="AK156" s="636" t="n"/>
      <c r="AL156" s="636" t="n"/>
      <c r="AM156" s="636" t="n"/>
      <c r="AN156" s="636" t="n"/>
      <c r="AO156" s="636" t="n"/>
      <c r="AP156" s="636" t="n"/>
      <c r="AQ156" s="636" t="n"/>
      <c r="AR156" s="636" t="n"/>
      <c r="AS156" s="636" t="n"/>
    </row>
    <row r="157">
      <c r="A157" s="631" t="inlineStr">
        <is>
          <t>KVX</t>
        </is>
      </c>
      <c r="B157" s="631" t="n">
        <v>1500</v>
      </c>
      <c r="C157" s="631" t="n">
        <v>1500</v>
      </c>
      <c r="D157" s="631">
        <f>$A157&amp;B157&amp;C157</f>
        <v/>
      </c>
      <c r="E157" s="1040">
        <f>SUM(G157:AD157)</f>
        <v/>
      </c>
      <c r="F157" s="632" t="n">
        <v>13</v>
      </c>
      <c r="G157" s="633">
        <f>F157*CCBASE!$B$51</f>
        <v/>
      </c>
      <c r="H157" s="633">
        <f>CCBASE!$I$12*B157/1000</f>
        <v/>
      </c>
      <c r="I157" s="633" t="n"/>
      <c r="J157" s="633" t="n"/>
      <c r="K157" s="633" t="n"/>
      <c r="L157" s="632" t="n"/>
      <c r="M157" s="633">
        <f>CCBASE!$I$15*B157/1000</f>
        <v/>
      </c>
      <c r="N157" s="633" t="n"/>
      <c r="O157" s="633" t="n"/>
      <c r="P157" s="633" t="n"/>
      <c r="Q157" s="633">
        <f>CCBASE!$I$51</f>
        <v/>
      </c>
      <c r="R157" s="633">
        <f>CCBASE!$I$4</f>
        <v/>
      </c>
      <c r="S157" s="633">
        <f>CCBASE!$I$8</f>
        <v/>
      </c>
      <c r="T157" s="632" t="n"/>
      <c r="U157" s="633" t="n"/>
      <c r="V157" s="633" t="n"/>
      <c r="W157" s="633">
        <f>CCBASE!$I$41*B157/1000</f>
        <v/>
      </c>
      <c r="X157" s="633" t="n"/>
      <c r="Y157" s="633" t="n"/>
      <c r="Z157" s="633" t="n"/>
      <c r="AA157" s="633" t="n"/>
      <c r="AB157" s="633" t="n"/>
      <c r="AC157" s="633" t="n"/>
      <c r="AD157" s="633">
        <f>CCBASE!$I$33*2</f>
        <v/>
      </c>
      <c r="AI157" s="635" t="n"/>
      <c r="AJ157" s="635" t="n"/>
      <c r="AK157" s="636" t="n"/>
      <c r="AL157" s="636" t="n"/>
      <c r="AM157" s="636" t="n"/>
      <c r="AN157" s="636" t="n"/>
      <c r="AO157" s="636" t="n"/>
      <c r="AP157" s="636" t="n"/>
      <c r="AQ157" s="636" t="n"/>
      <c r="AR157" s="636" t="n"/>
      <c r="AS157" s="636" t="n"/>
    </row>
    <row r="158">
      <c r="A158" s="631" t="inlineStr">
        <is>
          <t>KVX</t>
        </is>
      </c>
      <c r="B158" s="631" t="n">
        <v>1750</v>
      </c>
      <c r="C158" s="631" t="n">
        <v>1500</v>
      </c>
      <c r="D158" s="631">
        <f>$A158&amp;B158&amp;C158</f>
        <v/>
      </c>
      <c r="E158" s="1040">
        <f>SUM(G158:AD158)</f>
        <v/>
      </c>
      <c r="F158" s="632" t="n">
        <v>13</v>
      </c>
      <c r="G158" s="633">
        <f>F158*CCBASE!$B$51</f>
        <v/>
      </c>
      <c r="H158" s="633">
        <f>CCBASE!$I$12*B158/1000</f>
        <v/>
      </c>
      <c r="I158" s="633" t="n"/>
      <c r="J158" s="633" t="n"/>
      <c r="K158" s="633" t="n"/>
      <c r="L158" s="632" t="n"/>
      <c r="M158" s="633">
        <f>CCBASE!$I$15*B158/1000</f>
        <v/>
      </c>
      <c r="N158" s="633" t="n"/>
      <c r="O158" s="633" t="n"/>
      <c r="P158" s="633" t="n"/>
      <c r="Q158" s="633">
        <f>CCBASE!$I$51</f>
        <v/>
      </c>
      <c r="R158" s="633">
        <f>CCBASE!$I$4</f>
        <v/>
      </c>
      <c r="S158" s="633">
        <f>CCBASE!$I$8</f>
        <v/>
      </c>
      <c r="T158" s="632" t="n"/>
      <c r="U158" s="633" t="n"/>
      <c r="V158" s="633" t="n"/>
      <c r="W158" s="633">
        <f>CCBASE!$I$41*B158/1000</f>
        <v/>
      </c>
      <c r="X158" s="633" t="n"/>
      <c r="Y158" s="633" t="n"/>
      <c r="Z158" s="633" t="n"/>
      <c r="AA158" s="633" t="n"/>
      <c r="AB158" s="633" t="n"/>
      <c r="AC158" s="633" t="n"/>
      <c r="AD158" s="633">
        <f>CCBASE!$I$33*2</f>
        <v/>
      </c>
      <c r="AI158" s="635" t="n"/>
      <c r="AJ158" s="635" t="n"/>
      <c r="AK158" s="636" t="n"/>
      <c r="AL158" s="636" t="n"/>
      <c r="AM158" s="636" t="n"/>
      <c r="AN158" s="636" t="n"/>
      <c r="AO158" s="636" t="n"/>
      <c r="AP158" s="636" t="n"/>
      <c r="AQ158" s="636" t="n"/>
      <c r="AR158" s="636" t="n"/>
      <c r="AS158" s="636" t="n"/>
    </row>
    <row r="159">
      <c r="A159" s="631" t="inlineStr">
        <is>
          <t>KVX</t>
        </is>
      </c>
      <c r="B159" s="631" t="n">
        <v>2000</v>
      </c>
      <c r="C159" s="631" t="n">
        <v>1500</v>
      </c>
      <c r="D159" s="631">
        <f>$A159&amp;B159&amp;C159</f>
        <v/>
      </c>
      <c r="E159" s="1040">
        <f>SUM(G159:AD159)</f>
        <v/>
      </c>
      <c r="F159" s="632" t="n">
        <v>13</v>
      </c>
      <c r="G159" s="633">
        <f>F159*CCBASE!$B$51</f>
        <v/>
      </c>
      <c r="H159" s="633">
        <f>CCBASE!$I$12*B159/1000</f>
        <v/>
      </c>
      <c r="I159" s="633" t="n"/>
      <c r="J159" s="633" t="n"/>
      <c r="K159" s="633" t="n"/>
      <c r="L159" s="632" t="n"/>
      <c r="M159" s="633">
        <f>CCBASE!$I$15*B159/1000</f>
        <v/>
      </c>
      <c r="N159" s="633" t="n"/>
      <c r="O159" s="633" t="n"/>
      <c r="P159" s="633" t="n"/>
      <c r="Q159" s="633">
        <f>CCBASE!$I$51</f>
        <v/>
      </c>
      <c r="R159" s="633">
        <f>CCBASE!$I$4</f>
        <v/>
      </c>
      <c r="S159" s="633">
        <f>CCBASE!$I$8</f>
        <v/>
      </c>
      <c r="T159" s="632" t="n"/>
      <c r="U159" s="633" t="n"/>
      <c r="V159" s="633" t="n"/>
      <c r="W159" s="633">
        <f>CCBASE!$I$41*B159/1000</f>
        <v/>
      </c>
      <c r="X159" s="633" t="n"/>
      <c r="Y159" s="633" t="n"/>
      <c r="Z159" s="633" t="n"/>
      <c r="AA159" s="633" t="n"/>
      <c r="AB159" s="633" t="n"/>
      <c r="AC159" s="633" t="n"/>
      <c r="AD159" s="633">
        <f>CCBASE!$I$33*2</f>
        <v/>
      </c>
      <c r="AI159" s="635" t="n"/>
      <c r="AJ159" s="635" t="n"/>
      <c r="AK159" s="636" t="n"/>
      <c r="AL159" s="636" t="n"/>
      <c r="AM159" s="636" t="n"/>
      <c r="AN159" s="636" t="n"/>
      <c r="AO159" s="636" t="n"/>
      <c r="AP159" s="636" t="n"/>
      <c r="AQ159" s="636" t="n"/>
      <c r="AR159" s="636" t="n"/>
      <c r="AS159" s="636" t="n"/>
    </row>
    <row r="160">
      <c r="A160" s="631" t="inlineStr">
        <is>
          <t>KVX</t>
        </is>
      </c>
      <c r="B160" s="631" t="n">
        <v>2250</v>
      </c>
      <c r="C160" s="631" t="n">
        <v>1500</v>
      </c>
      <c r="D160" s="631">
        <f>$A160&amp;B160&amp;C160</f>
        <v/>
      </c>
      <c r="E160" s="1040">
        <f>SUM(G160:AD160)</f>
        <v/>
      </c>
      <c r="F160" s="632" t="n">
        <v>14</v>
      </c>
      <c r="G160" s="633">
        <f>F160*CCBASE!$B$51</f>
        <v/>
      </c>
      <c r="H160" s="633">
        <f>CCBASE!$I$12*B160/1000</f>
        <v/>
      </c>
      <c r="I160" s="633" t="n"/>
      <c r="J160" s="633" t="n"/>
      <c r="K160" s="633" t="n"/>
      <c r="L160" s="632" t="n"/>
      <c r="M160" s="633">
        <f>CCBASE!$I$15*B160/1000</f>
        <v/>
      </c>
      <c r="N160" s="633" t="n"/>
      <c r="O160" s="633" t="n"/>
      <c r="P160" s="633" t="n"/>
      <c r="Q160" s="633">
        <f>CCBASE!$I$51</f>
        <v/>
      </c>
      <c r="R160" s="633">
        <f>CCBASE!$I$4</f>
        <v/>
      </c>
      <c r="S160" s="633">
        <f>CCBASE!$I$8</f>
        <v/>
      </c>
      <c r="T160" s="632" t="n"/>
      <c r="U160" s="633" t="n"/>
      <c r="V160" s="633" t="n"/>
      <c r="W160" s="633">
        <f>CCBASE!$I$41*B160/1000</f>
        <v/>
      </c>
      <c r="X160" s="633" t="n"/>
      <c r="Y160" s="633" t="n"/>
      <c r="Z160" s="633" t="n"/>
      <c r="AA160" s="633" t="n"/>
      <c r="AB160" s="633" t="n"/>
      <c r="AC160" s="633" t="n"/>
      <c r="AD160" s="633">
        <f>CCBASE!$I$33*2</f>
        <v/>
      </c>
      <c r="AI160" s="635" t="n"/>
      <c r="AJ160" s="635" t="n"/>
      <c r="AK160" s="636" t="n"/>
      <c r="AL160" s="636" t="n"/>
      <c r="AM160" s="636" t="n"/>
      <c r="AN160" s="636" t="n"/>
      <c r="AO160" s="636" t="n"/>
      <c r="AP160" s="636" t="n"/>
      <c r="AQ160" s="636" t="n"/>
      <c r="AR160" s="636" t="n"/>
      <c r="AS160" s="636" t="n"/>
    </row>
    <row r="161">
      <c r="A161" s="631" t="inlineStr">
        <is>
          <t>KVX</t>
        </is>
      </c>
      <c r="B161" s="631" t="n">
        <v>2500</v>
      </c>
      <c r="C161" s="631" t="n">
        <v>1500</v>
      </c>
      <c r="D161" s="631">
        <f>$A161&amp;B161&amp;C161</f>
        <v/>
      </c>
      <c r="E161" s="1040">
        <f>SUM(G161:AD161)</f>
        <v/>
      </c>
      <c r="F161" s="632" t="n">
        <v>14</v>
      </c>
      <c r="G161" s="633">
        <f>F161*CCBASE!$B$51</f>
        <v/>
      </c>
      <c r="H161" s="633">
        <f>CCBASE!$I$12*B161/1000</f>
        <v/>
      </c>
      <c r="I161" s="633" t="n"/>
      <c r="J161" s="633" t="n"/>
      <c r="K161" s="633" t="n"/>
      <c r="L161" s="632" t="n"/>
      <c r="M161" s="633">
        <f>CCBASE!$I$15*B161/1000</f>
        <v/>
      </c>
      <c r="N161" s="633" t="n"/>
      <c r="O161" s="633" t="n"/>
      <c r="P161" s="633" t="n"/>
      <c r="Q161" s="633">
        <f>CCBASE!$I$51</f>
        <v/>
      </c>
      <c r="R161" s="633">
        <f>CCBASE!$I$4</f>
        <v/>
      </c>
      <c r="S161" s="633">
        <f>CCBASE!$I$8</f>
        <v/>
      </c>
      <c r="T161" s="632" t="n"/>
      <c r="U161" s="633" t="n"/>
      <c r="V161" s="633" t="n"/>
      <c r="W161" s="633">
        <f>CCBASE!$I$41*B161/1000</f>
        <v/>
      </c>
      <c r="X161" s="633" t="n"/>
      <c r="Y161" s="633" t="n"/>
      <c r="Z161" s="633" t="n"/>
      <c r="AA161" s="633" t="n"/>
      <c r="AB161" s="633" t="n"/>
      <c r="AC161" s="633" t="n"/>
      <c r="AD161" s="633">
        <f>CCBASE!$I$33*2</f>
        <v/>
      </c>
      <c r="AI161" s="635" t="n"/>
      <c r="AJ161" s="635" t="n"/>
      <c r="AK161" s="636" t="n"/>
      <c r="AL161" s="636" t="n"/>
      <c r="AM161" s="636" t="n"/>
      <c r="AN161" s="636" t="n"/>
      <c r="AO161" s="636" t="n"/>
      <c r="AP161" s="636" t="n"/>
      <c r="AQ161" s="636" t="n"/>
      <c r="AR161" s="636" t="n"/>
      <c r="AS161" s="636" t="n"/>
    </row>
    <row r="162">
      <c r="A162" s="631" t="inlineStr">
        <is>
          <t>KVX</t>
        </is>
      </c>
      <c r="B162" s="631" t="n">
        <v>2750</v>
      </c>
      <c r="C162" s="631" t="n">
        <v>1500</v>
      </c>
      <c r="D162" s="631">
        <f>$A162&amp;B162&amp;C162</f>
        <v/>
      </c>
      <c r="E162" s="1040">
        <f>SUM(G162:AD162)</f>
        <v/>
      </c>
      <c r="F162" s="632" t="n">
        <v>14</v>
      </c>
      <c r="G162" s="633">
        <f>F162*CCBASE!$B$51</f>
        <v/>
      </c>
      <c r="H162" s="633">
        <f>CCBASE!$I$12*B162/1000</f>
        <v/>
      </c>
      <c r="I162" s="633" t="n"/>
      <c r="J162" s="633" t="n"/>
      <c r="K162" s="633" t="n"/>
      <c r="L162" s="632" t="n"/>
      <c r="M162" s="633">
        <f>CCBASE!$I$15*B162/1000</f>
        <v/>
      </c>
      <c r="N162" s="633" t="n"/>
      <c r="O162" s="633" t="n"/>
      <c r="P162" s="633" t="n"/>
      <c r="Q162" s="633">
        <f>CCBASE!$I$51</f>
        <v/>
      </c>
      <c r="R162" s="633">
        <f>CCBASE!$I$4</f>
        <v/>
      </c>
      <c r="S162" s="633">
        <f>CCBASE!$I$8</f>
        <v/>
      </c>
      <c r="T162" s="632" t="n"/>
      <c r="U162" s="633" t="n"/>
      <c r="V162" s="633" t="n"/>
      <c r="W162" s="633">
        <f>CCBASE!$I$41*B162/1000</f>
        <v/>
      </c>
      <c r="X162" s="633" t="n"/>
      <c r="Y162" s="633" t="n"/>
      <c r="Z162" s="633" t="n"/>
      <c r="AA162" s="633" t="n"/>
      <c r="AB162" s="633" t="n"/>
      <c r="AC162" s="633" t="n"/>
      <c r="AD162" s="633">
        <f>CCBASE!$I$33*2</f>
        <v/>
      </c>
      <c r="AI162" s="635" t="n"/>
      <c r="AJ162" s="635" t="n"/>
      <c r="AN162" s="636" t="n"/>
      <c r="AO162" s="636" t="n"/>
      <c r="AP162" s="636" t="n"/>
      <c r="AQ162" s="636" t="n"/>
      <c r="AR162" s="636" t="n"/>
      <c r="AS162" s="636" t="n"/>
    </row>
    <row r="163">
      <c r="A163" s="631" t="inlineStr">
        <is>
          <t>KVX</t>
        </is>
      </c>
      <c r="B163" s="631" t="n">
        <v>3000</v>
      </c>
      <c r="C163" s="631" t="n">
        <v>1500</v>
      </c>
      <c r="D163" s="631">
        <f>$A163&amp;B163&amp;C163</f>
        <v/>
      </c>
      <c r="E163" s="1040">
        <f>SUM(G163:AD163)</f>
        <v/>
      </c>
      <c r="F163" s="632" t="n">
        <v>14</v>
      </c>
      <c r="G163" s="633">
        <f>F163*CCBASE!$B$51</f>
        <v/>
      </c>
      <c r="H163" s="633">
        <f>CCBASE!$I$12*B163/1000</f>
        <v/>
      </c>
      <c r="I163" s="633" t="n"/>
      <c r="J163" s="633" t="n"/>
      <c r="K163" s="633" t="n"/>
      <c r="L163" s="632" t="n"/>
      <c r="M163" s="633">
        <f>CCBASE!$I$15*B163/1000</f>
        <v/>
      </c>
      <c r="N163" s="633" t="n"/>
      <c r="O163" s="633" t="n"/>
      <c r="P163" s="633" t="n"/>
      <c r="Q163" s="633">
        <f>CCBASE!$I$51</f>
        <v/>
      </c>
      <c r="R163" s="633">
        <f>CCBASE!$I$4</f>
        <v/>
      </c>
      <c r="S163" s="633">
        <f>CCBASE!$I$8</f>
        <v/>
      </c>
      <c r="T163" s="632" t="n"/>
      <c r="U163" s="633" t="n"/>
      <c r="V163" s="633" t="n"/>
      <c r="W163" s="633">
        <f>CCBASE!$I$41*B163/1000</f>
        <v/>
      </c>
      <c r="X163" s="633" t="n"/>
      <c r="Y163" s="633" t="n"/>
      <c r="Z163" s="633" t="n"/>
      <c r="AA163" s="633" t="n"/>
      <c r="AB163" s="633" t="n"/>
      <c r="AC163" s="633" t="n"/>
      <c r="AD163" s="633">
        <f>CCBASE!$I$33*2</f>
        <v/>
      </c>
      <c r="AI163" s="635" t="n"/>
      <c r="AJ163" s="635" t="n"/>
      <c r="AN163" s="636" t="n"/>
      <c r="AO163" s="636" t="n"/>
      <c r="AP163" s="636" t="n"/>
      <c r="AQ163" s="636" t="n"/>
      <c r="AR163" s="636" t="n"/>
      <c r="AS163" s="636" t="n"/>
    </row>
    <row r="164">
      <c r="A164" s="631" t="inlineStr">
        <is>
          <t>KVX</t>
        </is>
      </c>
      <c r="B164" s="631" t="n">
        <v>1000</v>
      </c>
      <c r="C164" s="631" t="n">
        <v>1750</v>
      </c>
      <c r="D164" s="631">
        <f>$A164&amp;B164&amp;C164</f>
        <v/>
      </c>
      <c r="E164" s="1040">
        <f>SUM(G164:AD164)</f>
        <v/>
      </c>
      <c r="F164" s="632" t="n">
        <v>13</v>
      </c>
      <c r="G164" s="633">
        <f>F164*CCBASE!$B$51</f>
        <v/>
      </c>
      <c r="H164" s="633">
        <f>CCBASE!$I$12*B164/1000</f>
        <v/>
      </c>
      <c r="I164" s="633" t="n"/>
      <c r="J164" s="633" t="n"/>
      <c r="K164" s="633" t="n"/>
      <c r="L164" s="638" t="n"/>
      <c r="M164" s="633">
        <f>CCBASE!$I$15*B164/1000</f>
        <v/>
      </c>
      <c r="N164" s="633" t="n"/>
      <c r="O164" s="633" t="n"/>
      <c r="P164" s="633" t="n"/>
      <c r="Q164" s="633">
        <f>CCBASE!$I$51</f>
        <v/>
      </c>
      <c r="R164" s="633">
        <f>CCBASE!$I$4</f>
        <v/>
      </c>
      <c r="S164" s="633">
        <f>CCBASE!$I$8</f>
        <v/>
      </c>
      <c r="T164" s="632" t="n"/>
      <c r="U164" s="632" t="n"/>
      <c r="V164" s="632" t="n"/>
      <c r="W164" s="633">
        <f>CCBASE!$I$42*B164/1000</f>
        <v/>
      </c>
      <c r="X164" s="633" t="n"/>
      <c r="Y164" s="633" t="n"/>
      <c r="Z164" s="633" t="n"/>
      <c r="AA164" s="633" t="n"/>
      <c r="AB164" s="633" t="n"/>
      <c r="AC164" s="633" t="n"/>
      <c r="AD164" s="633">
        <f>CCBASE!$I$34*2</f>
        <v/>
      </c>
      <c r="AI164" s="635" t="n"/>
      <c r="AJ164" s="635" t="n"/>
      <c r="AK164" s="636" t="n"/>
      <c r="AL164" s="636" t="n"/>
      <c r="AM164" s="636" t="n"/>
      <c r="AN164" s="636" t="n"/>
      <c r="AO164" s="636" t="n"/>
      <c r="AP164" s="636" t="n"/>
      <c r="AQ164" s="636" t="n"/>
      <c r="AR164" s="636" t="n"/>
      <c r="AS164" s="636" t="n"/>
    </row>
    <row r="165">
      <c r="A165" s="631" t="inlineStr">
        <is>
          <t>KVX</t>
        </is>
      </c>
      <c r="B165" s="631" t="n">
        <v>1250</v>
      </c>
      <c r="C165" s="631" t="n">
        <v>1750</v>
      </c>
      <c r="D165" s="631">
        <f>$A165&amp;B165&amp;C165</f>
        <v/>
      </c>
      <c r="E165" s="1040">
        <f>SUM(G165:AD165)</f>
        <v/>
      </c>
      <c r="F165" s="632" t="n">
        <v>13</v>
      </c>
      <c r="G165" s="633">
        <f>F165*CCBASE!$B$51</f>
        <v/>
      </c>
      <c r="H165" s="633">
        <f>CCBASE!$I$12*B165/1000</f>
        <v/>
      </c>
      <c r="I165" s="633" t="n"/>
      <c r="J165" s="633" t="n"/>
      <c r="K165" s="633" t="n"/>
      <c r="L165" s="638" t="n"/>
      <c r="M165" s="633">
        <f>CCBASE!$I$15*B165/1000</f>
        <v/>
      </c>
      <c r="N165" s="633" t="n"/>
      <c r="O165" s="633" t="n"/>
      <c r="P165" s="633" t="n"/>
      <c r="Q165" s="633">
        <f>CCBASE!$I$51</f>
        <v/>
      </c>
      <c r="R165" s="633">
        <f>CCBASE!$I$4</f>
        <v/>
      </c>
      <c r="S165" s="633">
        <f>CCBASE!$I$8</f>
        <v/>
      </c>
      <c r="T165" s="632" t="n"/>
      <c r="U165" s="632" t="n"/>
      <c r="V165" s="632" t="n"/>
      <c r="W165" s="633">
        <f>CCBASE!$I$42*B165/1000</f>
        <v/>
      </c>
      <c r="X165" s="633" t="n"/>
      <c r="Y165" s="633" t="n"/>
      <c r="Z165" s="633" t="n"/>
      <c r="AA165" s="633" t="n"/>
      <c r="AB165" s="633" t="n"/>
      <c r="AC165" s="633" t="n"/>
      <c r="AD165" s="633">
        <f>CCBASE!$I$34*2</f>
        <v/>
      </c>
      <c r="AI165" s="635" t="n"/>
      <c r="AJ165" s="635" t="n"/>
      <c r="AK165" s="636" t="n"/>
      <c r="AL165" s="636" t="n"/>
      <c r="AM165" s="636" t="n"/>
      <c r="AN165" s="636" t="n"/>
      <c r="AO165" s="636" t="n"/>
      <c r="AP165" s="636" t="n"/>
      <c r="AQ165" s="636" t="n"/>
      <c r="AR165" s="636" t="n"/>
      <c r="AS165" s="636" t="n"/>
    </row>
    <row r="166">
      <c r="A166" s="631" t="inlineStr">
        <is>
          <t>KVX</t>
        </is>
      </c>
      <c r="B166" s="631" t="n">
        <v>1500</v>
      </c>
      <c r="C166" s="631" t="n">
        <v>1750</v>
      </c>
      <c r="D166" s="631">
        <f>$A166&amp;B166&amp;C166</f>
        <v/>
      </c>
      <c r="E166" s="1040">
        <f>SUM(G166:AD166)</f>
        <v/>
      </c>
      <c r="F166" s="632" t="n">
        <v>13</v>
      </c>
      <c r="G166" s="633">
        <f>F166*CCBASE!$B$51</f>
        <v/>
      </c>
      <c r="H166" s="633">
        <f>CCBASE!$I$12*B166/1000</f>
        <v/>
      </c>
      <c r="I166" s="633" t="n"/>
      <c r="J166" s="633" t="n"/>
      <c r="K166" s="633" t="n"/>
      <c r="L166" s="638" t="n"/>
      <c r="M166" s="633">
        <f>CCBASE!$I$15*B166/1000</f>
        <v/>
      </c>
      <c r="N166" s="633" t="n"/>
      <c r="O166" s="633" t="n"/>
      <c r="P166" s="633" t="n"/>
      <c r="Q166" s="633">
        <f>CCBASE!$I$51</f>
        <v/>
      </c>
      <c r="R166" s="633">
        <f>CCBASE!$I$4</f>
        <v/>
      </c>
      <c r="S166" s="633">
        <f>CCBASE!$I$8</f>
        <v/>
      </c>
      <c r="T166" s="632" t="n"/>
      <c r="U166" s="632" t="n"/>
      <c r="V166" s="632" t="n"/>
      <c r="W166" s="633">
        <f>CCBASE!$I$42*B166/1000</f>
        <v/>
      </c>
      <c r="X166" s="633" t="n"/>
      <c r="Y166" s="633" t="n"/>
      <c r="Z166" s="633" t="n"/>
      <c r="AA166" s="633" t="n"/>
      <c r="AB166" s="633" t="n"/>
      <c r="AC166" s="633" t="n"/>
      <c r="AD166" s="633">
        <f>CCBASE!$I$34*2</f>
        <v/>
      </c>
      <c r="AI166" s="635" t="n"/>
      <c r="AJ166" s="635" t="n"/>
      <c r="AK166" s="636" t="n"/>
      <c r="AL166" s="636" t="n"/>
      <c r="AM166" s="636" t="n"/>
      <c r="AN166" s="636" t="n"/>
      <c r="AO166" s="636" t="n"/>
      <c r="AP166" s="636" t="n"/>
      <c r="AQ166" s="636" t="n"/>
      <c r="AR166" s="636" t="n"/>
      <c r="AS166" s="636" t="n"/>
    </row>
    <row r="167">
      <c r="A167" s="631" t="inlineStr">
        <is>
          <t>KVX</t>
        </is>
      </c>
      <c r="B167" s="631" t="n">
        <v>1750</v>
      </c>
      <c r="C167" s="631" t="n">
        <v>1750</v>
      </c>
      <c r="D167" s="631">
        <f>$A167&amp;B167&amp;C167</f>
        <v/>
      </c>
      <c r="E167" s="1040">
        <f>SUM(G167:AD167)</f>
        <v/>
      </c>
      <c r="F167" s="632" t="n">
        <v>13</v>
      </c>
      <c r="G167" s="633">
        <f>F167*CCBASE!$B$51</f>
        <v/>
      </c>
      <c r="H167" s="633">
        <f>CCBASE!$I$12*B167/1000</f>
        <v/>
      </c>
      <c r="I167" s="633" t="n"/>
      <c r="J167" s="633" t="n"/>
      <c r="K167" s="633" t="n"/>
      <c r="L167" s="638" t="n"/>
      <c r="M167" s="633">
        <f>CCBASE!$I$15*B167/1000</f>
        <v/>
      </c>
      <c r="N167" s="633" t="n"/>
      <c r="O167" s="633" t="n"/>
      <c r="P167" s="633" t="n"/>
      <c r="Q167" s="633">
        <f>CCBASE!$I$51</f>
        <v/>
      </c>
      <c r="R167" s="633">
        <f>CCBASE!$I$4</f>
        <v/>
      </c>
      <c r="S167" s="633">
        <f>CCBASE!$I$8</f>
        <v/>
      </c>
      <c r="T167" s="632" t="n"/>
      <c r="U167" s="632" t="n"/>
      <c r="V167" s="632" t="n"/>
      <c r="W167" s="633">
        <f>CCBASE!$I$42*B167/1000</f>
        <v/>
      </c>
      <c r="X167" s="633" t="n"/>
      <c r="Y167" s="633" t="n"/>
      <c r="Z167" s="633" t="n"/>
      <c r="AA167" s="633" t="n"/>
      <c r="AB167" s="633" t="n"/>
      <c r="AC167" s="633" t="n"/>
      <c r="AD167" s="633">
        <f>CCBASE!$I$34*2</f>
        <v/>
      </c>
      <c r="AI167" s="635" t="n"/>
      <c r="AJ167" s="635" t="n"/>
    </row>
    <row r="168">
      <c r="A168" s="631" t="inlineStr">
        <is>
          <t>KVX</t>
        </is>
      </c>
      <c r="B168" s="631" t="n">
        <v>2000</v>
      </c>
      <c r="C168" s="631" t="n">
        <v>1750</v>
      </c>
      <c r="D168" s="631">
        <f>$A168&amp;B168&amp;C168</f>
        <v/>
      </c>
      <c r="E168" s="1040">
        <f>SUM(G168:AD168)</f>
        <v/>
      </c>
      <c r="F168" s="632" t="n">
        <v>14</v>
      </c>
      <c r="G168" s="633">
        <f>F168*CCBASE!$B$51</f>
        <v/>
      </c>
      <c r="H168" s="633">
        <f>CCBASE!$I$12*B168/1000</f>
        <v/>
      </c>
      <c r="I168" s="633" t="n"/>
      <c r="J168" s="633" t="n"/>
      <c r="K168" s="633" t="n"/>
      <c r="L168" s="638" t="n"/>
      <c r="M168" s="633">
        <f>CCBASE!$I$15*B168/1000</f>
        <v/>
      </c>
      <c r="N168" s="633" t="n"/>
      <c r="O168" s="633" t="n"/>
      <c r="P168" s="633" t="n"/>
      <c r="Q168" s="633">
        <f>CCBASE!$I$51</f>
        <v/>
      </c>
      <c r="R168" s="633">
        <f>CCBASE!$I$4</f>
        <v/>
      </c>
      <c r="S168" s="633">
        <f>CCBASE!$I$8</f>
        <v/>
      </c>
      <c r="T168" s="632" t="n"/>
      <c r="U168" s="632" t="n"/>
      <c r="V168" s="632" t="n"/>
      <c r="W168" s="633">
        <f>CCBASE!$I$42*B168/1000</f>
        <v/>
      </c>
      <c r="X168" s="633" t="n"/>
      <c r="Y168" s="633" t="n"/>
      <c r="Z168" s="633" t="n"/>
      <c r="AA168" s="633" t="n"/>
      <c r="AB168" s="633" t="n"/>
      <c r="AC168" s="633" t="n"/>
      <c r="AD168" s="633">
        <f>CCBASE!$I$34*2</f>
        <v/>
      </c>
      <c r="AI168" s="635" t="n"/>
      <c r="AJ168" s="635" t="n"/>
      <c r="AR168" s="636" t="n"/>
      <c r="AS168" s="636" t="n"/>
    </row>
    <row r="169">
      <c r="A169" s="631" t="inlineStr">
        <is>
          <t>KVX</t>
        </is>
      </c>
      <c r="B169" s="631" t="n">
        <v>2250</v>
      </c>
      <c r="C169" s="631" t="n">
        <v>1750</v>
      </c>
      <c r="D169" s="631">
        <f>$A169&amp;B169&amp;C169</f>
        <v/>
      </c>
      <c r="E169" s="1040">
        <f>SUM(G169:AD169)</f>
        <v/>
      </c>
      <c r="F169" s="632" t="n">
        <v>14</v>
      </c>
      <c r="G169" s="633">
        <f>F169*CCBASE!$B$51</f>
        <v/>
      </c>
      <c r="H169" s="633">
        <f>CCBASE!$I$12*B169/1000</f>
        <v/>
      </c>
      <c r="I169" s="633" t="n"/>
      <c r="J169" s="633" t="n"/>
      <c r="K169" s="633" t="n"/>
      <c r="L169" s="638" t="n"/>
      <c r="M169" s="633">
        <f>CCBASE!$I$15*B169/1000</f>
        <v/>
      </c>
      <c r="N169" s="633" t="n"/>
      <c r="O169" s="633" t="n"/>
      <c r="P169" s="633" t="n"/>
      <c r="Q169" s="633">
        <f>CCBASE!$I$51</f>
        <v/>
      </c>
      <c r="R169" s="633">
        <f>CCBASE!$I$4</f>
        <v/>
      </c>
      <c r="S169" s="633">
        <f>CCBASE!$I$8</f>
        <v/>
      </c>
      <c r="T169" s="632" t="n"/>
      <c r="U169" s="632" t="n"/>
      <c r="V169" s="632" t="n"/>
      <c r="W169" s="633">
        <f>CCBASE!$I$42*B169/1000</f>
        <v/>
      </c>
      <c r="X169" s="633" t="n"/>
      <c r="Y169" s="633" t="n"/>
      <c r="Z169" s="633" t="n"/>
      <c r="AA169" s="633" t="n"/>
      <c r="AB169" s="633" t="n"/>
      <c r="AC169" s="633" t="n"/>
      <c r="AD169" s="633">
        <f>CCBASE!$I$34*2</f>
        <v/>
      </c>
      <c r="AI169" s="635" t="n"/>
      <c r="AJ169" s="635" t="n"/>
      <c r="AR169" s="636" t="n"/>
      <c r="AS169" s="636" t="n"/>
    </row>
    <row r="170">
      <c r="A170" s="631" t="inlineStr">
        <is>
          <t>KVX</t>
        </is>
      </c>
      <c r="B170" s="631" t="n">
        <v>2500</v>
      </c>
      <c r="C170" s="631" t="n">
        <v>1750</v>
      </c>
      <c r="D170" s="631">
        <f>$A170&amp;B170&amp;C170</f>
        <v/>
      </c>
      <c r="E170" s="1040">
        <f>SUM(G170:AD170)</f>
        <v/>
      </c>
      <c r="F170" s="632" t="n">
        <v>14</v>
      </c>
      <c r="G170" s="633">
        <f>F170*CCBASE!$B$51</f>
        <v/>
      </c>
      <c r="H170" s="633">
        <f>CCBASE!$I$12*B170/1000</f>
        <v/>
      </c>
      <c r="I170" s="633" t="n"/>
      <c r="J170" s="633" t="n"/>
      <c r="K170" s="633" t="n"/>
      <c r="L170" s="638" t="n"/>
      <c r="M170" s="633">
        <f>CCBASE!$I$15*B170/1000</f>
        <v/>
      </c>
      <c r="N170" s="633" t="n"/>
      <c r="O170" s="633" t="n"/>
      <c r="P170" s="633" t="n"/>
      <c r="Q170" s="633">
        <f>CCBASE!$I$51</f>
        <v/>
      </c>
      <c r="R170" s="633">
        <f>CCBASE!$I$4</f>
        <v/>
      </c>
      <c r="S170" s="633">
        <f>CCBASE!$I$8</f>
        <v/>
      </c>
      <c r="T170" s="632" t="n"/>
      <c r="U170" s="632" t="n"/>
      <c r="V170" s="632" t="n"/>
      <c r="W170" s="633">
        <f>CCBASE!$I$42*B170/1000</f>
        <v/>
      </c>
      <c r="X170" s="633" t="n"/>
      <c r="Y170" s="633" t="n"/>
      <c r="Z170" s="633" t="n"/>
      <c r="AA170" s="633" t="n"/>
      <c r="AB170" s="633" t="n"/>
      <c r="AC170" s="633" t="n"/>
      <c r="AD170" s="633">
        <f>CCBASE!$I$34*2</f>
        <v/>
      </c>
      <c r="AI170" s="635" t="n"/>
      <c r="AJ170" s="635" t="n"/>
      <c r="AR170" s="636" t="n"/>
      <c r="AS170" s="636" t="n"/>
    </row>
    <row r="171">
      <c r="A171" s="631" t="inlineStr">
        <is>
          <t>KVX</t>
        </is>
      </c>
      <c r="B171" s="631" t="n">
        <v>2750</v>
      </c>
      <c r="C171" s="631" t="n">
        <v>1750</v>
      </c>
      <c r="D171" s="631">
        <f>$A171&amp;B171&amp;C171</f>
        <v/>
      </c>
      <c r="E171" s="1040">
        <f>SUM(G171:AD171)</f>
        <v/>
      </c>
      <c r="F171" s="632" t="n">
        <v>14</v>
      </c>
      <c r="G171" s="633">
        <f>F171*CCBASE!$B$51</f>
        <v/>
      </c>
      <c r="H171" s="633">
        <f>CCBASE!$I$12*B171/1000</f>
        <v/>
      </c>
      <c r="I171" s="633" t="n"/>
      <c r="J171" s="633" t="n"/>
      <c r="K171" s="633" t="n"/>
      <c r="L171" s="638" t="n"/>
      <c r="M171" s="633">
        <f>CCBASE!$I$15*B171/1000</f>
        <v/>
      </c>
      <c r="N171" s="633" t="n"/>
      <c r="O171" s="633" t="n"/>
      <c r="P171" s="633" t="n"/>
      <c r="Q171" s="633">
        <f>CCBASE!$I$51</f>
        <v/>
      </c>
      <c r="R171" s="633">
        <f>CCBASE!$I$4</f>
        <v/>
      </c>
      <c r="S171" s="633">
        <f>CCBASE!$I$8</f>
        <v/>
      </c>
      <c r="T171" s="632" t="n"/>
      <c r="U171" s="632" t="n"/>
      <c r="V171" s="632" t="n"/>
      <c r="W171" s="633">
        <f>CCBASE!$I$42*B171/1000</f>
        <v/>
      </c>
      <c r="X171" s="633" t="n"/>
      <c r="Y171" s="633" t="n"/>
      <c r="Z171" s="633" t="n"/>
      <c r="AA171" s="633" t="n"/>
      <c r="AB171" s="633" t="n"/>
      <c r="AC171" s="633" t="n"/>
      <c r="AD171" s="633">
        <f>CCBASE!$I$34*2</f>
        <v/>
      </c>
      <c r="AI171" s="635" t="n"/>
      <c r="AJ171" s="635" t="n"/>
      <c r="AK171" s="636" t="n"/>
      <c r="AL171" s="636" t="n"/>
      <c r="AM171" s="636" t="n"/>
      <c r="AN171" s="636" t="n"/>
      <c r="AO171" s="636" t="n"/>
      <c r="AP171" s="636" t="n"/>
      <c r="AQ171" s="636" t="n"/>
      <c r="AR171" s="636" t="n"/>
      <c r="AS171" s="636" t="n"/>
    </row>
    <row r="172">
      <c r="A172" s="631" t="inlineStr">
        <is>
          <t>KVX</t>
        </is>
      </c>
      <c r="B172" s="631" t="n">
        <v>3000</v>
      </c>
      <c r="C172" s="631" t="n">
        <v>1750</v>
      </c>
      <c r="D172" s="631">
        <f>$A172&amp;B172&amp;C172</f>
        <v/>
      </c>
      <c r="E172" s="1040">
        <f>SUM(G172:AD172)</f>
        <v/>
      </c>
      <c r="F172" s="632" t="n">
        <v>14</v>
      </c>
      <c r="G172" s="633">
        <f>F172*CCBASE!$B$51</f>
        <v/>
      </c>
      <c r="H172" s="633">
        <f>CCBASE!$I$12*B172/1000</f>
        <v/>
      </c>
      <c r="I172" s="633" t="n"/>
      <c r="J172" s="633" t="n"/>
      <c r="K172" s="633" t="n"/>
      <c r="L172" s="638" t="n"/>
      <c r="M172" s="633">
        <f>CCBASE!$I$15*B172/1000</f>
        <v/>
      </c>
      <c r="N172" s="633" t="n"/>
      <c r="O172" s="633" t="n"/>
      <c r="P172" s="633" t="n"/>
      <c r="Q172" s="633">
        <f>CCBASE!$I$51</f>
        <v/>
      </c>
      <c r="R172" s="633">
        <f>CCBASE!$I$4</f>
        <v/>
      </c>
      <c r="S172" s="633">
        <f>CCBASE!$I$8</f>
        <v/>
      </c>
      <c r="T172" s="632" t="n"/>
      <c r="U172" s="632" t="n"/>
      <c r="V172" s="632" t="n"/>
      <c r="W172" s="633">
        <f>CCBASE!$I$42*B172/1000</f>
        <v/>
      </c>
      <c r="X172" s="633" t="n"/>
      <c r="Y172" s="633" t="n"/>
      <c r="Z172" s="633" t="n"/>
      <c r="AA172" s="633" t="n"/>
      <c r="AB172" s="633" t="n"/>
      <c r="AC172" s="633" t="n"/>
      <c r="AD172" s="633">
        <f>CCBASE!$I$34*2</f>
        <v/>
      </c>
      <c r="AI172" s="635" t="n"/>
      <c r="AJ172" s="635" t="n"/>
      <c r="AK172" s="636" t="n"/>
      <c r="AL172" s="636" t="n"/>
      <c r="AM172" s="636" t="n"/>
      <c r="AN172" s="636" t="n"/>
      <c r="AO172" s="636" t="n"/>
      <c r="AP172" s="636" t="n"/>
      <c r="AQ172" s="636" t="n"/>
      <c r="AR172" s="636" t="n"/>
      <c r="AS172" s="636" t="n"/>
    </row>
    <row r="173">
      <c r="A173" s="631" t="inlineStr">
        <is>
          <t>KVX</t>
        </is>
      </c>
      <c r="B173" s="631" t="n">
        <v>1000</v>
      </c>
      <c r="C173" s="631" t="n">
        <v>2000</v>
      </c>
      <c r="D173" s="631">
        <f>$A173&amp;B173&amp;C173</f>
        <v/>
      </c>
      <c r="E173" s="1040">
        <f>SUM(G173:AD173)</f>
        <v/>
      </c>
      <c r="F173" s="632" t="n">
        <v>13</v>
      </c>
      <c r="G173" s="633">
        <f>F173*CCBASE!$B$51</f>
        <v/>
      </c>
      <c r="H173" s="633">
        <f>CCBASE!$I$12*B173/1000</f>
        <v/>
      </c>
      <c r="I173" s="633" t="n"/>
      <c r="J173" s="633" t="n"/>
      <c r="K173" s="633" t="n"/>
      <c r="L173" s="638" t="n"/>
      <c r="M173" s="633">
        <f>CCBASE!$I$15*B173/1000</f>
        <v/>
      </c>
      <c r="N173" s="633" t="n"/>
      <c r="O173" s="633" t="n"/>
      <c r="P173" s="633" t="n"/>
      <c r="Q173" s="633">
        <f>CCBASE!$I$51</f>
        <v/>
      </c>
      <c r="R173" s="633">
        <f>CCBASE!$I$4</f>
        <v/>
      </c>
      <c r="S173" s="633">
        <f>CCBASE!$I$8</f>
        <v/>
      </c>
      <c r="T173" s="632" t="n"/>
      <c r="U173" s="632" t="n"/>
      <c r="V173" s="632" t="n"/>
      <c r="W173" s="633">
        <f>CCBASE!$I$43*B173/1000</f>
        <v/>
      </c>
      <c r="X173" s="633" t="n"/>
      <c r="Y173" s="633" t="n"/>
      <c r="Z173" s="633" t="n"/>
      <c r="AA173" s="633" t="n"/>
      <c r="AB173" s="633" t="n"/>
      <c r="AC173" s="633" t="n"/>
      <c r="AD173" s="633">
        <f>CCBASE!$I$35*2</f>
        <v/>
      </c>
      <c r="AI173" s="635" t="n"/>
      <c r="AJ173" s="635" t="n"/>
      <c r="AK173" s="636" t="n"/>
      <c r="AL173" s="636" t="n"/>
      <c r="AM173" s="636" t="n"/>
      <c r="AN173" s="636" t="n"/>
      <c r="AO173" s="636" t="n"/>
      <c r="AP173" s="636" t="n"/>
      <c r="AQ173" s="636" t="n"/>
      <c r="AR173" s="636" t="n"/>
      <c r="AS173" s="636" t="n"/>
    </row>
    <row r="174">
      <c r="A174" s="631" t="inlineStr">
        <is>
          <t>KVX</t>
        </is>
      </c>
      <c r="B174" s="631" t="n">
        <v>1250</v>
      </c>
      <c r="C174" s="631" t="n">
        <v>2000</v>
      </c>
      <c r="D174" s="631">
        <f>$A174&amp;B174&amp;C174</f>
        <v/>
      </c>
      <c r="E174" s="1040">
        <f>SUM(G174:AD174)</f>
        <v/>
      </c>
      <c r="F174" s="632" t="n">
        <v>13</v>
      </c>
      <c r="G174" s="633">
        <f>F174*CCBASE!$B$51</f>
        <v/>
      </c>
      <c r="H174" s="633">
        <f>CCBASE!$I$12*B174/1000</f>
        <v/>
      </c>
      <c r="I174" s="633" t="n"/>
      <c r="J174" s="633" t="n"/>
      <c r="K174" s="633" t="n"/>
      <c r="L174" s="638" t="n"/>
      <c r="M174" s="633">
        <f>CCBASE!$I$15*B174/1000</f>
        <v/>
      </c>
      <c r="N174" s="633" t="n"/>
      <c r="O174" s="633" t="n"/>
      <c r="P174" s="633" t="n"/>
      <c r="Q174" s="633">
        <f>CCBASE!$I$51</f>
        <v/>
      </c>
      <c r="R174" s="633">
        <f>CCBASE!$I$4</f>
        <v/>
      </c>
      <c r="S174" s="633">
        <f>CCBASE!$I$8</f>
        <v/>
      </c>
      <c r="T174" s="632" t="n"/>
      <c r="U174" s="632" t="n"/>
      <c r="V174" s="632" t="n"/>
      <c r="W174" s="633">
        <f>CCBASE!$I$43*B174/1000</f>
        <v/>
      </c>
      <c r="X174" s="633" t="n"/>
      <c r="Y174" s="633" t="n"/>
      <c r="Z174" s="633" t="n"/>
      <c r="AA174" s="633" t="n"/>
      <c r="AB174" s="633" t="n"/>
      <c r="AC174" s="633" t="n"/>
      <c r="AD174" s="633">
        <f>CCBASE!$I$35*2</f>
        <v/>
      </c>
      <c r="AI174" s="635" t="n"/>
      <c r="AJ174" s="635" t="n"/>
      <c r="AK174" s="636" t="n"/>
      <c r="AL174" s="636" t="n"/>
      <c r="AM174" s="636" t="n"/>
      <c r="AN174" s="636" t="n"/>
      <c r="AO174" s="636" t="n"/>
      <c r="AP174" s="636" t="n"/>
      <c r="AQ174" s="636" t="n"/>
      <c r="AR174" s="636" t="n"/>
      <c r="AS174" s="636" t="n"/>
    </row>
    <row r="175">
      <c r="A175" s="631" t="inlineStr">
        <is>
          <t>KVX</t>
        </is>
      </c>
      <c r="B175" s="631" t="n">
        <v>1500</v>
      </c>
      <c r="C175" s="631" t="n">
        <v>2000</v>
      </c>
      <c r="D175" s="631">
        <f>$A175&amp;B175&amp;C175</f>
        <v/>
      </c>
      <c r="E175" s="1040">
        <f>SUM(G175:AD175)</f>
        <v/>
      </c>
      <c r="F175" s="632" t="n">
        <v>13</v>
      </c>
      <c r="G175" s="633">
        <f>F175*CCBASE!$B$51</f>
        <v/>
      </c>
      <c r="H175" s="633">
        <f>CCBASE!$I$12*B175/1000</f>
        <v/>
      </c>
      <c r="I175" s="633" t="n"/>
      <c r="J175" s="633" t="n"/>
      <c r="K175" s="633" t="n"/>
      <c r="L175" s="638" t="n"/>
      <c r="M175" s="633">
        <f>CCBASE!$I$15*B175/1000</f>
        <v/>
      </c>
      <c r="N175" s="633" t="n"/>
      <c r="O175" s="633" t="n"/>
      <c r="P175" s="633" t="n"/>
      <c r="Q175" s="633">
        <f>CCBASE!$I$51</f>
        <v/>
      </c>
      <c r="R175" s="633">
        <f>CCBASE!$I$4</f>
        <v/>
      </c>
      <c r="S175" s="633">
        <f>CCBASE!$I$8</f>
        <v/>
      </c>
      <c r="T175" s="632" t="n"/>
      <c r="U175" s="632" t="n"/>
      <c r="V175" s="632" t="n"/>
      <c r="W175" s="633">
        <f>CCBASE!$I$43*B175/1000</f>
        <v/>
      </c>
      <c r="X175" s="633" t="n"/>
      <c r="Y175" s="633" t="n"/>
      <c r="Z175" s="633" t="n"/>
      <c r="AA175" s="633" t="n"/>
      <c r="AB175" s="633" t="n"/>
      <c r="AC175" s="633" t="n"/>
      <c r="AD175" s="633">
        <f>CCBASE!$I$35*2</f>
        <v/>
      </c>
      <c r="AI175" s="635" t="n"/>
      <c r="AJ175" s="635" t="n"/>
      <c r="AK175" s="636" t="n"/>
      <c r="AL175" s="636" t="n"/>
      <c r="AM175" s="636" t="n"/>
      <c r="AN175" s="636" t="n"/>
      <c r="AO175" s="636" t="n"/>
      <c r="AP175" s="636" t="n"/>
      <c r="AQ175" s="636" t="n"/>
      <c r="AR175" s="636" t="n"/>
      <c r="AS175" s="636" t="n"/>
    </row>
    <row r="176">
      <c r="A176" s="631" t="inlineStr">
        <is>
          <t>KVX</t>
        </is>
      </c>
      <c r="B176" s="631" t="n">
        <v>1750</v>
      </c>
      <c r="C176" s="631" t="n">
        <v>2000</v>
      </c>
      <c r="D176" s="631">
        <f>$A176&amp;B176&amp;C176</f>
        <v/>
      </c>
      <c r="E176" s="1040">
        <f>SUM(G176:AD176)</f>
        <v/>
      </c>
      <c r="F176" s="632" t="n">
        <v>13</v>
      </c>
      <c r="G176" s="633">
        <f>F176*CCBASE!$B$51</f>
        <v/>
      </c>
      <c r="H176" s="633">
        <f>CCBASE!$I$12*B176/1000</f>
        <v/>
      </c>
      <c r="I176" s="633" t="n"/>
      <c r="J176" s="633" t="n"/>
      <c r="K176" s="633" t="n"/>
      <c r="L176" s="638" t="n"/>
      <c r="M176" s="633">
        <f>CCBASE!$I$15*B176/1000</f>
        <v/>
      </c>
      <c r="N176" s="633" t="n"/>
      <c r="O176" s="633" t="n"/>
      <c r="P176" s="633" t="n"/>
      <c r="Q176" s="633">
        <f>CCBASE!$I$51</f>
        <v/>
      </c>
      <c r="R176" s="633">
        <f>CCBASE!$I$4</f>
        <v/>
      </c>
      <c r="S176" s="633">
        <f>CCBASE!$I$8</f>
        <v/>
      </c>
      <c r="T176" s="632" t="n"/>
      <c r="U176" s="632" t="n"/>
      <c r="V176" s="632" t="n"/>
      <c r="W176" s="633">
        <f>CCBASE!$I$43*B176/1000</f>
        <v/>
      </c>
      <c r="X176" s="633" t="n"/>
      <c r="Y176" s="633" t="n"/>
      <c r="Z176" s="633" t="n"/>
      <c r="AA176" s="633" t="n"/>
      <c r="AB176" s="633" t="n"/>
      <c r="AC176" s="633" t="n"/>
      <c r="AD176" s="633">
        <f>CCBASE!$I$35*2</f>
        <v/>
      </c>
      <c r="AI176" s="635" t="n"/>
      <c r="AJ176" s="635" t="n"/>
    </row>
    <row r="177">
      <c r="A177" s="631" t="inlineStr">
        <is>
          <t>KVX</t>
        </is>
      </c>
      <c r="B177" s="631" t="n">
        <v>2000</v>
      </c>
      <c r="C177" s="631" t="n">
        <v>2000</v>
      </c>
      <c r="D177" s="631">
        <f>$A177&amp;B177&amp;C177</f>
        <v/>
      </c>
      <c r="E177" s="1040">
        <f>SUM(G177:AD177)</f>
        <v/>
      </c>
      <c r="F177" s="632" t="n">
        <v>13</v>
      </c>
      <c r="G177" s="633">
        <f>F177*CCBASE!$B$51</f>
        <v/>
      </c>
      <c r="H177" s="633">
        <f>CCBASE!$I$12*B177/1000</f>
        <v/>
      </c>
      <c r="I177" s="633" t="n"/>
      <c r="J177" s="633" t="n"/>
      <c r="K177" s="633" t="n"/>
      <c r="L177" s="638" t="n"/>
      <c r="M177" s="633">
        <f>CCBASE!$I$15*B177/1000</f>
        <v/>
      </c>
      <c r="N177" s="633" t="n"/>
      <c r="O177" s="633" t="n"/>
      <c r="P177" s="633" t="n"/>
      <c r="Q177" s="633">
        <f>CCBASE!$I$51</f>
        <v/>
      </c>
      <c r="R177" s="633">
        <f>CCBASE!$I$4</f>
        <v/>
      </c>
      <c r="S177" s="633">
        <f>CCBASE!$I$8</f>
        <v/>
      </c>
      <c r="T177" s="632" t="n"/>
      <c r="U177" s="632" t="n"/>
      <c r="V177" s="632" t="n"/>
      <c r="W177" s="633">
        <f>CCBASE!$I$43*B177/1000</f>
        <v/>
      </c>
      <c r="X177" s="633" t="n"/>
      <c r="Y177" s="633" t="n"/>
      <c r="Z177" s="633" t="n"/>
      <c r="AA177" s="633" t="n"/>
      <c r="AB177" s="633" t="n"/>
      <c r="AC177" s="633" t="n"/>
      <c r="AD177" s="633">
        <f>CCBASE!$I$35*2</f>
        <v/>
      </c>
      <c r="AI177" s="635" t="n"/>
      <c r="AJ177" s="635" t="n"/>
    </row>
    <row r="178">
      <c r="A178" s="631" t="inlineStr">
        <is>
          <t>KVX</t>
        </is>
      </c>
      <c r="B178" s="631" t="n">
        <v>2250</v>
      </c>
      <c r="C178" s="631" t="n">
        <v>2000</v>
      </c>
      <c r="D178" s="631">
        <f>$A178&amp;B178&amp;C178</f>
        <v/>
      </c>
      <c r="E178" s="1040">
        <f>SUM(G178:AD178)</f>
        <v/>
      </c>
      <c r="F178" s="632" t="n">
        <v>13</v>
      </c>
      <c r="G178" s="633">
        <f>F178*CCBASE!$B$51</f>
        <v/>
      </c>
      <c r="H178" s="633">
        <f>CCBASE!$I$12*B178/1000</f>
        <v/>
      </c>
      <c r="I178" s="633" t="n"/>
      <c r="J178" s="633" t="n"/>
      <c r="K178" s="633" t="n"/>
      <c r="L178" s="638" t="n"/>
      <c r="M178" s="633">
        <f>CCBASE!$I$15*B178/1000</f>
        <v/>
      </c>
      <c r="N178" s="633" t="n"/>
      <c r="O178" s="633" t="n"/>
      <c r="P178" s="633" t="n"/>
      <c r="Q178" s="633">
        <f>CCBASE!$I$51</f>
        <v/>
      </c>
      <c r="R178" s="633">
        <f>CCBASE!$I$4</f>
        <v/>
      </c>
      <c r="S178" s="633">
        <f>CCBASE!$I$8</f>
        <v/>
      </c>
      <c r="T178" s="632" t="n"/>
      <c r="U178" s="632" t="n"/>
      <c r="V178" s="632" t="n"/>
      <c r="W178" s="633">
        <f>CCBASE!$I$43*B178/1000</f>
        <v/>
      </c>
      <c r="X178" s="633" t="n"/>
      <c r="Y178" s="633" t="n"/>
      <c r="Z178" s="633" t="n"/>
      <c r="AA178" s="633" t="n"/>
      <c r="AB178" s="633" t="n"/>
      <c r="AC178" s="633" t="n"/>
      <c r="AD178" s="633">
        <f>CCBASE!$I$35*2</f>
        <v/>
      </c>
      <c r="AI178" s="635" t="n"/>
      <c r="AJ178" s="635" t="n"/>
    </row>
    <row r="179">
      <c r="A179" s="631" t="inlineStr">
        <is>
          <t>KVX</t>
        </is>
      </c>
      <c r="B179" s="631" t="n">
        <v>2500</v>
      </c>
      <c r="C179" s="631" t="n">
        <v>2000</v>
      </c>
      <c r="D179" s="631">
        <f>$A179&amp;B179&amp;C179</f>
        <v/>
      </c>
      <c r="E179" s="1040">
        <f>SUM(G179:AD179)</f>
        <v/>
      </c>
      <c r="F179" s="632" t="n">
        <v>14</v>
      </c>
      <c r="G179" s="633">
        <f>F179*CCBASE!$B$51</f>
        <v/>
      </c>
      <c r="H179" s="633">
        <f>CCBASE!$I$12*B179/1000</f>
        <v/>
      </c>
      <c r="I179" s="633" t="n"/>
      <c r="J179" s="633" t="n"/>
      <c r="K179" s="633" t="n"/>
      <c r="L179" s="638" t="n"/>
      <c r="M179" s="633">
        <f>CCBASE!$I$15*B179/1000</f>
        <v/>
      </c>
      <c r="N179" s="633" t="n"/>
      <c r="O179" s="633" t="n"/>
      <c r="P179" s="633" t="n"/>
      <c r="Q179" s="633">
        <f>CCBASE!$I$51</f>
        <v/>
      </c>
      <c r="R179" s="633">
        <f>CCBASE!$I$4</f>
        <v/>
      </c>
      <c r="S179" s="633">
        <f>CCBASE!$I$8</f>
        <v/>
      </c>
      <c r="T179" s="632" t="n"/>
      <c r="U179" s="632" t="n"/>
      <c r="V179" s="632" t="n"/>
      <c r="W179" s="633">
        <f>CCBASE!$I$43*B179/1000</f>
        <v/>
      </c>
      <c r="X179" s="633" t="n"/>
      <c r="Y179" s="633" t="n"/>
      <c r="Z179" s="633" t="n"/>
      <c r="AA179" s="633" t="n"/>
      <c r="AB179" s="633" t="n"/>
      <c r="AC179" s="633" t="n"/>
      <c r="AD179" s="633">
        <f>CCBASE!$I$35*2</f>
        <v/>
      </c>
      <c r="AI179" s="635" t="n"/>
      <c r="AJ179" s="635" t="n"/>
      <c r="AR179" s="636" t="n"/>
      <c r="AS179" s="636" t="n"/>
    </row>
    <row r="180">
      <c r="A180" s="631" t="inlineStr">
        <is>
          <t>KVX</t>
        </is>
      </c>
      <c r="B180" s="631" t="n">
        <v>2750</v>
      </c>
      <c r="C180" s="631" t="n">
        <v>2000</v>
      </c>
      <c r="D180" s="631">
        <f>$A180&amp;B180&amp;C180</f>
        <v/>
      </c>
      <c r="E180" s="1040">
        <f>SUM(G180:AD180)</f>
        <v/>
      </c>
      <c r="F180" s="632" t="n">
        <v>14</v>
      </c>
      <c r="G180" s="633">
        <f>F180*CCBASE!$B$51</f>
        <v/>
      </c>
      <c r="H180" s="633">
        <f>CCBASE!$I$12*B180/1000</f>
        <v/>
      </c>
      <c r="I180" s="633" t="n"/>
      <c r="J180" s="633" t="n"/>
      <c r="K180" s="633" t="n"/>
      <c r="L180" s="638" t="n"/>
      <c r="M180" s="633">
        <f>CCBASE!$I$15*B180/1000</f>
        <v/>
      </c>
      <c r="N180" s="633" t="n"/>
      <c r="O180" s="633" t="n"/>
      <c r="P180" s="633" t="n"/>
      <c r="Q180" s="633">
        <f>CCBASE!$I$51</f>
        <v/>
      </c>
      <c r="R180" s="633">
        <f>CCBASE!$I$4</f>
        <v/>
      </c>
      <c r="S180" s="633">
        <f>CCBASE!$I$8</f>
        <v/>
      </c>
      <c r="T180" s="632" t="n"/>
      <c r="U180" s="632" t="n"/>
      <c r="V180" s="632" t="n"/>
      <c r="W180" s="633">
        <f>CCBASE!$I$43*B180/1000</f>
        <v/>
      </c>
      <c r="X180" s="633" t="n"/>
      <c r="Y180" s="633" t="n"/>
      <c r="Z180" s="633" t="n"/>
      <c r="AA180" s="633" t="n"/>
      <c r="AB180" s="633" t="n"/>
      <c r="AC180" s="633" t="n"/>
      <c r="AD180" s="633">
        <f>CCBASE!$I$35*2</f>
        <v/>
      </c>
      <c r="AI180" s="635" t="n"/>
      <c r="AJ180" s="635" t="n"/>
      <c r="AR180" s="636" t="n"/>
      <c r="AS180" s="636" t="n"/>
    </row>
    <row r="181">
      <c r="A181" s="631" t="inlineStr">
        <is>
          <t>KVX</t>
        </is>
      </c>
      <c r="B181" s="631" t="n">
        <v>3000</v>
      </c>
      <c r="C181" s="631" t="n">
        <v>2000</v>
      </c>
      <c r="D181" s="631">
        <f>$A181&amp;B181&amp;C181</f>
        <v/>
      </c>
      <c r="E181" s="1040">
        <f>SUM(G181:AD181)</f>
        <v/>
      </c>
      <c r="F181" s="632" t="n">
        <v>14</v>
      </c>
      <c r="G181" s="633">
        <f>F181*CCBASE!$B$51</f>
        <v/>
      </c>
      <c r="H181" s="633">
        <f>CCBASE!$I$12*B181/1000</f>
        <v/>
      </c>
      <c r="I181" s="633" t="n"/>
      <c r="J181" s="633" t="n"/>
      <c r="K181" s="633" t="n"/>
      <c r="L181" s="638" t="n"/>
      <c r="M181" s="633">
        <f>CCBASE!$I$15*B181/1000</f>
        <v/>
      </c>
      <c r="N181" s="633" t="n"/>
      <c r="O181" s="633" t="n"/>
      <c r="P181" s="633" t="n"/>
      <c r="Q181" s="633">
        <f>CCBASE!$I$51</f>
        <v/>
      </c>
      <c r="R181" s="633">
        <f>CCBASE!$I$4</f>
        <v/>
      </c>
      <c r="S181" s="633">
        <f>CCBASE!$I$8</f>
        <v/>
      </c>
      <c r="T181" s="632" t="n"/>
      <c r="U181" s="632" t="n"/>
      <c r="V181" s="632" t="n"/>
      <c r="W181" s="633">
        <f>CCBASE!$I$43*B181/1000</f>
        <v/>
      </c>
      <c r="X181" s="633" t="n"/>
      <c r="Y181" s="633" t="n"/>
      <c r="Z181" s="633" t="n"/>
      <c r="AA181" s="633" t="n"/>
      <c r="AB181" s="633" t="n"/>
      <c r="AC181" s="633" t="n"/>
      <c r="AD181" s="633">
        <f>CCBASE!$I$35*2</f>
        <v/>
      </c>
      <c r="AI181" s="635" t="n"/>
      <c r="AJ181" s="635" t="n"/>
      <c r="AK181" s="636" t="n"/>
      <c r="AL181" s="636" t="n"/>
      <c r="AM181" s="636" t="n"/>
      <c r="AN181" s="636" t="n"/>
      <c r="AO181" s="636" t="n"/>
      <c r="AP181" s="636" t="n"/>
      <c r="AQ181" s="636" t="n"/>
      <c r="AR181" s="636" t="n"/>
      <c r="AS181" s="636" t="n"/>
    </row>
    <row r="182">
      <c r="A182" s="631" t="inlineStr">
        <is>
          <t>KVI</t>
        </is>
      </c>
      <c r="B182" s="631" t="n">
        <v>1000</v>
      </c>
      <c r="C182" s="631" t="n">
        <v>1000</v>
      </c>
      <c r="D182" s="631">
        <f>A182&amp;B182&amp;C182</f>
        <v/>
      </c>
      <c r="E182" s="1040">
        <f>SUM(G182:AD182)</f>
        <v/>
      </c>
      <c r="F182" s="632" t="n">
        <v>20</v>
      </c>
      <c r="G182" s="633">
        <f>F182*CCBASE!$B$51</f>
        <v/>
      </c>
      <c r="H182" s="633">
        <f>CCBASE!$I$12*B182/1000</f>
        <v/>
      </c>
      <c r="I182" s="633" t="n"/>
      <c r="J182" s="633" t="n"/>
      <c r="K182" s="633" t="n"/>
      <c r="L182" s="633">
        <f>CCBASE!$I$14*B182/1000</f>
        <v/>
      </c>
      <c r="M182" s="633" t="n"/>
      <c r="N182" s="633" t="n"/>
      <c r="O182" s="633">
        <f>CCBASE!$I$45*B182/1000</f>
        <v/>
      </c>
      <c r="P182" s="633" t="n"/>
      <c r="Q182" s="633">
        <f>CCBASE!$H$51</f>
        <v/>
      </c>
      <c r="R182" s="633">
        <f>CCBASE!$I$4</f>
        <v/>
      </c>
      <c r="S182" s="633">
        <f>CCBASE!$I$8</f>
        <v/>
      </c>
      <c r="T182" s="633">
        <f>CCBASE!$I$44</f>
        <v/>
      </c>
      <c r="U182" s="633" t="n"/>
      <c r="V182" s="633" t="n"/>
      <c r="W182" s="633">
        <f>CCBASE!$I$40*B182/1000</f>
        <v/>
      </c>
      <c r="X182" s="633" t="n"/>
      <c r="Y182" s="633" t="n"/>
      <c r="Z182" s="633" t="n"/>
      <c r="AA182" s="633" t="n"/>
      <c r="AB182" s="633" t="n"/>
      <c r="AC182" s="633" t="n"/>
      <c r="AD182" s="633">
        <f>CCBASE!$I$36*2</f>
        <v/>
      </c>
      <c r="AI182" s="635" t="n"/>
      <c r="AJ182" s="635" t="n"/>
      <c r="AK182" s="636" t="n"/>
      <c r="AL182" s="636" t="n"/>
      <c r="AM182" s="636" t="n"/>
      <c r="AN182" s="636" t="n"/>
      <c r="AO182" s="636" t="n"/>
      <c r="AP182" s="636" t="n"/>
      <c r="AQ182" s="636" t="n"/>
      <c r="AR182" s="636" t="n"/>
      <c r="AS182" s="636" t="n"/>
    </row>
    <row r="183">
      <c r="A183" s="631" t="inlineStr">
        <is>
          <t>KVI</t>
        </is>
      </c>
      <c r="B183" s="631" t="n">
        <v>1250</v>
      </c>
      <c r="C183" s="631" t="n">
        <v>1000</v>
      </c>
      <c r="D183" s="631">
        <f>A183&amp;B183&amp;C183</f>
        <v/>
      </c>
      <c r="E183" s="1040">
        <f>SUM(G183:AD183)</f>
        <v/>
      </c>
      <c r="F183" s="632" t="n">
        <v>20</v>
      </c>
      <c r="G183" s="633">
        <f>F183*CCBASE!$B$51</f>
        <v/>
      </c>
      <c r="H183" s="633">
        <f>CCBASE!$I$12*B183/1000</f>
        <v/>
      </c>
      <c r="I183" s="633" t="n"/>
      <c r="J183" s="633" t="n"/>
      <c r="K183" s="633" t="n"/>
      <c r="L183" s="633">
        <f>CCBASE!$I$14*B183/1000</f>
        <v/>
      </c>
      <c r="M183" s="633" t="n"/>
      <c r="N183" s="633" t="n"/>
      <c r="O183" s="633">
        <f>CCBASE!$I$45*B183/1000</f>
        <v/>
      </c>
      <c r="P183" s="633" t="n"/>
      <c r="Q183" s="633">
        <f>CCBASE!$H$51</f>
        <v/>
      </c>
      <c r="R183" s="633">
        <f>CCBASE!$I$4</f>
        <v/>
      </c>
      <c r="S183" s="633">
        <f>CCBASE!$I$8</f>
        <v/>
      </c>
      <c r="T183" s="633">
        <f>CCBASE!$I$44</f>
        <v/>
      </c>
      <c r="U183" s="633" t="n"/>
      <c r="V183" s="633" t="n"/>
      <c r="W183" s="633">
        <f>CCBASE!$I$40*B183/1000</f>
        <v/>
      </c>
      <c r="X183" s="633" t="n"/>
      <c r="Y183" s="633" t="n"/>
      <c r="Z183" s="633" t="n"/>
      <c r="AA183" s="633" t="n"/>
      <c r="AB183" s="633" t="n"/>
      <c r="AC183" s="633" t="n"/>
      <c r="AD183" s="633">
        <f>CCBASE!$I$36*2</f>
        <v/>
      </c>
      <c r="AJ183" s="639" t="n"/>
    </row>
    <row r="184">
      <c r="A184" s="631" t="inlineStr">
        <is>
          <t>KVI</t>
        </is>
      </c>
      <c r="B184" s="631" t="n">
        <v>1500</v>
      </c>
      <c r="C184" s="631" t="n">
        <v>1000</v>
      </c>
      <c r="D184" s="631">
        <f>A184&amp;B184&amp;C184</f>
        <v/>
      </c>
      <c r="E184" s="1040">
        <f>SUM(G184:AD184)</f>
        <v/>
      </c>
      <c r="F184" s="632" t="n">
        <v>20</v>
      </c>
      <c r="G184" s="633">
        <f>F184*CCBASE!$B$51</f>
        <v/>
      </c>
      <c r="H184" s="633">
        <f>CCBASE!$I$12*B184/1000</f>
        <v/>
      </c>
      <c r="I184" s="633" t="n"/>
      <c r="J184" s="633" t="n"/>
      <c r="K184" s="633" t="n"/>
      <c r="L184" s="633">
        <f>CCBASE!$I$14*B184/1000</f>
        <v/>
      </c>
      <c r="M184" s="633" t="n"/>
      <c r="N184" s="633" t="n"/>
      <c r="O184" s="633">
        <f>CCBASE!$I$45*B184/1000</f>
        <v/>
      </c>
      <c r="P184" s="633" t="n"/>
      <c r="Q184" s="633">
        <f>CCBASE!$H$51</f>
        <v/>
      </c>
      <c r="R184" s="633">
        <f>CCBASE!$I$4</f>
        <v/>
      </c>
      <c r="S184" s="633">
        <f>CCBASE!$I$8</f>
        <v/>
      </c>
      <c r="T184" s="633">
        <f>CCBASE!$I$44</f>
        <v/>
      </c>
      <c r="U184" s="633" t="n"/>
      <c r="V184" s="633" t="n"/>
      <c r="W184" s="633">
        <f>CCBASE!$I$40*B184/1000</f>
        <v/>
      </c>
      <c r="X184" s="633" t="n"/>
      <c r="Y184" s="633" t="n"/>
      <c r="Z184" s="633" t="n"/>
      <c r="AA184" s="633" t="n"/>
      <c r="AB184" s="633" t="n"/>
      <c r="AC184" s="633" t="n"/>
      <c r="AD184" s="633">
        <f>CCBASE!$I$36*2</f>
        <v/>
      </c>
      <c r="AJ184" s="639" t="n"/>
    </row>
    <row r="185">
      <c r="A185" s="631" t="inlineStr">
        <is>
          <t>KVI</t>
        </is>
      </c>
      <c r="B185" s="631" t="n">
        <v>1750</v>
      </c>
      <c r="C185" s="631" t="n">
        <v>1000</v>
      </c>
      <c r="D185" s="631">
        <f>A185&amp;B185&amp;C185</f>
        <v/>
      </c>
      <c r="E185" s="1040">
        <f>SUM(G185:AD185)</f>
        <v/>
      </c>
      <c r="F185" s="632" t="n">
        <v>20</v>
      </c>
      <c r="G185" s="633">
        <f>F185*CCBASE!$B$51</f>
        <v/>
      </c>
      <c r="H185" s="633">
        <f>CCBASE!$I$12*B185/1000</f>
        <v/>
      </c>
      <c r="I185" s="633" t="n"/>
      <c r="J185" s="633" t="n"/>
      <c r="K185" s="633" t="n"/>
      <c r="L185" s="633">
        <f>CCBASE!$I$14*B185/1000</f>
        <v/>
      </c>
      <c r="M185" s="633" t="n"/>
      <c r="N185" s="633" t="n"/>
      <c r="O185" s="633">
        <f>CCBASE!$I$45*B185/1000</f>
        <v/>
      </c>
      <c r="P185" s="633" t="n"/>
      <c r="Q185" s="633">
        <f>CCBASE!$H$51</f>
        <v/>
      </c>
      <c r="R185" s="633">
        <f>CCBASE!$I$4</f>
        <v/>
      </c>
      <c r="S185" s="633">
        <f>CCBASE!$I$8</f>
        <v/>
      </c>
      <c r="T185" s="633">
        <f>CCBASE!$I$44</f>
        <v/>
      </c>
      <c r="U185" s="633" t="n"/>
      <c r="V185" s="633" t="n"/>
      <c r="W185" s="633">
        <f>CCBASE!$I$40*B185/1000</f>
        <v/>
      </c>
      <c r="X185" s="633" t="n"/>
      <c r="Y185" s="633" t="n"/>
      <c r="Z185" s="633" t="n"/>
      <c r="AA185" s="633" t="n"/>
      <c r="AB185" s="633" t="n"/>
      <c r="AC185" s="633" t="n"/>
      <c r="AD185" s="633">
        <f>CCBASE!$I$36*2</f>
        <v/>
      </c>
    </row>
    <row r="186">
      <c r="A186" s="631" t="inlineStr">
        <is>
          <t>KVI</t>
        </is>
      </c>
      <c r="B186" s="631" t="n">
        <v>2000</v>
      </c>
      <c r="C186" s="631" t="n">
        <v>1000</v>
      </c>
      <c r="D186" s="631">
        <f>A186&amp;B186&amp;C186</f>
        <v/>
      </c>
      <c r="E186" s="1040">
        <f>SUM(G186:AD186)</f>
        <v/>
      </c>
      <c r="F186" s="632" t="n">
        <v>20</v>
      </c>
      <c r="G186" s="633">
        <f>F186*CCBASE!$B$51</f>
        <v/>
      </c>
      <c r="H186" s="633">
        <f>CCBASE!$I$12*B186/1000</f>
        <v/>
      </c>
      <c r="I186" s="633" t="n"/>
      <c r="J186" s="633" t="n"/>
      <c r="K186" s="633" t="n"/>
      <c r="L186" s="633">
        <f>CCBASE!$I$14*B186/1000</f>
        <v/>
      </c>
      <c r="M186" s="633" t="n"/>
      <c r="N186" s="633" t="n"/>
      <c r="O186" s="633">
        <f>CCBASE!$I$45*B186/1000</f>
        <v/>
      </c>
      <c r="P186" s="633" t="n"/>
      <c r="Q186" s="633">
        <f>CCBASE!$H$51</f>
        <v/>
      </c>
      <c r="R186" s="633">
        <f>CCBASE!$I$4</f>
        <v/>
      </c>
      <c r="S186" s="633">
        <f>CCBASE!$I$8</f>
        <v/>
      </c>
      <c r="T186" s="633">
        <f>CCBASE!$I$44</f>
        <v/>
      </c>
      <c r="U186" s="633" t="n"/>
      <c r="V186" s="633" t="n"/>
      <c r="W186" s="633">
        <f>CCBASE!$I$40*B186/1000</f>
        <v/>
      </c>
      <c r="X186" s="633" t="n"/>
      <c r="Y186" s="633" t="n"/>
      <c r="Z186" s="633" t="n"/>
      <c r="AA186" s="633" t="n"/>
      <c r="AB186" s="633" t="n"/>
      <c r="AC186" s="633" t="n"/>
      <c r="AD186" s="633">
        <f>CCBASE!$I$36*2</f>
        <v/>
      </c>
    </row>
    <row r="187">
      <c r="A187" s="631" t="inlineStr">
        <is>
          <t>KVI</t>
        </is>
      </c>
      <c r="B187" s="631" t="n">
        <v>2250</v>
      </c>
      <c r="C187" s="631" t="n">
        <v>1000</v>
      </c>
      <c r="D187" s="631">
        <f>A187&amp;B187&amp;C187</f>
        <v/>
      </c>
      <c r="E187" s="1040">
        <f>SUM(G187:AD187)</f>
        <v/>
      </c>
      <c r="F187" s="632" t="n">
        <v>21</v>
      </c>
      <c r="G187" s="633">
        <f>F187*CCBASE!$B$51</f>
        <v/>
      </c>
      <c r="H187" s="633">
        <f>CCBASE!$I$12*B187/1000</f>
        <v/>
      </c>
      <c r="I187" s="633" t="n"/>
      <c r="J187" s="633" t="n"/>
      <c r="K187" s="633" t="n"/>
      <c r="L187" s="633">
        <f>CCBASE!$I$14*B187/1000</f>
        <v/>
      </c>
      <c r="M187" s="633" t="n"/>
      <c r="N187" s="633" t="n"/>
      <c r="O187" s="633">
        <f>CCBASE!$I$45*B187/1000</f>
        <v/>
      </c>
      <c r="P187" s="633" t="n"/>
      <c r="Q187" s="633">
        <f>CCBASE!$H$51</f>
        <v/>
      </c>
      <c r="R187" s="633">
        <f>CCBASE!$I$4</f>
        <v/>
      </c>
      <c r="S187" s="633">
        <f>CCBASE!$I$8</f>
        <v/>
      </c>
      <c r="T187" s="633">
        <f>CCBASE!$I$44</f>
        <v/>
      </c>
      <c r="U187" s="633" t="n"/>
      <c r="V187" s="633" t="n"/>
      <c r="W187" s="633">
        <f>CCBASE!$I$40*B187/1000</f>
        <v/>
      </c>
      <c r="X187" s="633" t="n"/>
      <c r="Y187" s="633" t="n"/>
      <c r="Z187" s="633" t="n"/>
      <c r="AA187" s="633" t="n"/>
      <c r="AB187" s="633" t="n"/>
      <c r="AC187" s="633" t="n"/>
      <c r="AD187" s="633">
        <f>CCBASE!$I$36*2</f>
        <v/>
      </c>
    </row>
    <row r="188">
      <c r="A188" s="631" t="inlineStr">
        <is>
          <t>KVI</t>
        </is>
      </c>
      <c r="B188" s="631" t="n">
        <v>2500</v>
      </c>
      <c r="C188" s="631" t="n">
        <v>1000</v>
      </c>
      <c r="D188" s="631">
        <f>A188&amp;B188&amp;C188</f>
        <v/>
      </c>
      <c r="E188" s="1040">
        <f>SUM(G188:AD188)</f>
        <v/>
      </c>
      <c r="F188" s="632" t="n">
        <v>21</v>
      </c>
      <c r="G188" s="633">
        <f>F188*CCBASE!$B$51</f>
        <v/>
      </c>
      <c r="H188" s="633">
        <f>CCBASE!$I$12*B188/1000</f>
        <v/>
      </c>
      <c r="I188" s="633" t="n"/>
      <c r="J188" s="633" t="n"/>
      <c r="K188" s="633" t="n"/>
      <c r="L188" s="633">
        <f>CCBASE!$I$14*B188/1000</f>
        <v/>
      </c>
      <c r="M188" s="633" t="n"/>
      <c r="N188" s="633" t="n"/>
      <c r="O188" s="633">
        <f>CCBASE!$I$45*B188/1000</f>
        <v/>
      </c>
      <c r="P188" s="633" t="n"/>
      <c r="Q188" s="633">
        <f>CCBASE!$H$51</f>
        <v/>
      </c>
      <c r="R188" s="633">
        <f>CCBASE!$I$4</f>
        <v/>
      </c>
      <c r="S188" s="633">
        <f>CCBASE!$I$8</f>
        <v/>
      </c>
      <c r="T188" s="633">
        <f>CCBASE!$I$44</f>
        <v/>
      </c>
      <c r="U188" s="633" t="n"/>
      <c r="V188" s="633" t="n"/>
      <c r="W188" s="633">
        <f>CCBASE!$I$40*B188/1000</f>
        <v/>
      </c>
      <c r="X188" s="633" t="n"/>
      <c r="Y188" s="633" t="n"/>
      <c r="Z188" s="633" t="n"/>
      <c r="AA188" s="633" t="n"/>
      <c r="AB188" s="633" t="n"/>
      <c r="AC188" s="633" t="n"/>
      <c r="AD188" s="633">
        <f>CCBASE!$I$36*2</f>
        <v/>
      </c>
    </row>
    <row r="189">
      <c r="A189" s="631" t="inlineStr">
        <is>
          <t>KVI</t>
        </is>
      </c>
      <c r="B189" s="631" t="n">
        <v>2750</v>
      </c>
      <c r="C189" s="631" t="n">
        <v>1000</v>
      </c>
      <c r="D189" s="631">
        <f>A189&amp;B189&amp;C189</f>
        <v/>
      </c>
      <c r="E189" s="1040">
        <f>SUM(G189:AD189)</f>
        <v/>
      </c>
      <c r="F189" s="632" t="n">
        <v>21</v>
      </c>
      <c r="G189" s="633">
        <f>F189*CCBASE!$B$51</f>
        <v/>
      </c>
      <c r="H189" s="633">
        <f>CCBASE!$I$12*B189/1000</f>
        <v/>
      </c>
      <c r="I189" s="633" t="n"/>
      <c r="J189" s="633" t="n"/>
      <c r="K189" s="633" t="n"/>
      <c r="L189" s="633">
        <f>CCBASE!$I$14*B189/1000</f>
        <v/>
      </c>
      <c r="M189" s="633" t="n"/>
      <c r="N189" s="633" t="n"/>
      <c r="O189" s="633">
        <f>CCBASE!$I$45*B189/1000</f>
        <v/>
      </c>
      <c r="P189" s="633" t="n"/>
      <c r="Q189" s="633">
        <f>CCBASE!$H$51</f>
        <v/>
      </c>
      <c r="R189" s="633">
        <f>CCBASE!$I$4</f>
        <v/>
      </c>
      <c r="S189" s="633">
        <f>CCBASE!$I$8</f>
        <v/>
      </c>
      <c r="T189" s="633">
        <f>CCBASE!$I$44</f>
        <v/>
      </c>
      <c r="U189" s="633" t="n"/>
      <c r="V189" s="633" t="n"/>
      <c r="W189" s="633">
        <f>CCBASE!$I$40*B189/1000</f>
        <v/>
      </c>
      <c r="X189" s="633" t="n"/>
      <c r="Y189" s="633" t="n"/>
      <c r="Z189" s="633" t="n"/>
      <c r="AA189" s="633" t="n"/>
      <c r="AB189" s="633" t="n"/>
      <c r="AC189" s="633" t="n"/>
      <c r="AD189" s="633">
        <f>CCBASE!$I$36*2</f>
        <v/>
      </c>
    </row>
    <row r="190">
      <c r="A190" s="631" t="inlineStr">
        <is>
          <t>KVI</t>
        </is>
      </c>
      <c r="B190" s="631" t="n">
        <v>3000</v>
      </c>
      <c r="C190" s="631" t="n">
        <v>1000</v>
      </c>
      <c r="D190" s="631">
        <f>A190&amp;B190&amp;C190</f>
        <v/>
      </c>
      <c r="E190" s="1040">
        <f>SUM(G190:AD190)</f>
        <v/>
      </c>
      <c r="F190" s="632" t="n">
        <v>21</v>
      </c>
      <c r="G190" s="633">
        <f>F190*CCBASE!$B$51</f>
        <v/>
      </c>
      <c r="H190" s="633">
        <f>CCBASE!$I$12*B190/1000</f>
        <v/>
      </c>
      <c r="I190" s="633" t="n"/>
      <c r="J190" s="633" t="n"/>
      <c r="K190" s="633" t="n"/>
      <c r="L190" s="633">
        <f>CCBASE!$I$14*B190/1000</f>
        <v/>
      </c>
      <c r="M190" s="633" t="n"/>
      <c r="N190" s="633" t="n"/>
      <c r="O190" s="633">
        <f>CCBASE!$I$45*B190/1000</f>
        <v/>
      </c>
      <c r="P190" s="633" t="n"/>
      <c r="Q190" s="633">
        <f>CCBASE!$H$51</f>
        <v/>
      </c>
      <c r="R190" s="633">
        <f>CCBASE!$I$4</f>
        <v/>
      </c>
      <c r="S190" s="633">
        <f>CCBASE!$I$8</f>
        <v/>
      </c>
      <c r="T190" s="633">
        <f>CCBASE!$I$44</f>
        <v/>
      </c>
      <c r="U190" s="633" t="n"/>
      <c r="V190" s="633" t="n"/>
      <c r="W190" s="633">
        <f>CCBASE!$I$40*B190/1000</f>
        <v/>
      </c>
      <c r="X190" s="633" t="n"/>
      <c r="Y190" s="633" t="n"/>
      <c r="Z190" s="633" t="n"/>
      <c r="AA190" s="633" t="n"/>
      <c r="AB190" s="633" t="n"/>
      <c r="AC190" s="633" t="n"/>
      <c r="AD190" s="633">
        <f>CCBASE!$I$36*2</f>
        <v/>
      </c>
    </row>
    <row r="191">
      <c r="A191" s="631" t="inlineStr">
        <is>
          <t>KVI</t>
        </is>
      </c>
      <c r="B191" s="631" t="n">
        <v>1000</v>
      </c>
      <c r="C191" s="631" t="n">
        <v>1250</v>
      </c>
      <c r="D191" s="631">
        <f>A191&amp;B191&amp;C191</f>
        <v/>
      </c>
      <c r="E191" s="1040">
        <f>SUM(G191:AD191)</f>
        <v/>
      </c>
      <c r="F191" s="632" t="n">
        <v>20</v>
      </c>
      <c r="G191" s="633">
        <f>F191*CCBASE!$B$51</f>
        <v/>
      </c>
      <c r="H191" s="633">
        <f>CCBASE!$I$12*B191/1000</f>
        <v/>
      </c>
      <c r="I191" s="633" t="n"/>
      <c r="J191" s="633" t="n"/>
      <c r="K191" s="633" t="n"/>
      <c r="L191" s="633">
        <f>CCBASE!$I$14*B191/1000</f>
        <v/>
      </c>
      <c r="M191" s="633" t="n"/>
      <c r="N191" s="633" t="n"/>
      <c r="O191" s="633">
        <f>CCBASE!$I$45*B191/1000</f>
        <v/>
      </c>
      <c r="P191" s="633" t="n"/>
      <c r="Q191" s="633">
        <f>CCBASE!$H$51</f>
        <v/>
      </c>
      <c r="R191" s="633">
        <f>CCBASE!$I$4</f>
        <v/>
      </c>
      <c r="S191" s="633">
        <f>CCBASE!$I$8</f>
        <v/>
      </c>
      <c r="T191" s="633">
        <f>CCBASE!$I$44</f>
        <v/>
      </c>
      <c r="U191" s="633" t="n"/>
      <c r="V191" s="633" t="n"/>
      <c r="W191" s="633">
        <f>CCBASE!$I$40*B191/1000</f>
        <v/>
      </c>
      <c r="X191" s="633" t="n"/>
      <c r="Y191" s="633" t="n"/>
      <c r="Z191" s="633" t="n"/>
      <c r="AA191" s="633" t="n"/>
      <c r="AB191" s="633" t="n"/>
      <c r="AC191" s="633" t="n"/>
      <c r="AD191" s="633">
        <f>CCBASE!$I$36*2</f>
        <v/>
      </c>
    </row>
    <row r="192">
      <c r="A192" s="631" t="inlineStr">
        <is>
          <t>KVI</t>
        </is>
      </c>
      <c r="B192" s="631" t="n">
        <v>1250</v>
      </c>
      <c r="C192" s="631" t="n">
        <v>1250</v>
      </c>
      <c r="D192" s="631">
        <f>A192&amp;B192&amp;C192</f>
        <v/>
      </c>
      <c r="E192" s="1040">
        <f>SUM(G192:AD192)</f>
        <v/>
      </c>
      <c r="F192" s="632" t="n">
        <v>20</v>
      </c>
      <c r="G192" s="633">
        <f>F192*CCBASE!$B$51</f>
        <v/>
      </c>
      <c r="H192" s="633">
        <f>CCBASE!$I$12*B192/1000</f>
        <v/>
      </c>
      <c r="I192" s="633" t="n"/>
      <c r="J192" s="633" t="n"/>
      <c r="K192" s="633" t="n"/>
      <c r="L192" s="633">
        <f>CCBASE!$I$14*B192/1000</f>
        <v/>
      </c>
      <c r="M192" s="633" t="n"/>
      <c r="N192" s="633" t="n"/>
      <c r="O192" s="633">
        <f>CCBASE!$I$45*B192/1000</f>
        <v/>
      </c>
      <c r="P192" s="633" t="n"/>
      <c r="Q192" s="633">
        <f>CCBASE!$H$51</f>
        <v/>
      </c>
      <c r="R192" s="633">
        <f>CCBASE!$I$4</f>
        <v/>
      </c>
      <c r="S192" s="633">
        <f>CCBASE!$I$8</f>
        <v/>
      </c>
      <c r="T192" s="633">
        <f>CCBASE!$I$44</f>
        <v/>
      </c>
      <c r="U192" s="633" t="n"/>
      <c r="V192" s="633" t="n"/>
      <c r="W192" s="633">
        <f>CCBASE!$I$40*B192/1000</f>
        <v/>
      </c>
      <c r="X192" s="633" t="n"/>
      <c r="Y192" s="633" t="n"/>
      <c r="Z192" s="633" t="n"/>
      <c r="AA192" s="633" t="n"/>
      <c r="AB192" s="633" t="n"/>
      <c r="AC192" s="633" t="n"/>
      <c r="AD192" s="633">
        <f>CCBASE!$I$36*2</f>
        <v/>
      </c>
    </row>
    <row r="193">
      <c r="A193" s="631" t="inlineStr">
        <is>
          <t>KVI</t>
        </is>
      </c>
      <c r="B193" s="631" t="n">
        <v>1500</v>
      </c>
      <c r="C193" s="631" t="n">
        <v>1250</v>
      </c>
      <c r="D193" s="631">
        <f>A193&amp;B193&amp;C193</f>
        <v/>
      </c>
      <c r="E193" s="1040">
        <f>SUM(G193:AD193)</f>
        <v/>
      </c>
      <c r="F193" s="632" t="n">
        <v>20</v>
      </c>
      <c r="G193" s="633">
        <f>F193*CCBASE!$B$51</f>
        <v/>
      </c>
      <c r="H193" s="633">
        <f>CCBASE!$I$12*B193/1000</f>
        <v/>
      </c>
      <c r="I193" s="633" t="n"/>
      <c r="J193" s="633" t="n"/>
      <c r="K193" s="633" t="n"/>
      <c r="L193" s="633">
        <f>CCBASE!$I$14*B193/1000</f>
        <v/>
      </c>
      <c r="M193" s="633" t="n"/>
      <c r="N193" s="633" t="n"/>
      <c r="O193" s="633">
        <f>CCBASE!$I$45*B193/1000</f>
        <v/>
      </c>
      <c r="P193" s="633" t="n"/>
      <c r="Q193" s="633">
        <f>CCBASE!$H$51</f>
        <v/>
      </c>
      <c r="R193" s="633">
        <f>CCBASE!$I$4</f>
        <v/>
      </c>
      <c r="S193" s="633">
        <f>CCBASE!$I$8</f>
        <v/>
      </c>
      <c r="T193" s="633">
        <f>CCBASE!$I$44</f>
        <v/>
      </c>
      <c r="U193" s="633" t="n"/>
      <c r="V193" s="633" t="n"/>
      <c r="W193" s="633">
        <f>CCBASE!$I$40*B193/1000</f>
        <v/>
      </c>
      <c r="X193" s="633" t="n"/>
      <c r="Y193" s="633" t="n"/>
      <c r="Z193" s="633" t="n"/>
      <c r="AA193" s="633" t="n"/>
      <c r="AB193" s="633" t="n"/>
      <c r="AC193" s="633" t="n"/>
      <c r="AD193" s="633">
        <f>CCBASE!$I$36*2</f>
        <v/>
      </c>
    </row>
    <row r="194">
      <c r="A194" s="631" t="inlineStr">
        <is>
          <t>KVI</t>
        </is>
      </c>
      <c r="B194" s="631" t="n">
        <v>1750</v>
      </c>
      <c r="C194" s="631" t="n">
        <v>1250</v>
      </c>
      <c r="D194" s="631">
        <f>A194&amp;B194&amp;C194</f>
        <v/>
      </c>
      <c r="E194" s="1040">
        <f>SUM(G194:AD194)</f>
        <v/>
      </c>
      <c r="F194" s="632" t="n">
        <v>20</v>
      </c>
      <c r="G194" s="633">
        <f>F194*CCBASE!$B$51</f>
        <v/>
      </c>
      <c r="H194" s="633">
        <f>CCBASE!$I$12*B194/1000</f>
        <v/>
      </c>
      <c r="I194" s="633" t="n"/>
      <c r="J194" s="633" t="n"/>
      <c r="K194" s="633" t="n"/>
      <c r="L194" s="633">
        <f>CCBASE!$I$14*B194/1000</f>
        <v/>
      </c>
      <c r="M194" s="633" t="n"/>
      <c r="N194" s="633" t="n"/>
      <c r="O194" s="633">
        <f>CCBASE!$I$45*B194/1000</f>
        <v/>
      </c>
      <c r="P194" s="633" t="n"/>
      <c r="Q194" s="633">
        <f>CCBASE!$H$51</f>
        <v/>
      </c>
      <c r="R194" s="633">
        <f>CCBASE!$I$4</f>
        <v/>
      </c>
      <c r="S194" s="633">
        <f>CCBASE!$I$8</f>
        <v/>
      </c>
      <c r="T194" s="633">
        <f>CCBASE!$I$44</f>
        <v/>
      </c>
      <c r="U194" s="633" t="n"/>
      <c r="V194" s="633" t="n"/>
      <c r="W194" s="633">
        <f>CCBASE!$I$40*B194/1000</f>
        <v/>
      </c>
      <c r="X194" s="633" t="n"/>
      <c r="Y194" s="633" t="n"/>
      <c r="Z194" s="633" t="n"/>
      <c r="AA194" s="633" t="n"/>
      <c r="AB194" s="633" t="n"/>
      <c r="AC194" s="633" t="n"/>
      <c r="AD194" s="633">
        <f>CCBASE!$I$36*2</f>
        <v/>
      </c>
    </row>
    <row r="195">
      <c r="A195" s="631" t="inlineStr">
        <is>
          <t>KVI</t>
        </is>
      </c>
      <c r="B195" s="631" t="n">
        <v>2000</v>
      </c>
      <c r="C195" s="631" t="n">
        <v>1250</v>
      </c>
      <c r="D195" s="631">
        <f>A195&amp;B195&amp;C195</f>
        <v/>
      </c>
      <c r="E195" s="1040">
        <f>SUM(G195:AD195)</f>
        <v/>
      </c>
      <c r="F195" s="632" t="n">
        <v>20</v>
      </c>
      <c r="G195" s="633">
        <f>F195*CCBASE!$B$51</f>
        <v/>
      </c>
      <c r="H195" s="633">
        <f>CCBASE!$I$12*B195/1000</f>
        <v/>
      </c>
      <c r="I195" s="633" t="n"/>
      <c r="J195" s="633" t="n"/>
      <c r="K195" s="633" t="n"/>
      <c r="L195" s="633">
        <f>CCBASE!$I$14*B195/1000</f>
        <v/>
      </c>
      <c r="M195" s="633" t="n"/>
      <c r="N195" s="633" t="n"/>
      <c r="O195" s="633">
        <f>CCBASE!$I$45*B195/1000</f>
        <v/>
      </c>
      <c r="P195" s="633" t="n"/>
      <c r="Q195" s="633">
        <f>CCBASE!$H$51</f>
        <v/>
      </c>
      <c r="R195" s="633">
        <f>CCBASE!$I$4</f>
        <v/>
      </c>
      <c r="S195" s="633">
        <f>CCBASE!$I$8</f>
        <v/>
      </c>
      <c r="T195" s="633">
        <f>CCBASE!$I$44</f>
        <v/>
      </c>
      <c r="U195" s="633" t="n"/>
      <c r="V195" s="633" t="n"/>
      <c r="W195" s="633">
        <f>CCBASE!$I$40*B195/1000</f>
        <v/>
      </c>
      <c r="X195" s="633" t="n"/>
      <c r="Y195" s="633" t="n"/>
      <c r="Z195" s="633" t="n"/>
      <c r="AA195" s="633" t="n"/>
      <c r="AB195" s="633" t="n"/>
      <c r="AC195" s="633" t="n"/>
      <c r="AD195" s="633">
        <f>CCBASE!$I$36*2</f>
        <v/>
      </c>
    </row>
    <row r="196">
      <c r="A196" s="631" t="inlineStr">
        <is>
          <t>KVI</t>
        </is>
      </c>
      <c r="B196" s="631" t="n">
        <v>2250</v>
      </c>
      <c r="C196" s="631" t="n">
        <v>1250</v>
      </c>
      <c r="D196" s="631">
        <f>A196&amp;B196&amp;C196</f>
        <v/>
      </c>
      <c r="E196" s="1040">
        <f>SUM(G196:AD196)</f>
        <v/>
      </c>
      <c r="F196" s="632" t="n">
        <v>21</v>
      </c>
      <c r="G196" s="633">
        <f>F196*CCBASE!$B$51</f>
        <v/>
      </c>
      <c r="H196" s="633">
        <f>CCBASE!$I$12*B196/1000</f>
        <v/>
      </c>
      <c r="I196" s="633" t="n"/>
      <c r="J196" s="633" t="n"/>
      <c r="K196" s="633" t="n"/>
      <c r="L196" s="633">
        <f>CCBASE!$I$14*B196/1000</f>
        <v/>
      </c>
      <c r="M196" s="633" t="n"/>
      <c r="N196" s="633" t="n"/>
      <c r="O196" s="633">
        <f>CCBASE!$I$45*B196/1000</f>
        <v/>
      </c>
      <c r="P196" s="633" t="n"/>
      <c r="Q196" s="633">
        <f>CCBASE!$H$51</f>
        <v/>
      </c>
      <c r="R196" s="633">
        <f>CCBASE!$I$4</f>
        <v/>
      </c>
      <c r="S196" s="633">
        <f>CCBASE!$I$8</f>
        <v/>
      </c>
      <c r="T196" s="633">
        <f>CCBASE!$I$44</f>
        <v/>
      </c>
      <c r="U196" s="633" t="n"/>
      <c r="V196" s="633" t="n"/>
      <c r="W196" s="633">
        <f>CCBASE!$I$40*B196/1000</f>
        <v/>
      </c>
      <c r="X196" s="633" t="n"/>
      <c r="Y196" s="633" t="n"/>
      <c r="Z196" s="633" t="n"/>
      <c r="AA196" s="633" t="n"/>
      <c r="AB196" s="633" t="n"/>
      <c r="AC196" s="633" t="n"/>
      <c r="AD196" s="633">
        <f>CCBASE!$I$36*2</f>
        <v/>
      </c>
    </row>
    <row r="197">
      <c r="A197" s="631" t="inlineStr">
        <is>
          <t>KVI</t>
        </is>
      </c>
      <c r="B197" s="631" t="n">
        <v>2500</v>
      </c>
      <c r="C197" s="631" t="n">
        <v>1250</v>
      </c>
      <c r="D197" s="631">
        <f>A197&amp;B197&amp;C197</f>
        <v/>
      </c>
      <c r="E197" s="1040">
        <f>SUM(G197:AD197)</f>
        <v/>
      </c>
      <c r="F197" s="632" t="n">
        <v>21</v>
      </c>
      <c r="G197" s="633">
        <f>F197*CCBASE!$B$51</f>
        <v/>
      </c>
      <c r="H197" s="633">
        <f>CCBASE!$I$12*B197/1000</f>
        <v/>
      </c>
      <c r="I197" s="633" t="n"/>
      <c r="J197" s="633" t="n"/>
      <c r="K197" s="633" t="n"/>
      <c r="L197" s="633">
        <f>CCBASE!$I$14*B197/1000</f>
        <v/>
      </c>
      <c r="M197" s="633" t="n"/>
      <c r="N197" s="633" t="n"/>
      <c r="O197" s="633">
        <f>CCBASE!$I$45*B197/1000</f>
        <v/>
      </c>
      <c r="P197" s="633" t="n"/>
      <c r="Q197" s="633">
        <f>CCBASE!$H$51</f>
        <v/>
      </c>
      <c r="R197" s="633">
        <f>CCBASE!$I$4</f>
        <v/>
      </c>
      <c r="S197" s="633">
        <f>CCBASE!$I$8</f>
        <v/>
      </c>
      <c r="T197" s="633">
        <f>CCBASE!$I$44</f>
        <v/>
      </c>
      <c r="U197" s="633" t="n"/>
      <c r="V197" s="633" t="n"/>
      <c r="W197" s="633">
        <f>CCBASE!$I$40*B197/1000</f>
        <v/>
      </c>
      <c r="X197" s="633" t="n"/>
      <c r="Y197" s="633" t="n"/>
      <c r="Z197" s="633" t="n"/>
      <c r="AA197" s="633" t="n"/>
      <c r="AB197" s="633" t="n"/>
      <c r="AC197" s="633" t="n"/>
      <c r="AD197" s="633">
        <f>CCBASE!$I$36*2</f>
        <v/>
      </c>
    </row>
    <row r="198">
      <c r="A198" s="631" t="inlineStr">
        <is>
          <t>KVI</t>
        </is>
      </c>
      <c r="B198" s="631" t="n">
        <v>2750</v>
      </c>
      <c r="C198" s="631" t="n">
        <v>1250</v>
      </c>
      <c r="D198" s="631">
        <f>A198&amp;B198&amp;C198</f>
        <v/>
      </c>
      <c r="E198" s="1040">
        <f>SUM(G198:AD198)</f>
        <v/>
      </c>
      <c r="F198" s="632" t="n">
        <v>21</v>
      </c>
      <c r="G198" s="633">
        <f>F198*CCBASE!$B$51</f>
        <v/>
      </c>
      <c r="H198" s="633">
        <f>CCBASE!$I$12*B198/1000</f>
        <v/>
      </c>
      <c r="I198" s="633" t="n"/>
      <c r="J198" s="633" t="n"/>
      <c r="K198" s="633" t="n"/>
      <c r="L198" s="633">
        <f>CCBASE!$I$14*B198/1000</f>
        <v/>
      </c>
      <c r="M198" s="633" t="n"/>
      <c r="N198" s="633" t="n"/>
      <c r="O198" s="633">
        <f>CCBASE!$I$45*B198/1000</f>
        <v/>
      </c>
      <c r="P198" s="633" t="n"/>
      <c r="Q198" s="633">
        <f>CCBASE!$H$51</f>
        <v/>
      </c>
      <c r="R198" s="633">
        <f>CCBASE!$I$4</f>
        <v/>
      </c>
      <c r="S198" s="633">
        <f>CCBASE!$I$8</f>
        <v/>
      </c>
      <c r="T198" s="633">
        <f>CCBASE!$I$44</f>
        <v/>
      </c>
      <c r="U198" s="633" t="n"/>
      <c r="V198" s="633" t="n"/>
      <c r="W198" s="633">
        <f>CCBASE!$I$40*B198/1000</f>
        <v/>
      </c>
      <c r="X198" s="633" t="n"/>
      <c r="Y198" s="633" t="n"/>
      <c r="Z198" s="633" t="n"/>
      <c r="AA198" s="633" t="n"/>
      <c r="AB198" s="633" t="n"/>
      <c r="AC198" s="633" t="n"/>
      <c r="AD198" s="633">
        <f>CCBASE!$I$36*2</f>
        <v/>
      </c>
    </row>
    <row r="199">
      <c r="A199" s="631" t="inlineStr">
        <is>
          <t>KVI</t>
        </is>
      </c>
      <c r="B199" s="631" t="n">
        <v>3000</v>
      </c>
      <c r="C199" s="631" t="n">
        <v>1250</v>
      </c>
      <c r="D199" s="631">
        <f>A199&amp;B199&amp;C199</f>
        <v/>
      </c>
      <c r="E199" s="1040">
        <f>SUM(G199:AD199)</f>
        <v/>
      </c>
      <c r="F199" s="632" t="n">
        <v>21</v>
      </c>
      <c r="G199" s="633">
        <f>F199*CCBASE!$B$51</f>
        <v/>
      </c>
      <c r="H199" s="633">
        <f>CCBASE!$I$12*B199/1000</f>
        <v/>
      </c>
      <c r="I199" s="633" t="n"/>
      <c r="J199" s="633" t="n"/>
      <c r="K199" s="633" t="n"/>
      <c r="L199" s="633">
        <f>CCBASE!$I$14*B199/1000</f>
        <v/>
      </c>
      <c r="M199" s="633" t="n"/>
      <c r="N199" s="633" t="n"/>
      <c r="O199" s="633">
        <f>CCBASE!$I$45*B199/1000</f>
        <v/>
      </c>
      <c r="P199" s="633" t="n"/>
      <c r="Q199" s="633">
        <f>CCBASE!$H$51</f>
        <v/>
      </c>
      <c r="R199" s="633">
        <f>CCBASE!$I$4</f>
        <v/>
      </c>
      <c r="S199" s="633">
        <f>CCBASE!$I$8</f>
        <v/>
      </c>
      <c r="T199" s="633">
        <f>CCBASE!$I$44</f>
        <v/>
      </c>
      <c r="U199" s="633" t="n"/>
      <c r="V199" s="633" t="n"/>
      <c r="W199" s="633">
        <f>CCBASE!$I$40*B199/1000</f>
        <v/>
      </c>
      <c r="X199" s="633" t="n"/>
      <c r="Y199" s="633" t="n"/>
      <c r="Z199" s="633" t="n"/>
      <c r="AA199" s="633" t="n"/>
      <c r="AB199" s="633" t="n"/>
      <c r="AC199" s="633" t="n"/>
      <c r="AD199" s="633">
        <f>CCBASE!$I$36*2</f>
        <v/>
      </c>
    </row>
    <row r="200">
      <c r="A200" s="631" t="inlineStr">
        <is>
          <t>KVI</t>
        </is>
      </c>
      <c r="B200" s="631" t="n">
        <v>1000</v>
      </c>
      <c r="C200" s="631" t="n">
        <v>1500</v>
      </c>
      <c r="D200" s="631">
        <f>A200&amp;B200&amp;C200</f>
        <v/>
      </c>
      <c r="E200" s="1040">
        <f>SUM(G200:AD200)</f>
        <v/>
      </c>
      <c r="F200" s="632" t="n">
        <v>20</v>
      </c>
      <c r="G200" s="633">
        <f>F200*CCBASE!$B$51</f>
        <v/>
      </c>
      <c r="H200" s="633">
        <f>CCBASE!$I$12*B200/1000</f>
        <v/>
      </c>
      <c r="I200" s="633" t="n"/>
      <c r="J200" s="633" t="n"/>
      <c r="K200" s="633" t="n"/>
      <c r="L200" s="633">
        <f>CCBASE!$I$14*B200/1000</f>
        <v/>
      </c>
      <c r="M200" s="633" t="n"/>
      <c r="N200" s="633" t="n"/>
      <c r="O200" s="633">
        <f>CCBASE!$I$45*B200/1000</f>
        <v/>
      </c>
      <c r="P200" s="633" t="n"/>
      <c r="Q200" s="633">
        <f>CCBASE!$H$51</f>
        <v/>
      </c>
      <c r="R200" s="633">
        <f>CCBASE!$I$4</f>
        <v/>
      </c>
      <c r="S200" s="633">
        <f>CCBASE!$I$8</f>
        <v/>
      </c>
      <c r="T200" s="633">
        <f>CCBASE!$I$44</f>
        <v/>
      </c>
      <c r="U200" s="633" t="n"/>
      <c r="V200" s="633" t="n"/>
      <c r="W200" s="633">
        <f>CCBASE!$I$41*B200/1000</f>
        <v/>
      </c>
      <c r="X200" s="633" t="n"/>
      <c r="Y200" s="633" t="n"/>
      <c r="Z200" s="633" t="n"/>
      <c r="AA200" s="633" t="n"/>
      <c r="AB200" s="633" t="n"/>
      <c r="AC200" s="633" t="n"/>
      <c r="AD200" s="633">
        <f>CCBASE!$I$37*2</f>
        <v/>
      </c>
    </row>
    <row r="201">
      <c r="A201" s="631" t="inlineStr">
        <is>
          <t>KVI</t>
        </is>
      </c>
      <c r="B201" s="631" t="n">
        <v>1250</v>
      </c>
      <c r="C201" s="631" t="n">
        <v>1500</v>
      </c>
      <c r="D201" s="631">
        <f>A201&amp;B201&amp;C201</f>
        <v/>
      </c>
      <c r="E201" s="1040">
        <f>SUM(G201:AD201)</f>
        <v/>
      </c>
      <c r="F201" s="632" t="n">
        <v>20</v>
      </c>
      <c r="G201" s="633">
        <f>F201*CCBASE!$B$51</f>
        <v/>
      </c>
      <c r="H201" s="633">
        <f>CCBASE!$I$12*B201/1000</f>
        <v/>
      </c>
      <c r="I201" s="633" t="n"/>
      <c r="J201" s="633" t="n"/>
      <c r="K201" s="633" t="n"/>
      <c r="L201" s="633">
        <f>CCBASE!$I$14*B201/1000</f>
        <v/>
      </c>
      <c r="M201" s="633" t="n"/>
      <c r="N201" s="633" t="n"/>
      <c r="O201" s="633">
        <f>CCBASE!$I$45*B201/1000</f>
        <v/>
      </c>
      <c r="P201" s="633" t="n"/>
      <c r="Q201" s="633">
        <f>CCBASE!$H$51</f>
        <v/>
      </c>
      <c r="R201" s="633">
        <f>CCBASE!$I$4</f>
        <v/>
      </c>
      <c r="S201" s="633">
        <f>CCBASE!$I$8</f>
        <v/>
      </c>
      <c r="T201" s="633">
        <f>CCBASE!$I$44</f>
        <v/>
      </c>
      <c r="U201" s="633" t="n"/>
      <c r="V201" s="633" t="n"/>
      <c r="W201" s="633">
        <f>CCBASE!$I$41*B201/1000</f>
        <v/>
      </c>
      <c r="X201" s="633" t="n"/>
      <c r="Y201" s="633" t="n"/>
      <c r="Z201" s="633" t="n"/>
      <c r="AA201" s="633" t="n"/>
      <c r="AB201" s="633" t="n"/>
      <c r="AC201" s="633" t="n"/>
      <c r="AD201" s="633">
        <f>CCBASE!$I$37*2</f>
        <v/>
      </c>
    </row>
    <row r="202">
      <c r="A202" s="631" t="inlineStr">
        <is>
          <t>KVI</t>
        </is>
      </c>
      <c r="B202" s="631" t="n">
        <v>1500</v>
      </c>
      <c r="C202" s="631" t="n">
        <v>1500</v>
      </c>
      <c r="D202" s="631">
        <f>A202&amp;B202&amp;C202</f>
        <v/>
      </c>
      <c r="E202" s="1040">
        <f>SUM(G202:AD202)</f>
        <v/>
      </c>
      <c r="F202" s="632" t="n">
        <v>20</v>
      </c>
      <c r="G202" s="633">
        <f>F202*CCBASE!$B$51</f>
        <v/>
      </c>
      <c r="H202" s="633">
        <f>CCBASE!$I$12*B202/1000</f>
        <v/>
      </c>
      <c r="I202" s="633" t="n"/>
      <c r="J202" s="633" t="n"/>
      <c r="K202" s="633" t="n"/>
      <c r="L202" s="633">
        <f>CCBASE!$I$14*B202/1000</f>
        <v/>
      </c>
      <c r="M202" s="633" t="n"/>
      <c r="N202" s="633" t="n"/>
      <c r="O202" s="633">
        <f>CCBASE!$I$45*B202/1000</f>
        <v/>
      </c>
      <c r="P202" s="633" t="n"/>
      <c r="Q202" s="633">
        <f>CCBASE!$H$51</f>
        <v/>
      </c>
      <c r="R202" s="633">
        <f>CCBASE!$I$4</f>
        <v/>
      </c>
      <c r="S202" s="633">
        <f>CCBASE!$I$8</f>
        <v/>
      </c>
      <c r="T202" s="633">
        <f>CCBASE!$I$44</f>
        <v/>
      </c>
      <c r="U202" s="633" t="n"/>
      <c r="V202" s="633" t="n"/>
      <c r="W202" s="633">
        <f>CCBASE!$I$41*B202/1000</f>
        <v/>
      </c>
      <c r="X202" s="633" t="n"/>
      <c r="Y202" s="633" t="n"/>
      <c r="Z202" s="633" t="n"/>
      <c r="AA202" s="633" t="n"/>
      <c r="AB202" s="633" t="n"/>
      <c r="AC202" s="633" t="n"/>
      <c r="AD202" s="633">
        <f>CCBASE!$I$37*2</f>
        <v/>
      </c>
    </row>
    <row r="203">
      <c r="A203" s="631" t="inlineStr">
        <is>
          <t>KVI</t>
        </is>
      </c>
      <c r="B203" s="631" t="n">
        <v>1750</v>
      </c>
      <c r="C203" s="631" t="n">
        <v>1500</v>
      </c>
      <c r="D203" s="631">
        <f>A203&amp;B203&amp;C203</f>
        <v/>
      </c>
      <c r="E203" s="1040">
        <f>SUM(G203:AD203)</f>
        <v/>
      </c>
      <c r="F203" s="632" t="n">
        <v>20</v>
      </c>
      <c r="G203" s="633">
        <f>F203*CCBASE!$B$51</f>
        <v/>
      </c>
      <c r="H203" s="633">
        <f>CCBASE!$I$12*B203/1000</f>
        <v/>
      </c>
      <c r="I203" s="633" t="n"/>
      <c r="J203" s="633" t="n"/>
      <c r="K203" s="633" t="n"/>
      <c r="L203" s="633">
        <f>CCBASE!$I$14*B203/1000</f>
        <v/>
      </c>
      <c r="M203" s="633" t="n"/>
      <c r="N203" s="633" t="n"/>
      <c r="O203" s="633">
        <f>CCBASE!$I$45*B203/1000</f>
        <v/>
      </c>
      <c r="P203" s="633" t="n"/>
      <c r="Q203" s="633">
        <f>CCBASE!$H$51</f>
        <v/>
      </c>
      <c r="R203" s="633">
        <f>CCBASE!$I$4</f>
        <v/>
      </c>
      <c r="S203" s="633">
        <f>CCBASE!$I$8</f>
        <v/>
      </c>
      <c r="T203" s="633">
        <f>CCBASE!$I$44</f>
        <v/>
      </c>
      <c r="U203" s="633" t="n"/>
      <c r="V203" s="633" t="n"/>
      <c r="W203" s="633">
        <f>CCBASE!$I$41*B203/1000</f>
        <v/>
      </c>
      <c r="X203" s="633" t="n"/>
      <c r="Y203" s="633" t="n"/>
      <c r="Z203" s="633" t="n"/>
      <c r="AA203" s="633" t="n"/>
      <c r="AB203" s="633" t="n"/>
      <c r="AC203" s="633" t="n"/>
      <c r="AD203" s="633">
        <f>CCBASE!$I$37*2</f>
        <v/>
      </c>
    </row>
    <row r="204">
      <c r="A204" s="631" t="inlineStr">
        <is>
          <t>KVI</t>
        </is>
      </c>
      <c r="B204" s="631" t="n">
        <v>2000</v>
      </c>
      <c r="C204" s="631" t="n">
        <v>1500</v>
      </c>
      <c r="D204" s="631">
        <f>A204&amp;B204&amp;C204</f>
        <v/>
      </c>
      <c r="E204" s="1040">
        <f>SUM(G204:AD204)</f>
        <v/>
      </c>
      <c r="F204" s="632" t="n">
        <v>20</v>
      </c>
      <c r="G204" s="633">
        <f>F204*CCBASE!$B$51</f>
        <v/>
      </c>
      <c r="H204" s="633">
        <f>CCBASE!$I$12*B204/1000</f>
        <v/>
      </c>
      <c r="I204" s="633" t="n"/>
      <c r="J204" s="633" t="n"/>
      <c r="K204" s="633" t="n"/>
      <c r="L204" s="633">
        <f>CCBASE!$I$14*B204/1000</f>
        <v/>
      </c>
      <c r="M204" s="633" t="n"/>
      <c r="N204" s="633" t="n"/>
      <c r="O204" s="633">
        <f>CCBASE!$I$45*B204/1000</f>
        <v/>
      </c>
      <c r="P204" s="633" t="n"/>
      <c r="Q204" s="633">
        <f>CCBASE!$H$51</f>
        <v/>
      </c>
      <c r="R204" s="633">
        <f>CCBASE!$I$4</f>
        <v/>
      </c>
      <c r="S204" s="633">
        <f>CCBASE!$I$8</f>
        <v/>
      </c>
      <c r="T204" s="633">
        <f>CCBASE!$I$44</f>
        <v/>
      </c>
      <c r="U204" s="633" t="n"/>
      <c r="V204" s="633" t="n"/>
      <c r="W204" s="633">
        <f>CCBASE!$I$41*B204/1000</f>
        <v/>
      </c>
      <c r="X204" s="633" t="n"/>
      <c r="Y204" s="633" t="n"/>
      <c r="Z204" s="633" t="n"/>
      <c r="AA204" s="633" t="n"/>
      <c r="AB204" s="633" t="n"/>
      <c r="AC204" s="633" t="n"/>
      <c r="AD204" s="633">
        <f>CCBASE!$I$37*2</f>
        <v/>
      </c>
    </row>
    <row r="205">
      <c r="A205" s="631" t="inlineStr">
        <is>
          <t>KVI</t>
        </is>
      </c>
      <c r="B205" s="631" t="n">
        <v>2250</v>
      </c>
      <c r="C205" s="631" t="n">
        <v>1500</v>
      </c>
      <c r="D205" s="631">
        <f>A205&amp;B205&amp;C205</f>
        <v/>
      </c>
      <c r="E205" s="1040">
        <f>SUM(G205:AD205)</f>
        <v/>
      </c>
      <c r="F205" s="632" t="n">
        <v>21</v>
      </c>
      <c r="G205" s="633">
        <f>F205*CCBASE!$B$51</f>
        <v/>
      </c>
      <c r="H205" s="633">
        <f>CCBASE!$I$12*B205/1000</f>
        <v/>
      </c>
      <c r="I205" s="633" t="n"/>
      <c r="J205" s="633" t="n"/>
      <c r="K205" s="633" t="n"/>
      <c r="L205" s="633">
        <f>CCBASE!$I$14*B205/1000</f>
        <v/>
      </c>
      <c r="M205" s="633" t="n"/>
      <c r="N205" s="633" t="n"/>
      <c r="O205" s="633">
        <f>CCBASE!$I$45*B205/1000</f>
        <v/>
      </c>
      <c r="P205" s="633" t="n"/>
      <c r="Q205" s="633">
        <f>CCBASE!$H$51</f>
        <v/>
      </c>
      <c r="R205" s="633">
        <f>CCBASE!$I$4</f>
        <v/>
      </c>
      <c r="S205" s="633">
        <f>CCBASE!$I$8</f>
        <v/>
      </c>
      <c r="T205" s="633">
        <f>CCBASE!$I$44</f>
        <v/>
      </c>
      <c r="U205" s="633" t="n"/>
      <c r="V205" s="633" t="n"/>
      <c r="W205" s="633">
        <f>CCBASE!$I$41*B205/1000</f>
        <v/>
      </c>
      <c r="X205" s="633" t="n"/>
      <c r="Y205" s="633" t="n"/>
      <c r="Z205" s="633" t="n"/>
      <c r="AA205" s="633" t="n"/>
      <c r="AB205" s="633" t="n"/>
      <c r="AC205" s="633" t="n"/>
      <c r="AD205" s="633">
        <f>CCBASE!$I$37*2</f>
        <v/>
      </c>
    </row>
    <row r="206">
      <c r="A206" s="631" t="inlineStr">
        <is>
          <t>KVI</t>
        </is>
      </c>
      <c r="B206" s="631" t="n">
        <v>2500</v>
      </c>
      <c r="C206" s="631" t="n">
        <v>1500</v>
      </c>
      <c r="D206" s="631">
        <f>A206&amp;B206&amp;C206</f>
        <v/>
      </c>
      <c r="E206" s="1040">
        <f>SUM(G206:AD206)</f>
        <v/>
      </c>
      <c r="F206" s="632" t="n">
        <v>21</v>
      </c>
      <c r="G206" s="633">
        <f>F206*CCBASE!$B$51</f>
        <v/>
      </c>
      <c r="H206" s="633">
        <f>CCBASE!$I$12*B206/1000</f>
        <v/>
      </c>
      <c r="I206" s="633" t="n"/>
      <c r="J206" s="633" t="n"/>
      <c r="K206" s="633" t="n"/>
      <c r="L206" s="633">
        <f>CCBASE!$I$14*B206/1000</f>
        <v/>
      </c>
      <c r="M206" s="633" t="n"/>
      <c r="N206" s="633" t="n"/>
      <c r="O206" s="633">
        <f>CCBASE!$I$45*B206/1000</f>
        <v/>
      </c>
      <c r="P206" s="633" t="n"/>
      <c r="Q206" s="633">
        <f>CCBASE!$H$51</f>
        <v/>
      </c>
      <c r="R206" s="633">
        <f>CCBASE!$I$4</f>
        <v/>
      </c>
      <c r="S206" s="633">
        <f>CCBASE!$I$8</f>
        <v/>
      </c>
      <c r="T206" s="633">
        <f>CCBASE!$I$44</f>
        <v/>
      </c>
      <c r="U206" s="633" t="n"/>
      <c r="V206" s="633" t="n"/>
      <c r="W206" s="633">
        <f>CCBASE!$I$41*B206/1000</f>
        <v/>
      </c>
      <c r="X206" s="633" t="n"/>
      <c r="Y206" s="633" t="n"/>
      <c r="Z206" s="633" t="n"/>
      <c r="AA206" s="633" t="n"/>
      <c r="AB206" s="633" t="n"/>
      <c r="AC206" s="633" t="n"/>
      <c r="AD206" s="633">
        <f>CCBASE!$I$37*2</f>
        <v/>
      </c>
    </row>
    <row r="207">
      <c r="A207" s="631" t="inlineStr">
        <is>
          <t>KVI</t>
        </is>
      </c>
      <c r="B207" s="631" t="n">
        <v>2750</v>
      </c>
      <c r="C207" s="631" t="n">
        <v>1500</v>
      </c>
      <c r="D207" s="631">
        <f>A207&amp;B207&amp;C207</f>
        <v/>
      </c>
      <c r="E207" s="1040">
        <f>SUM(G207:AD207)</f>
        <v/>
      </c>
      <c r="F207" s="632" t="n">
        <v>21</v>
      </c>
      <c r="G207" s="633">
        <f>F207*CCBASE!$B$51</f>
        <v/>
      </c>
      <c r="H207" s="633">
        <f>CCBASE!$I$12*B207/1000</f>
        <v/>
      </c>
      <c r="I207" s="633" t="n"/>
      <c r="J207" s="633" t="n"/>
      <c r="K207" s="633" t="n"/>
      <c r="L207" s="633">
        <f>CCBASE!$I$14*B207/1000</f>
        <v/>
      </c>
      <c r="M207" s="633" t="n"/>
      <c r="N207" s="633" t="n"/>
      <c r="O207" s="633">
        <f>CCBASE!$I$45*B207/1000</f>
        <v/>
      </c>
      <c r="P207" s="633" t="n"/>
      <c r="Q207" s="633">
        <f>CCBASE!$H$51</f>
        <v/>
      </c>
      <c r="R207" s="633">
        <f>CCBASE!$I$4</f>
        <v/>
      </c>
      <c r="S207" s="633">
        <f>CCBASE!$I$8</f>
        <v/>
      </c>
      <c r="T207" s="633">
        <f>CCBASE!$I$44</f>
        <v/>
      </c>
      <c r="U207" s="633" t="n"/>
      <c r="V207" s="633" t="n"/>
      <c r="W207" s="633">
        <f>CCBASE!$I$41*B207/1000</f>
        <v/>
      </c>
      <c r="X207" s="633" t="n"/>
      <c r="Y207" s="633" t="n"/>
      <c r="Z207" s="633" t="n"/>
      <c r="AA207" s="633" t="n"/>
      <c r="AB207" s="633" t="n"/>
      <c r="AC207" s="633" t="n"/>
      <c r="AD207" s="633">
        <f>CCBASE!$I$37*2</f>
        <v/>
      </c>
    </row>
    <row r="208">
      <c r="A208" s="631" t="inlineStr">
        <is>
          <t>KVI</t>
        </is>
      </c>
      <c r="B208" s="631" t="n">
        <v>3000</v>
      </c>
      <c r="C208" s="631" t="n">
        <v>1500</v>
      </c>
      <c r="D208" s="631">
        <f>A208&amp;B208&amp;C208</f>
        <v/>
      </c>
      <c r="E208" s="1040">
        <f>SUM(G208:AD208)</f>
        <v/>
      </c>
      <c r="F208" s="632" t="n">
        <v>21</v>
      </c>
      <c r="G208" s="633">
        <f>F208*CCBASE!$B$51</f>
        <v/>
      </c>
      <c r="H208" s="633">
        <f>CCBASE!$I$12*B208/1000</f>
        <v/>
      </c>
      <c r="I208" s="633" t="n"/>
      <c r="J208" s="633" t="n"/>
      <c r="K208" s="633" t="n"/>
      <c r="L208" s="633">
        <f>CCBASE!$I$14*B208/1000</f>
        <v/>
      </c>
      <c r="M208" s="633" t="n"/>
      <c r="N208" s="633" t="n"/>
      <c r="O208" s="633">
        <f>CCBASE!$I$45*B208/1000</f>
        <v/>
      </c>
      <c r="P208" s="633" t="n"/>
      <c r="Q208" s="633">
        <f>CCBASE!$H$51</f>
        <v/>
      </c>
      <c r="R208" s="633">
        <f>CCBASE!$I$4</f>
        <v/>
      </c>
      <c r="S208" s="633">
        <f>CCBASE!$I$8</f>
        <v/>
      </c>
      <c r="T208" s="633">
        <f>CCBASE!$I$44</f>
        <v/>
      </c>
      <c r="U208" s="633" t="n"/>
      <c r="V208" s="633" t="n"/>
      <c r="W208" s="633">
        <f>CCBASE!$I$41*B208/1000</f>
        <v/>
      </c>
      <c r="X208" s="633" t="n"/>
      <c r="Y208" s="633" t="n"/>
      <c r="Z208" s="633" t="n"/>
      <c r="AA208" s="633" t="n"/>
      <c r="AB208" s="633" t="n"/>
      <c r="AC208" s="633" t="n"/>
      <c r="AD208" s="633">
        <f>CCBASE!$I$37*2</f>
        <v/>
      </c>
    </row>
    <row r="209">
      <c r="A209" s="631" t="inlineStr">
        <is>
          <t>KVI</t>
        </is>
      </c>
      <c r="B209" s="631" t="n">
        <v>1000</v>
      </c>
      <c r="C209" s="631" t="n">
        <v>1750</v>
      </c>
      <c r="D209" s="631">
        <f>A209&amp;B209&amp;C209</f>
        <v/>
      </c>
      <c r="E209" s="1040">
        <f>SUM(G209:AD209)</f>
        <v/>
      </c>
      <c r="F209" s="632" t="n">
        <v>20</v>
      </c>
      <c r="G209" s="633">
        <f>F209*CCBASE!$B$51</f>
        <v/>
      </c>
      <c r="H209" s="633">
        <f>CCBASE!$I$12*B209/1000</f>
        <v/>
      </c>
      <c r="I209" s="633" t="n"/>
      <c r="J209" s="633" t="n"/>
      <c r="K209" s="633" t="n"/>
      <c r="L209" s="633">
        <f>CCBASE!$I$14*B209/1000</f>
        <v/>
      </c>
      <c r="M209" s="633" t="n"/>
      <c r="N209" s="633" t="n"/>
      <c r="O209" s="633">
        <f>CCBASE!$I$45*B209/1000</f>
        <v/>
      </c>
      <c r="P209" s="633" t="n"/>
      <c r="Q209" s="633">
        <f>CCBASE!$H$51</f>
        <v/>
      </c>
      <c r="R209" s="633">
        <f>CCBASE!$I$4</f>
        <v/>
      </c>
      <c r="S209" s="633">
        <f>CCBASE!$I$8</f>
        <v/>
      </c>
      <c r="T209" s="633">
        <f>CCBASE!$I$44</f>
        <v/>
      </c>
      <c r="U209" s="632" t="n"/>
      <c r="V209" s="632" t="n"/>
      <c r="W209" s="633">
        <f>CCBASE!$I$42*B209/1000</f>
        <v/>
      </c>
      <c r="X209" s="633" t="n"/>
      <c r="Y209" s="633" t="n"/>
      <c r="Z209" s="633" t="n"/>
      <c r="AA209" s="633" t="n"/>
      <c r="AB209" s="633" t="n"/>
      <c r="AC209" s="633" t="n"/>
      <c r="AD209" s="633">
        <f>CCBASE!$I$38*2</f>
        <v/>
      </c>
    </row>
    <row r="210">
      <c r="A210" s="631" t="inlineStr">
        <is>
          <t>KVI</t>
        </is>
      </c>
      <c r="B210" s="631" t="n">
        <v>1250</v>
      </c>
      <c r="C210" s="631" t="n">
        <v>1750</v>
      </c>
      <c r="D210" s="631">
        <f>A210&amp;B210&amp;C210</f>
        <v/>
      </c>
      <c r="E210" s="1040">
        <f>SUM(G210:AD210)</f>
        <v/>
      </c>
      <c r="F210" s="632" t="n">
        <v>20</v>
      </c>
      <c r="G210" s="633">
        <f>F210*CCBASE!$B$51</f>
        <v/>
      </c>
      <c r="H210" s="633">
        <f>CCBASE!$I$12*B210/1000</f>
        <v/>
      </c>
      <c r="I210" s="633" t="n"/>
      <c r="J210" s="633" t="n"/>
      <c r="K210" s="633" t="n"/>
      <c r="L210" s="633">
        <f>CCBASE!$I$14*B210/1000</f>
        <v/>
      </c>
      <c r="M210" s="633" t="n"/>
      <c r="N210" s="633" t="n"/>
      <c r="O210" s="633">
        <f>CCBASE!$I$45*B210/1000</f>
        <v/>
      </c>
      <c r="P210" s="633" t="n"/>
      <c r="Q210" s="633">
        <f>CCBASE!$H$51</f>
        <v/>
      </c>
      <c r="R210" s="633">
        <f>CCBASE!$I$4</f>
        <v/>
      </c>
      <c r="S210" s="633">
        <f>CCBASE!$I$8</f>
        <v/>
      </c>
      <c r="T210" s="633">
        <f>CCBASE!$I$44</f>
        <v/>
      </c>
      <c r="U210" s="632" t="n"/>
      <c r="V210" s="632" t="n"/>
      <c r="W210" s="633">
        <f>CCBASE!$I$42*B210/1000</f>
        <v/>
      </c>
      <c r="X210" s="633" t="n"/>
      <c r="Y210" s="633" t="n"/>
      <c r="Z210" s="633" t="n"/>
      <c r="AA210" s="633" t="n"/>
      <c r="AB210" s="633" t="n"/>
      <c r="AC210" s="633" t="n"/>
      <c r="AD210" s="633">
        <f>CCBASE!$I$38*2</f>
        <v/>
      </c>
    </row>
    <row r="211">
      <c r="A211" s="631" t="inlineStr">
        <is>
          <t>KVI</t>
        </is>
      </c>
      <c r="B211" s="631" t="n">
        <v>1500</v>
      </c>
      <c r="C211" s="631" t="n">
        <v>1750</v>
      </c>
      <c r="D211" s="631">
        <f>A211&amp;B211&amp;C211</f>
        <v/>
      </c>
      <c r="E211" s="1040">
        <f>SUM(G211:AD211)</f>
        <v/>
      </c>
      <c r="F211" s="632" t="n">
        <v>20</v>
      </c>
      <c r="G211" s="633">
        <f>F211*CCBASE!$B$51</f>
        <v/>
      </c>
      <c r="H211" s="633">
        <f>CCBASE!$I$12*B211/1000</f>
        <v/>
      </c>
      <c r="I211" s="633" t="n"/>
      <c r="J211" s="633" t="n"/>
      <c r="K211" s="633" t="n"/>
      <c r="L211" s="633">
        <f>CCBASE!$I$14*B211/1000</f>
        <v/>
      </c>
      <c r="M211" s="633" t="n"/>
      <c r="N211" s="633" t="n"/>
      <c r="O211" s="633">
        <f>CCBASE!$I$45*B211/1000</f>
        <v/>
      </c>
      <c r="P211" s="633" t="n"/>
      <c r="Q211" s="633">
        <f>CCBASE!$H$51</f>
        <v/>
      </c>
      <c r="R211" s="633">
        <f>CCBASE!$I$4</f>
        <v/>
      </c>
      <c r="S211" s="633">
        <f>CCBASE!$I$8</f>
        <v/>
      </c>
      <c r="T211" s="633">
        <f>CCBASE!$I$44</f>
        <v/>
      </c>
      <c r="U211" s="632" t="n"/>
      <c r="V211" s="632" t="n"/>
      <c r="W211" s="633">
        <f>CCBASE!$I$42*B211/1000</f>
        <v/>
      </c>
      <c r="X211" s="633" t="n"/>
      <c r="Y211" s="633" t="n"/>
      <c r="Z211" s="633" t="n"/>
      <c r="AA211" s="633" t="n"/>
      <c r="AB211" s="633" t="n"/>
      <c r="AC211" s="633" t="n"/>
      <c r="AD211" s="633">
        <f>CCBASE!$I$38*2</f>
        <v/>
      </c>
    </row>
    <row r="212">
      <c r="A212" s="631" t="inlineStr">
        <is>
          <t>KVI</t>
        </is>
      </c>
      <c r="B212" s="631" t="n">
        <v>1750</v>
      </c>
      <c r="C212" s="631" t="n">
        <v>1750</v>
      </c>
      <c r="D212" s="631">
        <f>A212&amp;B212&amp;C212</f>
        <v/>
      </c>
      <c r="E212" s="1040">
        <f>SUM(G212:AD212)</f>
        <v/>
      </c>
      <c r="F212" s="632" t="n">
        <v>20</v>
      </c>
      <c r="G212" s="633">
        <f>F212*CCBASE!$B$51</f>
        <v/>
      </c>
      <c r="H212" s="633">
        <f>CCBASE!$I$12*B212/1000</f>
        <v/>
      </c>
      <c r="I212" s="633" t="n"/>
      <c r="J212" s="633" t="n"/>
      <c r="K212" s="633" t="n"/>
      <c r="L212" s="633">
        <f>CCBASE!$I$14*B212/1000</f>
        <v/>
      </c>
      <c r="M212" s="633" t="n"/>
      <c r="N212" s="633" t="n"/>
      <c r="O212" s="633">
        <f>CCBASE!$I$45*B212/1000</f>
        <v/>
      </c>
      <c r="P212" s="633" t="n"/>
      <c r="Q212" s="633">
        <f>CCBASE!$H$51</f>
        <v/>
      </c>
      <c r="R212" s="633">
        <f>CCBASE!$I$4</f>
        <v/>
      </c>
      <c r="S212" s="633">
        <f>CCBASE!$I$8</f>
        <v/>
      </c>
      <c r="T212" s="633">
        <f>CCBASE!$I$44</f>
        <v/>
      </c>
      <c r="U212" s="632" t="n"/>
      <c r="V212" s="632" t="n"/>
      <c r="W212" s="633">
        <f>CCBASE!$I$42*B212/1000</f>
        <v/>
      </c>
      <c r="X212" s="633" t="n"/>
      <c r="Y212" s="633" t="n"/>
      <c r="Z212" s="633" t="n"/>
      <c r="AA212" s="633" t="n"/>
      <c r="AB212" s="633" t="n"/>
      <c r="AC212" s="633" t="n"/>
      <c r="AD212" s="633">
        <f>CCBASE!$I$38*2</f>
        <v/>
      </c>
    </row>
    <row r="213">
      <c r="A213" s="631" t="inlineStr">
        <is>
          <t>KVI</t>
        </is>
      </c>
      <c r="B213" s="631" t="n">
        <v>2000</v>
      </c>
      <c r="C213" s="631" t="n">
        <v>1750</v>
      </c>
      <c r="D213" s="631">
        <f>A213&amp;B213&amp;C213</f>
        <v/>
      </c>
      <c r="E213" s="1040">
        <f>SUM(G213:AD213)</f>
        <v/>
      </c>
      <c r="F213" s="632" t="n">
        <v>20</v>
      </c>
      <c r="G213" s="633">
        <f>F213*CCBASE!$B$51</f>
        <v/>
      </c>
      <c r="H213" s="633">
        <f>CCBASE!$I$12*B213/1000</f>
        <v/>
      </c>
      <c r="I213" s="633" t="n"/>
      <c r="J213" s="633" t="n"/>
      <c r="K213" s="633" t="n"/>
      <c r="L213" s="633">
        <f>CCBASE!$I$14*B213/1000</f>
        <v/>
      </c>
      <c r="M213" s="633" t="n"/>
      <c r="N213" s="633" t="n"/>
      <c r="O213" s="633">
        <f>CCBASE!$I$45*B213/1000</f>
        <v/>
      </c>
      <c r="P213" s="633" t="n"/>
      <c r="Q213" s="633">
        <f>CCBASE!$H$51</f>
        <v/>
      </c>
      <c r="R213" s="633">
        <f>CCBASE!$I$4</f>
        <v/>
      </c>
      <c r="S213" s="633">
        <f>CCBASE!$I$8</f>
        <v/>
      </c>
      <c r="T213" s="633">
        <f>CCBASE!$I$44</f>
        <v/>
      </c>
      <c r="U213" s="632" t="n"/>
      <c r="V213" s="632" t="n"/>
      <c r="W213" s="633">
        <f>CCBASE!$I$42*B213/1000</f>
        <v/>
      </c>
      <c r="X213" s="633" t="n"/>
      <c r="Y213" s="633" t="n"/>
      <c r="Z213" s="633" t="n"/>
      <c r="AA213" s="633" t="n"/>
      <c r="AB213" s="633" t="n"/>
      <c r="AC213" s="633" t="n"/>
      <c r="AD213" s="633">
        <f>CCBASE!$I$38*2</f>
        <v/>
      </c>
    </row>
    <row r="214">
      <c r="A214" s="631" t="inlineStr">
        <is>
          <t>KVI</t>
        </is>
      </c>
      <c r="B214" s="631" t="n">
        <v>2250</v>
      </c>
      <c r="C214" s="631" t="n">
        <v>1750</v>
      </c>
      <c r="D214" s="631">
        <f>A214&amp;B214&amp;C214</f>
        <v/>
      </c>
      <c r="E214" s="1040">
        <f>SUM(G214:AD214)</f>
        <v/>
      </c>
      <c r="F214" s="632" t="n">
        <v>21</v>
      </c>
      <c r="G214" s="633">
        <f>F214*CCBASE!$B$51</f>
        <v/>
      </c>
      <c r="H214" s="633">
        <f>CCBASE!$I$12*B214/1000</f>
        <v/>
      </c>
      <c r="I214" s="633" t="n"/>
      <c r="J214" s="633" t="n"/>
      <c r="K214" s="633" t="n"/>
      <c r="L214" s="633">
        <f>CCBASE!$I$14*B214/1000</f>
        <v/>
      </c>
      <c r="M214" s="633" t="n"/>
      <c r="N214" s="633" t="n"/>
      <c r="O214" s="633">
        <f>CCBASE!$I$45*B214/1000</f>
        <v/>
      </c>
      <c r="P214" s="633" t="n"/>
      <c r="Q214" s="633">
        <f>CCBASE!$H$51</f>
        <v/>
      </c>
      <c r="R214" s="633">
        <f>CCBASE!$I$4</f>
        <v/>
      </c>
      <c r="S214" s="633">
        <f>CCBASE!$I$8</f>
        <v/>
      </c>
      <c r="T214" s="633">
        <f>CCBASE!$I$44</f>
        <v/>
      </c>
      <c r="U214" s="632" t="n"/>
      <c r="V214" s="632" t="n"/>
      <c r="W214" s="633">
        <f>CCBASE!$I$42*B214/1000</f>
        <v/>
      </c>
      <c r="X214" s="633" t="n"/>
      <c r="Y214" s="633" t="n"/>
      <c r="Z214" s="633" t="n"/>
      <c r="AA214" s="633" t="n"/>
      <c r="AB214" s="633" t="n"/>
      <c r="AC214" s="633" t="n"/>
      <c r="AD214" s="633">
        <f>CCBASE!$I$38*2</f>
        <v/>
      </c>
    </row>
    <row r="215">
      <c r="A215" s="631" t="inlineStr">
        <is>
          <t>KVI</t>
        </is>
      </c>
      <c r="B215" s="631" t="n">
        <v>2500</v>
      </c>
      <c r="C215" s="631" t="n">
        <v>1750</v>
      </c>
      <c r="D215" s="631">
        <f>A215&amp;B215&amp;C215</f>
        <v/>
      </c>
      <c r="E215" s="1040">
        <f>SUM(G215:AD215)</f>
        <v/>
      </c>
      <c r="F215" s="632" t="n">
        <v>21</v>
      </c>
      <c r="G215" s="633">
        <f>F215*CCBASE!$B$51</f>
        <v/>
      </c>
      <c r="H215" s="633">
        <f>CCBASE!$I$12*B215/1000</f>
        <v/>
      </c>
      <c r="I215" s="633" t="n"/>
      <c r="J215" s="633" t="n"/>
      <c r="K215" s="633" t="n"/>
      <c r="L215" s="633">
        <f>CCBASE!$I$14*B215/1000</f>
        <v/>
      </c>
      <c r="M215" s="633" t="n"/>
      <c r="N215" s="633" t="n"/>
      <c r="O215" s="633">
        <f>CCBASE!$I$45*B215/1000</f>
        <v/>
      </c>
      <c r="P215" s="633" t="n"/>
      <c r="Q215" s="633">
        <f>CCBASE!$H$51</f>
        <v/>
      </c>
      <c r="R215" s="633">
        <f>CCBASE!$I$4</f>
        <v/>
      </c>
      <c r="S215" s="633">
        <f>CCBASE!$I$8</f>
        <v/>
      </c>
      <c r="T215" s="633">
        <f>CCBASE!$I$44</f>
        <v/>
      </c>
      <c r="U215" s="632" t="n"/>
      <c r="V215" s="632" t="n"/>
      <c r="W215" s="633">
        <f>CCBASE!$I$42*B215/1000</f>
        <v/>
      </c>
      <c r="X215" s="633" t="n"/>
      <c r="Y215" s="633" t="n"/>
      <c r="Z215" s="633" t="n"/>
      <c r="AA215" s="633" t="n"/>
      <c r="AB215" s="633" t="n"/>
      <c r="AC215" s="633" t="n"/>
      <c r="AD215" s="633">
        <f>CCBASE!$I$38*2</f>
        <v/>
      </c>
    </row>
    <row r="216">
      <c r="A216" s="631" t="inlineStr">
        <is>
          <t>KVI</t>
        </is>
      </c>
      <c r="B216" s="631" t="n">
        <v>2750</v>
      </c>
      <c r="C216" s="631" t="n">
        <v>1750</v>
      </c>
      <c r="D216" s="631">
        <f>A216&amp;B216&amp;C216</f>
        <v/>
      </c>
      <c r="E216" s="1040">
        <f>SUM(G216:AD216)</f>
        <v/>
      </c>
      <c r="F216" s="632" t="n">
        <v>21</v>
      </c>
      <c r="G216" s="633">
        <f>F216*CCBASE!$B$51</f>
        <v/>
      </c>
      <c r="H216" s="633">
        <f>CCBASE!$I$12*B216/1000</f>
        <v/>
      </c>
      <c r="I216" s="633" t="n"/>
      <c r="J216" s="633" t="n"/>
      <c r="K216" s="633" t="n"/>
      <c r="L216" s="633">
        <f>CCBASE!$I$14*B216/1000</f>
        <v/>
      </c>
      <c r="M216" s="633" t="n"/>
      <c r="N216" s="633" t="n"/>
      <c r="O216" s="633">
        <f>CCBASE!$I$45*B216/1000</f>
        <v/>
      </c>
      <c r="P216" s="633" t="n"/>
      <c r="Q216" s="633">
        <f>CCBASE!$H$51</f>
        <v/>
      </c>
      <c r="R216" s="633">
        <f>CCBASE!$I$4</f>
        <v/>
      </c>
      <c r="S216" s="633">
        <f>CCBASE!$I$8</f>
        <v/>
      </c>
      <c r="T216" s="633">
        <f>CCBASE!$I$44</f>
        <v/>
      </c>
      <c r="U216" s="632" t="n"/>
      <c r="V216" s="632" t="n"/>
      <c r="W216" s="633">
        <f>CCBASE!$I$42*B216/1000</f>
        <v/>
      </c>
      <c r="X216" s="633" t="n"/>
      <c r="Y216" s="633" t="n"/>
      <c r="Z216" s="633" t="n"/>
      <c r="AA216" s="633" t="n"/>
      <c r="AB216" s="633" t="n"/>
      <c r="AC216" s="633" t="n"/>
      <c r="AD216" s="633">
        <f>CCBASE!$I$38*2</f>
        <v/>
      </c>
    </row>
    <row r="217">
      <c r="A217" s="631" t="inlineStr">
        <is>
          <t>KVI</t>
        </is>
      </c>
      <c r="B217" s="631" t="n">
        <v>3000</v>
      </c>
      <c r="C217" s="631" t="n">
        <v>1750</v>
      </c>
      <c r="D217" s="631">
        <f>A217&amp;B217&amp;C217</f>
        <v/>
      </c>
      <c r="E217" s="1040">
        <f>SUM(G217:AD217)</f>
        <v/>
      </c>
      <c r="F217" s="632" t="n">
        <v>21</v>
      </c>
      <c r="G217" s="633">
        <f>F217*CCBASE!$B$51</f>
        <v/>
      </c>
      <c r="H217" s="633">
        <f>CCBASE!$I$12*B217/1000</f>
        <v/>
      </c>
      <c r="I217" s="633" t="n"/>
      <c r="J217" s="633" t="n"/>
      <c r="K217" s="633" t="n"/>
      <c r="L217" s="633">
        <f>CCBASE!$I$14*B217/1000</f>
        <v/>
      </c>
      <c r="M217" s="633" t="n"/>
      <c r="N217" s="633" t="n"/>
      <c r="O217" s="633">
        <f>CCBASE!$I$45*B217/1000</f>
        <v/>
      </c>
      <c r="P217" s="633" t="n"/>
      <c r="Q217" s="633">
        <f>CCBASE!$H$51</f>
        <v/>
      </c>
      <c r="R217" s="633">
        <f>CCBASE!$I$4</f>
        <v/>
      </c>
      <c r="S217" s="633">
        <f>CCBASE!$I$8</f>
        <v/>
      </c>
      <c r="T217" s="633">
        <f>CCBASE!$I$44</f>
        <v/>
      </c>
      <c r="U217" s="632" t="n"/>
      <c r="V217" s="632" t="n"/>
      <c r="W217" s="633">
        <f>CCBASE!$I$42*B217/1000</f>
        <v/>
      </c>
      <c r="X217" s="633" t="n"/>
      <c r="Y217" s="633" t="n"/>
      <c r="Z217" s="633" t="n"/>
      <c r="AA217" s="633" t="n"/>
      <c r="AB217" s="633" t="n"/>
      <c r="AC217" s="633" t="n"/>
      <c r="AD217" s="633">
        <f>CCBASE!$I$38*2</f>
        <v/>
      </c>
    </row>
    <row r="218">
      <c r="A218" s="631" t="inlineStr">
        <is>
          <t>KVI</t>
        </is>
      </c>
      <c r="B218" s="631" t="n">
        <v>1000</v>
      </c>
      <c r="C218" s="631" t="n">
        <v>2000</v>
      </c>
      <c r="D218" s="631">
        <f>A218&amp;B218&amp;C218</f>
        <v/>
      </c>
      <c r="E218" s="1040">
        <f>SUM(G218:AD218)</f>
        <v/>
      </c>
      <c r="F218" s="632" t="n">
        <v>20</v>
      </c>
      <c r="G218" s="633">
        <f>F218*CCBASE!$B$51</f>
        <v/>
      </c>
      <c r="H218" s="633">
        <f>CCBASE!$I$12*B218/1000</f>
        <v/>
      </c>
      <c r="I218" s="633" t="n"/>
      <c r="J218" s="633" t="n"/>
      <c r="K218" s="633" t="n"/>
      <c r="L218" s="633">
        <f>CCBASE!$I$14*B218/1000</f>
        <v/>
      </c>
      <c r="M218" s="633" t="n"/>
      <c r="N218" s="633" t="n"/>
      <c r="O218" s="633">
        <f>CCBASE!$I$45*B218/1000</f>
        <v/>
      </c>
      <c r="P218" s="633" t="n"/>
      <c r="Q218" s="633">
        <f>CCBASE!$H$51</f>
        <v/>
      </c>
      <c r="R218" s="633">
        <f>CCBASE!$I$4</f>
        <v/>
      </c>
      <c r="S218" s="633">
        <f>CCBASE!$I$8</f>
        <v/>
      </c>
      <c r="T218" s="633">
        <f>CCBASE!$I$44</f>
        <v/>
      </c>
      <c r="U218" s="632" t="n"/>
      <c r="V218" s="632" t="n"/>
      <c r="W218" s="633">
        <f>CCBASE!$I$43*B218/1000</f>
        <v/>
      </c>
      <c r="X218" s="633" t="n"/>
      <c r="Y218" s="633" t="n"/>
      <c r="Z218" s="633" t="n"/>
      <c r="AA218" s="633" t="n"/>
      <c r="AB218" s="633" t="n"/>
      <c r="AC218" s="633" t="n"/>
      <c r="AD218" s="633">
        <f>CCBASE!$I$39*2</f>
        <v/>
      </c>
    </row>
    <row r="219">
      <c r="A219" s="631" t="inlineStr">
        <is>
          <t>KVI</t>
        </is>
      </c>
      <c r="B219" s="631" t="n">
        <v>1250</v>
      </c>
      <c r="C219" s="631" t="n">
        <v>2000</v>
      </c>
      <c r="D219" s="631">
        <f>A219&amp;B219&amp;C219</f>
        <v/>
      </c>
      <c r="E219" s="1040">
        <f>SUM(G219:AD219)</f>
        <v/>
      </c>
      <c r="F219" s="632" t="n">
        <v>20</v>
      </c>
      <c r="G219" s="633">
        <f>F219*CCBASE!$B$51</f>
        <v/>
      </c>
      <c r="H219" s="633">
        <f>CCBASE!$I$12*B219/1000</f>
        <v/>
      </c>
      <c r="I219" s="633" t="n"/>
      <c r="J219" s="633" t="n"/>
      <c r="K219" s="633" t="n"/>
      <c r="L219" s="633">
        <f>CCBASE!$I$14*B219/1000</f>
        <v/>
      </c>
      <c r="M219" s="633" t="n"/>
      <c r="N219" s="633" t="n"/>
      <c r="O219" s="633">
        <f>CCBASE!$I$45*B219/1000</f>
        <v/>
      </c>
      <c r="P219" s="633" t="n"/>
      <c r="Q219" s="633">
        <f>CCBASE!$H$51</f>
        <v/>
      </c>
      <c r="R219" s="633">
        <f>CCBASE!$I$4</f>
        <v/>
      </c>
      <c r="S219" s="633">
        <f>CCBASE!$I$8</f>
        <v/>
      </c>
      <c r="T219" s="633">
        <f>CCBASE!$I$44</f>
        <v/>
      </c>
      <c r="U219" s="632" t="n"/>
      <c r="V219" s="632" t="n"/>
      <c r="W219" s="633">
        <f>CCBASE!$I$42*B219/1000</f>
        <v/>
      </c>
      <c r="X219" s="633" t="n"/>
      <c r="Y219" s="633" t="n"/>
      <c r="Z219" s="633" t="n"/>
      <c r="AA219" s="633" t="n"/>
      <c r="AB219" s="633" t="n"/>
      <c r="AC219" s="633" t="n"/>
      <c r="AD219" s="633">
        <f>CCBASE!$I$39*2</f>
        <v/>
      </c>
    </row>
    <row r="220">
      <c r="A220" s="631" t="inlineStr">
        <is>
          <t>KVI</t>
        </is>
      </c>
      <c r="B220" s="631" t="n">
        <v>1500</v>
      </c>
      <c r="C220" s="631" t="n">
        <v>2000</v>
      </c>
      <c r="D220" s="631">
        <f>A220&amp;B220&amp;C220</f>
        <v/>
      </c>
      <c r="E220" s="1040">
        <f>SUM(G220:AD220)</f>
        <v/>
      </c>
      <c r="F220" s="632" t="n">
        <v>20</v>
      </c>
      <c r="G220" s="633">
        <f>F220*CCBASE!$B$51</f>
        <v/>
      </c>
      <c r="H220" s="633">
        <f>CCBASE!$I$12*B220/1000</f>
        <v/>
      </c>
      <c r="I220" s="633" t="n"/>
      <c r="J220" s="633" t="n"/>
      <c r="K220" s="633" t="n"/>
      <c r="L220" s="633">
        <f>CCBASE!$I$14*B220/1000</f>
        <v/>
      </c>
      <c r="M220" s="633" t="n"/>
      <c r="N220" s="633" t="n"/>
      <c r="O220" s="633">
        <f>CCBASE!$I$45*B220/1000</f>
        <v/>
      </c>
      <c r="P220" s="633" t="n"/>
      <c r="Q220" s="633">
        <f>CCBASE!$H$51</f>
        <v/>
      </c>
      <c r="R220" s="633">
        <f>CCBASE!$I$4</f>
        <v/>
      </c>
      <c r="S220" s="633">
        <f>CCBASE!$I$8</f>
        <v/>
      </c>
      <c r="T220" s="633">
        <f>CCBASE!$I$44</f>
        <v/>
      </c>
      <c r="U220" s="632" t="n"/>
      <c r="V220" s="632" t="n"/>
      <c r="W220" s="633">
        <f>CCBASE!$I$42*B220/1000</f>
        <v/>
      </c>
      <c r="X220" s="633" t="n"/>
      <c r="Y220" s="633" t="n"/>
      <c r="Z220" s="633" t="n"/>
      <c r="AA220" s="633" t="n"/>
      <c r="AB220" s="633" t="n"/>
      <c r="AC220" s="633" t="n"/>
      <c r="AD220" s="633">
        <f>CCBASE!$I$39*2</f>
        <v/>
      </c>
    </row>
    <row r="221">
      <c r="A221" s="631" t="inlineStr">
        <is>
          <t>KVI</t>
        </is>
      </c>
      <c r="B221" s="631" t="n">
        <v>1750</v>
      </c>
      <c r="C221" s="631" t="n">
        <v>2000</v>
      </c>
      <c r="D221" s="631">
        <f>A221&amp;B221&amp;C221</f>
        <v/>
      </c>
      <c r="E221" s="1040">
        <f>SUM(G221:AD221)</f>
        <v/>
      </c>
      <c r="F221" s="632" t="n">
        <v>20</v>
      </c>
      <c r="G221" s="633">
        <f>F221*CCBASE!$B$51</f>
        <v/>
      </c>
      <c r="H221" s="633">
        <f>CCBASE!$I$12*B221/1000</f>
        <v/>
      </c>
      <c r="I221" s="633" t="n"/>
      <c r="J221" s="633" t="n"/>
      <c r="K221" s="633" t="n"/>
      <c r="L221" s="633">
        <f>CCBASE!$I$14*B221/1000</f>
        <v/>
      </c>
      <c r="M221" s="633" t="n"/>
      <c r="N221" s="633" t="n"/>
      <c r="O221" s="633">
        <f>CCBASE!$I$45*B221/1000</f>
        <v/>
      </c>
      <c r="P221" s="633" t="n"/>
      <c r="Q221" s="633">
        <f>CCBASE!$H$51</f>
        <v/>
      </c>
      <c r="R221" s="633">
        <f>CCBASE!$I$4</f>
        <v/>
      </c>
      <c r="S221" s="633">
        <f>CCBASE!$I$8</f>
        <v/>
      </c>
      <c r="T221" s="633">
        <f>CCBASE!$I$44</f>
        <v/>
      </c>
      <c r="U221" s="632" t="n"/>
      <c r="V221" s="632" t="n"/>
      <c r="W221" s="633">
        <f>CCBASE!$I$42*B221/1000</f>
        <v/>
      </c>
      <c r="X221" s="633" t="n"/>
      <c r="Y221" s="633" t="n"/>
      <c r="Z221" s="633" t="n"/>
      <c r="AA221" s="633" t="n"/>
      <c r="AB221" s="633" t="n"/>
      <c r="AC221" s="633" t="n"/>
      <c r="AD221" s="633">
        <f>CCBASE!$I$39*2</f>
        <v/>
      </c>
    </row>
    <row r="222">
      <c r="A222" s="631" t="inlineStr">
        <is>
          <t>KVI</t>
        </is>
      </c>
      <c r="B222" s="631" t="n">
        <v>2000</v>
      </c>
      <c r="C222" s="631" t="n">
        <v>2000</v>
      </c>
      <c r="D222" s="631">
        <f>A222&amp;B222&amp;C222</f>
        <v/>
      </c>
      <c r="E222" s="1040">
        <f>SUM(G222:AD222)</f>
        <v/>
      </c>
      <c r="F222" s="632" t="n">
        <v>20</v>
      </c>
      <c r="G222" s="633">
        <f>F222*CCBASE!$B$51</f>
        <v/>
      </c>
      <c r="H222" s="633">
        <f>CCBASE!$I$12*B222/1000</f>
        <v/>
      </c>
      <c r="I222" s="633" t="n"/>
      <c r="J222" s="633" t="n"/>
      <c r="K222" s="633" t="n"/>
      <c r="L222" s="633">
        <f>CCBASE!$I$14*B222/1000</f>
        <v/>
      </c>
      <c r="M222" s="633" t="n"/>
      <c r="N222" s="633" t="n"/>
      <c r="O222" s="633">
        <f>CCBASE!$I$45*B222/1000</f>
        <v/>
      </c>
      <c r="P222" s="633" t="n"/>
      <c r="Q222" s="633">
        <f>CCBASE!$H$51</f>
        <v/>
      </c>
      <c r="R222" s="633">
        <f>CCBASE!$I$4</f>
        <v/>
      </c>
      <c r="S222" s="633">
        <f>CCBASE!$I$8</f>
        <v/>
      </c>
      <c r="T222" s="633">
        <f>CCBASE!$I$44</f>
        <v/>
      </c>
      <c r="U222" s="632" t="n"/>
      <c r="V222" s="632" t="n"/>
      <c r="W222" s="633">
        <f>CCBASE!$I$42*B222/1000</f>
        <v/>
      </c>
      <c r="X222" s="633" t="n"/>
      <c r="Y222" s="633" t="n"/>
      <c r="Z222" s="633" t="n"/>
      <c r="AA222" s="633" t="n"/>
      <c r="AB222" s="633" t="n"/>
      <c r="AC222" s="633" t="n"/>
      <c r="AD222" s="633">
        <f>CCBASE!$I$39*2</f>
        <v/>
      </c>
    </row>
    <row r="223">
      <c r="A223" s="631" t="inlineStr">
        <is>
          <t>KVI</t>
        </is>
      </c>
      <c r="B223" s="631" t="n">
        <v>2250</v>
      </c>
      <c r="C223" s="631" t="n">
        <v>2000</v>
      </c>
      <c r="D223" s="631">
        <f>A223&amp;B223&amp;C223</f>
        <v/>
      </c>
      <c r="E223" s="1040">
        <f>SUM(G223:AD223)</f>
        <v/>
      </c>
      <c r="F223" s="632" t="n">
        <v>21</v>
      </c>
      <c r="G223" s="633">
        <f>F223*CCBASE!$B$51</f>
        <v/>
      </c>
      <c r="H223" s="633">
        <f>CCBASE!$I$12*B223/1000</f>
        <v/>
      </c>
      <c r="I223" s="633" t="n"/>
      <c r="J223" s="633" t="n"/>
      <c r="K223" s="633" t="n"/>
      <c r="L223" s="633">
        <f>CCBASE!$I$14*B223/1000</f>
        <v/>
      </c>
      <c r="M223" s="633" t="n"/>
      <c r="N223" s="633" t="n"/>
      <c r="O223" s="633">
        <f>CCBASE!$I$45*B223/1000</f>
        <v/>
      </c>
      <c r="P223" s="633" t="n"/>
      <c r="Q223" s="633">
        <f>CCBASE!$H$51</f>
        <v/>
      </c>
      <c r="R223" s="633">
        <f>CCBASE!$I$4</f>
        <v/>
      </c>
      <c r="S223" s="633">
        <f>CCBASE!$I$8</f>
        <v/>
      </c>
      <c r="T223" s="633">
        <f>CCBASE!$I$44</f>
        <v/>
      </c>
      <c r="U223" s="632" t="n"/>
      <c r="V223" s="632" t="n"/>
      <c r="W223" s="633">
        <f>CCBASE!$I$42*B223/1000</f>
        <v/>
      </c>
      <c r="X223" s="633" t="n"/>
      <c r="Y223" s="633" t="n"/>
      <c r="Z223" s="633" t="n"/>
      <c r="AA223" s="633" t="n"/>
      <c r="AB223" s="633" t="n"/>
      <c r="AC223" s="633" t="n"/>
      <c r="AD223" s="633">
        <f>CCBASE!$I$39*2</f>
        <v/>
      </c>
    </row>
    <row r="224">
      <c r="A224" s="631" t="inlineStr">
        <is>
          <t>KVI</t>
        </is>
      </c>
      <c r="B224" s="631" t="n">
        <v>2500</v>
      </c>
      <c r="C224" s="631" t="n">
        <v>2000</v>
      </c>
      <c r="D224" s="631">
        <f>A224&amp;B224&amp;C224</f>
        <v/>
      </c>
      <c r="E224" s="1040">
        <f>SUM(G224:AD224)</f>
        <v/>
      </c>
      <c r="F224" s="632" t="n">
        <v>21</v>
      </c>
      <c r="G224" s="633">
        <f>F224*CCBASE!$B$51</f>
        <v/>
      </c>
      <c r="H224" s="633">
        <f>CCBASE!$I$12*B224/1000</f>
        <v/>
      </c>
      <c r="I224" s="633" t="n"/>
      <c r="J224" s="633" t="n"/>
      <c r="K224" s="633" t="n"/>
      <c r="L224" s="633">
        <f>CCBASE!$I$14*B224/1000</f>
        <v/>
      </c>
      <c r="M224" s="633" t="n"/>
      <c r="N224" s="633" t="n"/>
      <c r="O224" s="633">
        <f>CCBASE!$I$45*B224/1000</f>
        <v/>
      </c>
      <c r="P224" s="633" t="n"/>
      <c r="Q224" s="633">
        <f>CCBASE!$H$51</f>
        <v/>
      </c>
      <c r="R224" s="633">
        <f>CCBASE!$I$4</f>
        <v/>
      </c>
      <c r="S224" s="633">
        <f>CCBASE!$I$8</f>
        <v/>
      </c>
      <c r="T224" s="633">
        <f>CCBASE!$I$44</f>
        <v/>
      </c>
      <c r="U224" s="632" t="n"/>
      <c r="V224" s="632" t="n"/>
      <c r="W224" s="633">
        <f>CCBASE!$I$42*B224/1000</f>
        <v/>
      </c>
      <c r="X224" s="633" t="n"/>
      <c r="Y224" s="633" t="n"/>
      <c r="Z224" s="633" t="n"/>
      <c r="AA224" s="633" t="n"/>
      <c r="AB224" s="633" t="n"/>
      <c r="AC224" s="633" t="n"/>
      <c r="AD224" s="633">
        <f>CCBASE!$I$39*2</f>
        <v/>
      </c>
    </row>
    <row r="225">
      <c r="A225" s="631" t="inlineStr">
        <is>
          <t>KVI</t>
        </is>
      </c>
      <c r="B225" s="631" t="n">
        <v>2750</v>
      </c>
      <c r="C225" s="631" t="n">
        <v>2000</v>
      </c>
      <c r="D225" s="631">
        <f>A225&amp;B225&amp;C225</f>
        <v/>
      </c>
      <c r="E225" s="1040">
        <f>SUM(G225:AD225)</f>
        <v/>
      </c>
      <c r="F225" s="632" t="n">
        <v>21</v>
      </c>
      <c r="G225" s="633">
        <f>F225*CCBASE!$B$51</f>
        <v/>
      </c>
      <c r="H225" s="633">
        <f>CCBASE!$I$12*B225/1000</f>
        <v/>
      </c>
      <c r="I225" s="633" t="n"/>
      <c r="J225" s="633" t="n"/>
      <c r="K225" s="633" t="n"/>
      <c r="L225" s="633">
        <f>CCBASE!$I$14*B225/1000</f>
        <v/>
      </c>
      <c r="M225" s="633" t="n"/>
      <c r="N225" s="633" t="n"/>
      <c r="O225" s="633">
        <f>CCBASE!$I$45*B225/1000</f>
        <v/>
      </c>
      <c r="P225" s="633" t="n"/>
      <c r="Q225" s="633">
        <f>CCBASE!$H$51</f>
        <v/>
      </c>
      <c r="R225" s="633">
        <f>CCBASE!$I$4</f>
        <v/>
      </c>
      <c r="S225" s="633">
        <f>CCBASE!$I$8</f>
        <v/>
      </c>
      <c r="T225" s="633">
        <f>CCBASE!$I$44</f>
        <v/>
      </c>
      <c r="U225" s="632" t="n"/>
      <c r="V225" s="632" t="n"/>
      <c r="W225" s="633">
        <f>CCBASE!$I$42*B225/1000</f>
        <v/>
      </c>
      <c r="X225" s="633" t="n"/>
      <c r="Y225" s="633" t="n"/>
      <c r="Z225" s="633" t="n"/>
      <c r="AA225" s="633" t="n"/>
      <c r="AB225" s="633" t="n"/>
      <c r="AC225" s="633" t="n"/>
      <c r="AD225" s="633">
        <f>CCBASE!$I$39*2</f>
        <v/>
      </c>
    </row>
    <row r="226">
      <c r="A226" s="631" t="inlineStr">
        <is>
          <t>KVI</t>
        </is>
      </c>
      <c r="B226" s="631" t="n">
        <v>3000</v>
      </c>
      <c r="C226" s="631" t="n">
        <v>2000</v>
      </c>
      <c r="D226" s="631">
        <f>A226&amp;B226&amp;C226</f>
        <v/>
      </c>
      <c r="E226" s="1040">
        <f>SUM(G226:AD226)</f>
        <v/>
      </c>
      <c r="F226" s="632" t="n">
        <v>21</v>
      </c>
      <c r="G226" s="633">
        <f>F226*CCBASE!$B$51</f>
        <v/>
      </c>
      <c r="H226" s="633">
        <f>CCBASE!$I$12*B226/1000</f>
        <v/>
      </c>
      <c r="I226" s="633" t="n"/>
      <c r="J226" s="633" t="n"/>
      <c r="K226" s="633" t="n"/>
      <c r="L226" s="633">
        <f>CCBASE!$I$14*B226/1000</f>
        <v/>
      </c>
      <c r="M226" s="633" t="n"/>
      <c r="N226" s="633" t="n"/>
      <c r="O226" s="633">
        <f>CCBASE!$I$45*B226/1000</f>
        <v/>
      </c>
      <c r="P226" s="633" t="n"/>
      <c r="Q226" s="633">
        <f>CCBASE!$H$51</f>
        <v/>
      </c>
      <c r="R226" s="633">
        <f>CCBASE!$I$4</f>
        <v/>
      </c>
      <c r="S226" s="633">
        <f>CCBASE!$I$8</f>
        <v/>
      </c>
      <c r="T226" s="633">
        <f>CCBASE!$I$44</f>
        <v/>
      </c>
      <c r="U226" s="632" t="n"/>
      <c r="V226" s="632" t="n"/>
      <c r="W226" s="633">
        <f>CCBASE!$I$42*B226/1000</f>
        <v/>
      </c>
      <c r="X226" s="633" t="n"/>
      <c r="Y226" s="633" t="n"/>
      <c r="Z226" s="633" t="n"/>
      <c r="AA226" s="633" t="n"/>
      <c r="AB226" s="633" t="n"/>
      <c r="AC226" s="633" t="n"/>
      <c r="AD226" s="633">
        <f>CCBASE!$I$39*2</f>
        <v/>
      </c>
    </row>
    <row r="227">
      <c r="A227" s="631" t="inlineStr">
        <is>
          <t>KVF</t>
        </is>
      </c>
      <c r="B227" s="631" t="n">
        <v>1000</v>
      </c>
      <c r="C227" s="631" t="n">
        <v>1000</v>
      </c>
      <c r="D227" s="631">
        <f>A227&amp;B227&amp;C227</f>
        <v/>
      </c>
      <c r="E227" s="1040">
        <f>SUM(G227:AD227)</f>
        <v/>
      </c>
      <c r="F227" s="632" t="n">
        <v>24.5</v>
      </c>
      <c r="G227" s="633">
        <f>F227*CCBASE!$B$51</f>
        <v/>
      </c>
      <c r="H227" s="633">
        <f>CCBASE!$I$12*B227/1000</f>
        <v/>
      </c>
      <c r="I227" s="633" t="n"/>
      <c r="J227" s="633" t="n"/>
      <c r="K227" s="633" t="n"/>
      <c r="L227" s="633">
        <f>CCBASE!$I$13*B227/1000</f>
        <v/>
      </c>
      <c r="M227" s="633" t="n"/>
      <c r="N227" s="633">
        <f>CCBASE!$I$7*B227/1000</f>
        <v/>
      </c>
      <c r="O227" s="633">
        <f>CCBASE!$I$45*B227/1000</f>
        <v/>
      </c>
      <c r="P227" s="633" t="n"/>
      <c r="Q227" s="633">
        <f>CCBASE!$H$51</f>
        <v/>
      </c>
      <c r="R227" s="633">
        <f>CCBASE!$I$4</f>
        <v/>
      </c>
      <c r="S227" s="633">
        <f>CCBASE!$I$8</f>
        <v/>
      </c>
      <c r="T227" s="633">
        <f>CCBASE!$I$44</f>
        <v/>
      </c>
      <c r="U227" s="633">
        <f>CCBASE!$I$47</f>
        <v/>
      </c>
      <c r="V227" s="633">
        <f>CCBASE!$I$46/2</f>
        <v/>
      </c>
      <c r="W227" s="633">
        <f>CCBASE!$I$40*B227/1000</f>
        <v/>
      </c>
      <c r="X227" s="633" t="n"/>
      <c r="Y227" s="633" t="n"/>
      <c r="Z227" s="633" t="n"/>
      <c r="AA227" s="633" t="n"/>
      <c r="AB227" s="633" t="n"/>
      <c r="AC227" s="633" t="n"/>
      <c r="AD227" s="633">
        <f>CCBASE!$I$36*2</f>
        <v/>
      </c>
      <c r="AI227" s="635" t="n"/>
      <c r="AJ227" s="635" t="n"/>
      <c r="AK227" s="636" t="n"/>
      <c r="AL227" s="636" t="n"/>
      <c r="AM227" s="636" t="n"/>
      <c r="AN227" s="636" t="n"/>
      <c r="AO227" s="636" t="n"/>
      <c r="AP227" s="636" t="n"/>
      <c r="AQ227" s="636" t="n"/>
      <c r="AR227" s="636" t="n"/>
      <c r="AS227" s="636" t="n"/>
    </row>
    <row r="228">
      <c r="A228" s="631" t="inlineStr">
        <is>
          <t>KVF</t>
        </is>
      </c>
      <c r="B228" s="631" t="n">
        <v>1250</v>
      </c>
      <c r="C228" s="631" t="n">
        <v>1000</v>
      </c>
      <c r="D228" s="631">
        <f>A228&amp;B228&amp;C228</f>
        <v/>
      </c>
      <c r="E228" s="1040">
        <f>SUM(G228:AD228)</f>
        <v/>
      </c>
      <c r="F228" s="632" t="n">
        <v>24.5</v>
      </c>
      <c r="G228" s="633">
        <f>F228*CCBASE!$B$51</f>
        <v/>
      </c>
      <c r="H228" s="633">
        <f>CCBASE!$I$12*B228/1000</f>
        <v/>
      </c>
      <c r="I228" s="633" t="n"/>
      <c r="J228" s="633" t="n"/>
      <c r="K228" s="633" t="n"/>
      <c r="L228" s="633">
        <f>CCBASE!$I$13*B228/1000</f>
        <v/>
      </c>
      <c r="M228" s="633" t="n"/>
      <c r="N228" s="633">
        <f>CCBASE!$I$7*B228/1000</f>
        <v/>
      </c>
      <c r="O228" s="633">
        <f>CCBASE!$I$45*B228/1000</f>
        <v/>
      </c>
      <c r="P228" s="633" t="n"/>
      <c r="Q228" s="633">
        <f>CCBASE!$H$51</f>
        <v/>
      </c>
      <c r="R228" s="633">
        <f>CCBASE!$I$4</f>
        <v/>
      </c>
      <c r="S228" s="633">
        <f>CCBASE!$I$8</f>
        <v/>
      </c>
      <c r="T228" s="633">
        <f>CCBASE!$I$44</f>
        <v/>
      </c>
      <c r="U228" s="633">
        <f>CCBASE!$I$47*2</f>
        <v/>
      </c>
      <c r="V228" s="633">
        <f>CCBASE!$I$46/2</f>
        <v/>
      </c>
      <c r="W228" s="633">
        <f>CCBASE!$I$40*B228/1000</f>
        <v/>
      </c>
      <c r="X228" s="633" t="n"/>
      <c r="Y228" s="633" t="n"/>
      <c r="Z228" s="633" t="n"/>
      <c r="AA228" s="633" t="n"/>
      <c r="AB228" s="633" t="n"/>
      <c r="AC228" s="633" t="n"/>
      <c r="AD228" s="633">
        <f>CCBASE!$I$36*2</f>
        <v/>
      </c>
      <c r="AJ228" s="639" t="n"/>
    </row>
    <row r="229">
      <c r="A229" s="631" t="inlineStr">
        <is>
          <t>KVF</t>
        </is>
      </c>
      <c r="B229" s="631" t="n">
        <v>1500</v>
      </c>
      <c r="C229" s="631" t="n">
        <v>1000</v>
      </c>
      <c r="D229" s="631">
        <f>A229&amp;B229&amp;C229</f>
        <v/>
      </c>
      <c r="E229" s="1040">
        <f>SUM(G229:AD229)</f>
        <v/>
      </c>
      <c r="F229" s="632" t="n">
        <v>24.5</v>
      </c>
      <c r="G229" s="633">
        <f>F229*CCBASE!$B$51</f>
        <v/>
      </c>
      <c r="H229" s="633">
        <f>CCBASE!$I$12*B229/1000</f>
        <v/>
      </c>
      <c r="I229" s="633" t="n"/>
      <c r="J229" s="633" t="n"/>
      <c r="K229" s="633" t="n"/>
      <c r="L229" s="633">
        <f>CCBASE!$I$13*B229/1000</f>
        <v/>
      </c>
      <c r="M229" s="633" t="n"/>
      <c r="N229" s="633">
        <f>CCBASE!$I$7*B229/1000</f>
        <v/>
      </c>
      <c r="O229" s="633">
        <f>CCBASE!$I$45*B229/1000</f>
        <v/>
      </c>
      <c r="P229" s="633" t="n"/>
      <c r="Q229" s="633">
        <f>CCBASE!$H$51</f>
        <v/>
      </c>
      <c r="R229" s="633">
        <f>CCBASE!$I$4</f>
        <v/>
      </c>
      <c r="S229" s="633">
        <f>CCBASE!$I$8</f>
        <v/>
      </c>
      <c r="T229" s="633">
        <f>CCBASE!$I$44</f>
        <v/>
      </c>
      <c r="U229" s="633">
        <f>CCBASE!$I$47*2</f>
        <v/>
      </c>
      <c r="V229" s="633">
        <f>CCBASE!$I$46/2</f>
        <v/>
      </c>
      <c r="W229" s="633">
        <f>CCBASE!$I$40*B229/1000</f>
        <v/>
      </c>
      <c r="X229" s="633" t="n"/>
      <c r="Y229" s="633" t="n"/>
      <c r="Z229" s="633" t="n"/>
      <c r="AA229" s="633" t="n"/>
      <c r="AB229" s="633" t="n"/>
      <c r="AC229" s="633" t="n"/>
      <c r="AD229" s="633">
        <f>CCBASE!$I$36*2</f>
        <v/>
      </c>
      <c r="AJ229" s="639" t="n"/>
    </row>
    <row r="230">
      <c r="A230" s="631" t="inlineStr">
        <is>
          <t>KVF</t>
        </is>
      </c>
      <c r="B230" s="631" t="n">
        <v>1750</v>
      </c>
      <c r="C230" s="631" t="n">
        <v>1000</v>
      </c>
      <c r="D230" s="631">
        <f>A230&amp;B230&amp;C230</f>
        <v/>
      </c>
      <c r="E230" s="1040">
        <f>SUM(G230:AD230)</f>
        <v/>
      </c>
      <c r="F230" s="632" t="n">
        <v>24.5</v>
      </c>
      <c r="G230" s="633">
        <f>F230*CCBASE!$B$51</f>
        <v/>
      </c>
      <c r="H230" s="633">
        <f>CCBASE!$I$12*B230/1000</f>
        <v/>
      </c>
      <c r="I230" s="633" t="n"/>
      <c r="J230" s="633" t="n"/>
      <c r="K230" s="633" t="n"/>
      <c r="L230" s="633">
        <f>CCBASE!$I$13*B230/1000</f>
        <v/>
      </c>
      <c r="M230" s="633" t="n"/>
      <c r="N230" s="633">
        <f>CCBASE!$I$7*B230/1000</f>
        <v/>
      </c>
      <c r="O230" s="633">
        <f>CCBASE!$I$45*B230/1000</f>
        <v/>
      </c>
      <c r="P230" s="633" t="n"/>
      <c r="Q230" s="633">
        <f>CCBASE!$H$51</f>
        <v/>
      </c>
      <c r="R230" s="633">
        <f>CCBASE!$I$4</f>
        <v/>
      </c>
      <c r="S230" s="633">
        <f>CCBASE!$I$8</f>
        <v/>
      </c>
      <c r="T230" s="633">
        <f>CCBASE!$I$44</f>
        <v/>
      </c>
      <c r="U230" s="633">
        <f>CCBASE!$I$47*2</f>
        <v/>
      </c>
      <c r="V230" s="633">
        <f>CCBASE!$I$46</f>
        <v/>
      </c>
      <c r="W230" s="633">
        <f>CCBASE!$I$40*B230/1000</f>
        <v/>
      </c>
      <c r="X230" s="633" t="n"/>
      <c r="Y230" s="633" t="n"/>
      <c r="Z230" s="633" t="n"/>
      <c r="AA230" s="633" t="n"/>
      <c r="AB230" s="633" t="n"/>
      <c r="AC230" s="633" t="n"/>
      <c r="AD230" s="633">
        <f>CCBASE!$I$36*2</f>
        <v/>
      </c>
    </row>
    <row r="231">
      <c r="A231" s="631" t="inlineStr">
        <is>
          <t>KVF</t>
        </is>
      </c>
      <c r="B231" s="631" t="n">
        <v>2000</v>
      </c>
      <c r="C231" s="631" t="n">
        <v>1000</v>
      </c>
      <c r="D231" s="631">
        <f>A231&amp;B231&amp;C231</f>
        <v/>
      </c>
      <c r="E231" s="1040">
        <f>SUM(G231:AD231)</f>
        <v/>
      </c>
      <c r="F231" s="632" t="n">
        <v>24.5</v>
      </c>
      <c r="G231" s="633">
        <f>F231*CCBASE!$B$51</f>
        <v/>
      </c>
      <c r="H231" s="633">
        <f>CCBASE!$I$12*B231/1000</f>
        <v/>
      </c>
      <c r="I231" s="633" t="n"/>
      <c r="J231" s="633" t="n"/>
      <c r="K231" s="633" t="n"/>
      <c r="L231" s="633">
        <f>CCBASE!$I$13*B231/1000</f>
        <v/>
      </c>
      <c r="M231" s="633" t="n"/>
      <c r="N231" s="633">
        <f>CCBASE!$I$7*B231/1000</f>
        <v/>
      </c>
      <c r="O231" s="633">
        <f>CCBASE!$I$45*B231/1000</f>
        <v/>
      </c>
      <c r="P231" s="633" t="n"/>
      <c r="Q231" s="633">
        <f>CCBASE!$H$51</f>
        <v/>
      </c>
      <c r="R231" s="633">
        <f>CCBASE!$I$4</f>
        <v/>
      </c>
      <c r="S231" s="633">
        <f>CCBASE!$I$8</f>
        <v/>
      </c>
      <c r="T231" s="633">
        <f>CCBASE!$I$44</f>
        <v/>
      </c>
      <c r="U231" s="633">
        <f>CCBASE!$I$47*2</f>
        <v/>
      </c>
      <c r="V231" s="633">
        <f>CCBASE!$I$46</f>
        <v/>
      </c>
      <c r="W231" s="633">
        <f>CCBASE!$I$40*B231/1000</f>
        <v/>
      </c>
      <c r="X231" s="633" t="n"/>
      <c r="Y231" s="633" t="n"/>
      <c r="Z231" s="633" t="n"/>
      <c r="AA231" s="633" t="n"/>
      <c r="AB231" s="633" t="n"/>
      <c r="AC231" s="633" t="n"/>
      <c r="AD231" s="633">
        <f>CCBASE!$I$36*2</f>
        <v/>
      </c>
    </row>
    <row r="232">
      <c r="A232" s="631" t="inlineStr">
        <is>
          <t>KVF</t>
        </is>
      </c>
      <c r="B232" s="631" t="n">
        <v>2250</v>
      </c>
      <c r="C232" s="631" t="n">
        <v>1000</v>
      </c>
      <c r="D232" s="631">
        <f>A232&amp;B232&amp;C232</f>
        <v/>
      </c>
      <c r="E232" s="1040">
        <f>SUM(G232:AD232)</f>
        <v/>
      </c>
      <c r="F232" s="632" t="n">
        <v>25.5</v>
      </c>
      <c r="G232" s="633">
        <f>F232*CCBASE!$B$51</f>
        <v/>
      </c>
      <c r="H232" s="633">
        <f>CCBASE!$I$12*B232/1000</f>
        <v/>
      </c>
      <c r="I232" s="633" t="n"/>
      <c r="J232" s="633" t="n"/>
      <c r="K232" s="633" t="n"/>
      <c r="L232" s="633">
        <f>CCBASE!$I$13*B232/1000</f>
        <v/>
      </c>
      <c r="M232" s="633" t="n"/>
      <c r="N232" s="633">
        <f>CCBASE!$I$7*B232/1000</f>
        <v/>
      </c>
      <c r="O232" s="633">
        <f>CCBASE!$I$45*B232/1000</f>
        <v/>
      </c>
      <c r="P232" s="633" t="n"/>
      <c r="Q232" s="633">
        <f>CCBASE!$H$51</f>
        <v/>
      </c>
      <c r="R232" s="633">
        <f>CCBASE!$I$4</f>
        <v/>
      </c>
      <c r="S232" s="633">
        <f>CCBASE!$I$8</f>
        <v/>
      </c>
      <c r="T232" s="633">
        <f>CCBASE!$I$44</f>
        <v/>
      </c>
      <c r="U232" s="633">
        <f>CCBASE!$I$47*2</f>
        <v/>
      </c>
      <c r="V232" s="633">
        <f>CCBASE!$I$46</f>
        <v/>
      </c>
      <c r="W232" s="633">
        <f>CCBASE!$I$40*B232/1000</f>
        <v/>
      </c>
      <c r="X232" s="633" t="n"/>
      <c r="Y232" s="633" t="n"/>
      <c r="Z232" s="633" t="n"/>
      <c r="AA232" s="633" t="n"/>
      <c r="AB232" s="633" t="n"/>
      <c r="AC232" s="633" t="n"/>
      <c r="AD232" s="633">
        <f>CCBASE!$I$36*2</f>
        <v/>
      </c>
    </row>
    <row r="233">
      <c r="A233" s="631" t="inlineStr">
        <is>
          <t>KVF</t>
        </is>
      </c>
      <c r="B233" s="631" t="n">
        <v>2500</v>
      </c>
      <c r="C233" s="631" t="n">
        <v>1000</v>
      </c>
      <c r="D233" s="631">
        <f>A233&amp;B233&amp;C233</f>
        <v/>
      </c>
      <c r="E233" s="1040">
        <f>SUM(G233:AD233)</f>
        <v/>
      </c>
      <c r="F233" s="632" t="n">
        <v>25.5</v>
      </c>
      <c r="G233" s="633">
        <f>F233*CCBASE!$B$51</f>
        <v/>
      </c>
      <c r="H233" s="633">
        <f>CCBASE!$I$12*B233/1000</f>
        <v/>
      </c>
      <c r="I233" s="633" t="n"/>
      <c r="J233" s="633" t="n"/>
      <c r="K233" s="633" t="n"/>
      <c r="L233" s="633">
        <f>CCBASE!$I$13*B233/1000</f>
        <v/>
      </c>
      <c r="M233" s="633" t="n"/>
      <c r="N233" s="633">
        <f>CCBASE!$I$7*B233/1000</f>
        <v/>
      </c>
      <c r="O233" s="633">
        <f>CCBASE!$I$45*B233/1000</f>
        <v/>
      </c>
      <c r="P233" s="633" t="n"/>
      <c r="Q233" s="633">
        <f>CCBASE!$H$51</f>
        <v/>
      </c>
      <c r="R233" s="633">
        <f>CCBASE!$I$4</f>
        <v/>
      </c>
      <c r="S233" s="633">
        <f>CCBASE!$I$8</f>
        <v/>
      </c>
      <c r="T233" s="633">
        <f>CCBASE!$I$44</f>
        <v/>
      </c>
      <c r="U233" s="633">
        <f>CCBASE!$I$47*2</f>
        <v/>
      </c>
      <c r="V233" s="633">
        <f>CCBASE!$I$46</f>
        <v/>
      </c>
      <c r="W233" s="633">
        <f>CCBASE!$I$40*B233/1000</f>
        <v/>
      </c>
      <c r="X233" s="633" t="n"/>
      <c r="Y233" s="633" t="n"/>
      <c r="Z233" s="633" t="n"/>
      <c r="AA233" s="633" t="n"/>
      <c r="AB233" s="633" t="n"/>
      <c r="AC233" s="633" t="n"/>
      <c r="AD233" s="633">
        <f>CCBASE!$I$36*2</f>
        <v/>
      </c>
    </row>
    <row r="234">
      <c r="A234" s="631" t="inlineStr">
        <is>
          <t>KVF</t>
        </is>
      </c>
      <c r="B234" s="631" t="n">
        <v>2750</v>
      </c>
      <c r="C234" s="631" t="n">
        <v>1000</v>
      </c>
      <c r="D234" s="631">
        <f>A234&amp;B234&amp;C234</f>
        <v/>
      </c>
      <c r="E234" s="1040">
        <f>SUM(G234:AD234)</f>
        <v/>
      </c>
      <c r="F234" s="632" t="n">
        <v>25.5</v>
      </c>
      <c r="G234" s="633">
        <f>F234*CCBASE!$B$51</f>
        <v/>
      </c>
      <c r="H234" s="633">
        <f>CCBASE!$I$12*B234/1000</f>
        <v/>
      </c>
      <c r="I234" s="633" t="n"/>
      <c r="J234" s="633" t="n"/>
      <c r="K234" s="633" t="n"/>
      <c r="L234" s="633">
        <f>CCBASE!$I$13*B234/1000</f>
        <v/>
      </c>
      <c r="M234" s="633" t="n"/>
      <c r="N234" s="633">
        <f>CCBASE!$I$7*B234/1000</f>
        <v/>
      </c>
      <c r="O234" s="633">
        <f>CCBASE!$I$45*B234/1000</f>
        <v/>
      </c>
      <c r="P234" s="633" t="n"/>
      <c r="Q234" s="633">
        <f>CCBASE!$H$51</f>
        <v/>
      </c>
      <c r="R234" s="633">
        <f>CCBASE!$I$4</f>
        <v/>
      </c>
      <c r="S234" s="633">
        <f>CCBASE!$I$8</f>
        <v/>
      </c>
      <c r="T234" s="633">
        <f>CCBASE!$I$44</f>
        <v/>
      </c>
      <c r="U234" s="633">
        <f>CCBASE!$I$47*2</f>
        <v/>
      </c>
      <c r="V234" s="633">
        <f>CCBASE!$I$46</f>
        <v/>
      </c>
      <c r="W234" s="633">
        <f>CCBASE!$I$40*B234/1000</f>
        <v/>
      </c>
      <c r="X234" s="633" t="n"/>
      <c r="Y234" s="633" t="n"/>
      <c r="Z234" s="633" t="n"/>
      <c r="AA234" s="633" t="n"/>
      <c r="AB234" s="633" t="n"/>
      <c r="AC234" s="633" t="n"/>
      <c r="AD234" s="633">
        <f>CCBASE!$I$36*2</f>
        <v/>
      </c>
    </row>
    <row r="235">
      <c r="A235" s="631" t="inlineStr">
        <is>
          <t>KVF</t>
        </is>
      </c>
      <c r="B235" s="631" t="n">
        <v>3000</v>
      </c>
      <c r="C235" s="631" t="n">
        <v>1000</v>
      </c>
      <c r="D235" s="631">
        <f>A235&amp;B235&amp;C235</f>
        <v/>
      </c>
      <c r="E235" s="1040">
        <f>SUM(G235:AD235)</f>
        <v/>
      </c>
      <c r="F235" s="632" t="n">
        <v>25.5</v>
      </c>
      <c r="G235" s="633">
        <f>F235*CCBASE!$B$51</f>
        <v/>
      </c>
      <c r="H235" s="633">
        <f>CCBASE!$I$12*B235/1000</f>
        <v/>
      </c>
      <c r="I235" s="633" t="n"/>
      <c r="J235" s="633" t="n"/>
      <c r="K235" s="633" t="n"/>
      <c r="L235" s="633">
        <f>CCBASE!$I$13*B235/1000</f>
        <v/>
      </c>
      <c r="M235" s="633" t="n"/>
      <c r="N235" s="633">
        <f>CCBASE!$I$7*B235/1000</f>
        <v/>
      </c>
      <c r="O235" s="633">
        <f>CCBASE!$I$45*B235/1000</f>
        <v/>
      </c>
      <c r="P235" s="633" t="n"/>
      <c r="Q235" s="633">
        <f>CCBASE!$H$51</f>
        <v/>
      </c>
      <c r="R235" s="633">
        <f>CCBASE!$I$4</f>
        <v/>
      </c>
      <c r="S235" s="633">
        <f>CCBASE!$I$8</f>
        <v/>
      </c>
      <c r="T235" s="633">
        <f>CCBASE!$I$44</f>
        <v/>
      </c>
      <c r="U235" s="633">
        <f>CCBASE!$I$47*2</f>
        <v/>
      </c>
      <c r="V235" s="633">
        <f>CCBASE!$I$46</f>
        <v/>
      </c>
      <c r="W235" s="633">
        <f>CCBASE!$I$40*B235/1000</f>
        <v/>
      </c>
      <c r="X235" s="633" t="n"/>
      <c r="Y235" s="633" t="n"/>
      <c r="Z235" s="633" t="n"/>
      <c r="AA235" s="633" t="n"/>
      <c r="AB235" s="633" t="n"/>
      <c r="AC235" s="633" t="n"/>
      <c r="AD235" s="633">
        <f>CCBASE!$I$36*2</f>
        <v/>
      </c>
    </row>
    <row r="236">
      <c r="A236" s="631" t="inlineStr">
        <is>
          <t>KVF</t>
        </is>
      </c>
      <c r="B236" s="631" t="n">
        <v>1000</v>
      </c>
      <c r="C236" s="631" t="n">
        <v>1250</v>
      </c>
      <c r="D236" s="631">
        <f>A236&amp;B236&amp;C236</f>
        <v/>
      </c>
      <c r="E236" s="1040">
        <f>SUM(G236:AD236)</f>
        <v/>
      </c>
      <c r="F236" s="632" t="n">
        <v>24.5</v>
      </c>
      <c r="G236" s="633">
        <f>F236*CCBASE!$B$51</f>
        <v/>
      </c>
      <c r="H236" s="633">
        <f>CCBASE!$I$12*B236/1000</f>
        <v/>
      </c>
      <c r="I236" s="633" t="n"/>
      <c r="J236" s="633" t="n"/>
      <c r="K236" s="633" t="n"/>
      <c r="L236" s="633">
        <f>CCBASE!$I$13*B236/1000</f>
        <v/>
      </c>
      <c r="M236" s="633" t="n"/>
      <c r="N236" s="633">
        <f>CCBASE!$I$7*B236/1000</f>
        <v/>
      </c>
      <c r="O236" s="633">
        <f>CCBASE!$I$45*B236/1000</f>
        <v/>
      </c>
      <c r="P236" s="633" t="n"/>
      <c r="Q236" s="633">
        <f>CCBASE!$H$51</f>
        <v/>
      </c>
      <c r="R236" s="633">
        <f>CCBASE!$I$4</f>
        <v/>
      </c>
      <c r="S236" s="633">
        <f>CCBASE!$I$8</f>
        <v/>
      </c>
      <c r="T236" s="633">
        <f>CCBASE!$I$44</f>
        <v/>
      </c>
      <c r="U236" s="633">
        <f>CCBASE!$I$47</f>
        <v/>
      </c>
      <c r="V236" s="633">
        <f>CCBASE!$I$46/2</f>
        <v/>
      </c>
      <c r="W236" s="633">
        <f>CCBASE!$I$40*B236/1000</f>
        <v/>
      </c>
      <c r="X236" s="633" t="n"/>
      <c r="Y236" s="633" t="n"/>
      <c r="Z236" s="633" t="n"/>
      <c r="AA236" s="633" t="n"/>
      <c r="AB236" s="633" t="n"/>
      <c r="AC236" s="633" t="n"/>
      <c r="AD236" s="633">
        <f>CCBASE!$I$36*2</f>
        <v/>
      </c>
    </row>
    <row r="237">
      <c r="A237" s="631" t="inlineStr">
        <is>
          <t>KVF</t>
        </is>
      </c>
      <c r="B237" s="631" t="n">
        <v>1250</v>
      </c>
      <c r="C237" s="631" t="n">
        <v>1250</v>
      </c>
      <c r="D237" s="631">
        <f>A237&amp;B237&amp;C237</f>
        <v/>
      </c>
      <c r="E237" s="1040">
        <f>SUM(G237:AD237)</f>
        <v/>
      </c>
      <c r="F237" s="632" t="n">
        <v>24.5</v>
      </c>
      <c r="G237" s="633">
        <f>F237*CCBASE!$B$51</f>
        <v/>
      </c>
      <c r="H237" s="633">
        <f>CCBASE!$I$12*B237/1000</f>
        <v/>
      </c>
      <c r="I237" s="633" t="n"/>
      <c r="J237" s="633" t="n"/>
      <c r="K237" s="633" t="n"/>
      <c r="L237" s="633">
        <f>CCBASE!$I$13*B237/1000</f>
        <v/>
      </c>
      <c r="M237" s="633" t="n"/>
      <c r="N237" s="633">
        <f>CCBASE!$I$7*B237/1000</f>
        <v/>
      </c>
      <c r="O237" s="633">
        <f>CCBASE!$I$45*B237/1000</f>
        <v/>
      </c>
      <c r="P237" s="633" t="n"/>
      <c r="Q237" s="633">
        <f>CCBASE!$H$51</f>
        <v/>
      </c>
      <c r="R237" s="633">
        <f>CCBASE!$I$4</f>
        <v/>
      </c>
      <c r="S237" s="633">
        <f>CCBASE!$I$8</f>
        <v/>
      </c>
      <c r="T237" s="633">
        <f>CCBASE!$I$44</f>
        <v/>
      </c>
      <c r="U237" s="633">
        <f>CCBASE!$I$47*2</f>
        <v/>
      </c>
      <c r="V237" s="633">
        <f>CCBASE!$I$46/2</f>
        <v/>
      </c>
      <c r="W237" s="633">
        <f>CCBASE!$I$40*B237/1000</f>
        <v/>
      </c>
      <c r="X237" s="633" t="n"/>
      <c r="Y237" s="633" t="n"/>
      <c r="Z237" s="633" t="n"/>
      <c r="AA237" s="633" t="n"/>
      <c r="AB237" s="633" t="n"/>
      <c r="AC237" s="633" t="n"/>
      <c r="AD237" s="633">
        <f>CCBASE!$I$36*2</f>
        <v/>
      </c>
    </row>
    <row r="238">
      <c r="A238" s="631" t="inlineStr">
        <is>
          <t>KVF</t>
        </is>
      </c>
      <c r="B238" s="631" t="n">
        <v>1500</v>
      </c>
      <c r="C238" s="631" t="n">
        <v>1250</v>
      </c>
      <c r="D238" s="631">
        <f>A238&amp;B238&amp;C238</f>
        <v/>
      </c>
      <c r="E238" s="1040">
        <f>SUM(G238:AD238)</f>
        <v/>
      </c>
      <c r="F238" s="632" t="n">
        <v>24.5</v>
      </c>
      <c r="G238" s="633">
        <f>F238*CCBASE!$B$51</f>
        <v/>
      </c>
      <c r="H238" s="633">
        <f>CCBASE!$I$12*B238/1000</f>
        <v/>
      </c>
      <c r="I238" s="633" t="n"/>
      <c r="J238" s="633" t="n"/>
      <c r="K238" s="633" t="n"/>
      <c r="L238" s="633">
        <f>CCBASE!$I$13*B238/1000</f>
        <v/>
      </c>
      <c r="M238" s="633" t="n"/>
      <c r="N238" s="633">
        <f>CCBASE!$I$7*B238/1000</f>
        <v/>
      </c>
      <c r="O238" s="633">
        <f>CCBASE!$I$45*B238/1000</f>
        <v/>
      </c>
      <c r="P238" s="633" t="n"/>
      <c r="Q238" s="633">
        <f>CCBASE!$H$51</f>
        <v/>
      </c>
      <c r="R238" s="633">
        <f>CCBASE!$I$4</f>
        <v/>
      </c>
      <c r="S238" s="633">
        <f>CCBASE!$I$8</f>
        <v/>
      </c>
      <c r="T238" s="633">
        <f>CCBASE!$I$44</f>
        <v/>
      </c>
      <c r="U238" s="633">
        <f>CCBASE!$I$47*2</f>
        <v/>
      </c>
      <c r="V238" s="633">
        <f>CCBASE!$I$46/2</f>
        <v/>
      </c>
      <c r="W238" s="633">
        <f>CCBASE!$I$40*B238/1000</f>
        <v/>
      </c>
      <c r="X238" s="633" t="n"/>
      <c r="Y238" s="633" t="n"/>
      <c r="Z238" s="633" t="n"/>
      <c r="AA238" s="633" t="n"/>
      <c r="AB238" s="633" t="n"/>
      <c r="AC238" s="633" t="n"/>
      <c r="AD238" s="633">
        <f>CCBASE!$I$36*2</f>
        <v/>
      </c>
    </row>
    <row r="239">
      <c r="A239" s="631" t="inlineStr">
        <is>
          <t>KVF</t>
        </is>
      </c>
      <c r="B239" s="631" t="n">
        <v>1750</v>
      </c>
      <c r="C239" s="631" t="n">
        <v>1250</v>
      </c>
      <c r="D239" s="631">
        <f>A239&amp;B239&amp;C239</f>
        <v/>
      </c>
      <c r="E239" s="1040">
        <f>SUM(G239:AD239)</f>
        <v/>
      </c>
      <c r="F239" s="632" t="n">
        <v>24.5</v>
      </c>
      <c r="G239" s="633">
        <f>F239*CCBASE!$B$51</f>
        <v/>
      </c>
      <c r="H239" s="633">
        <f>CCBASE!$I$12*B239/1000</f>
        <v/>
      </c>
      <c r="I239" s="633" t="n"/>
      <c r="J239" s="633" t="n"/>
      <c r="K239" s="633" t="n"/>
      <c r="L239" s="633">
        <f>CCBASE!$I$13*B239/1000</f>
        <v/>
      </c>
      <c r="M239" s="633" t="n"/>
      <c r="N239" s="633">
        <f>CCBASE!$I$7*B239/1000</f>
        <v/>
      </c>
      <c r="O239" s="633">
        <f>CCBASE!$I$45*B239/1000</f>
        <v/>
      </c>
      <c r="P239" s="633" t="n"/>
      <c r="Q239" s="633">
        <f>CCBASE!$H$51</f>
        <v/>
      </c>
      <c r="R239" s="633">
        <f>CCBASE!$I$4</f>
        <v/>
      </c>
      <c r="S239" s="633">
        <f>CCBASE!$I$8</f>
        <v/>
      </c>
      <c r="T239" s="633">
        <f>CCBASE!$I$44</f>
        <v/>
      </c>
      <c r="U239" s="633">
        <f>CCBASE!$I$47*2</f>
        <v/>
      </c>
      <c r="V239" s="633">
        <f>CCBASE!$I$46</f>
        <v/>
      </c>
      <c r="W239" s="633">
        <f>CCBASE!$I$40*B239/1000</f>
        <v/>
      </c>
      <c r="X239" s="633" t="n"/>
      <c r="Y239" s="633" t="n"/>
      <c r="Z239" s="633" t="n"/>
      <c r="AA239" s="633" t="n"/>
      <c r="AB239" s="633" t="n"/>
      <c r="AC239" s="633" t="n"/>
      <c r="AD239" s="633">
        <f>CCBASE!$I$36*2</f>
        <v/>
      </c>
    </row>
    <row r="240">
      <c r="A240" s="631" t="inlineStr">
        <is>
          <t>KVF</t>
        </is>
      </c>
      <c r="B240" s="631" t="n">
        <v>2000</v>
      </c>
      <c r="C240" s="631" t="n">
        <v>1250</v>
      </c>
      <c r="D240" s="631">
        <f>A240&amp;B240&amp;C240</f>
        <v/>
      </c>
      <c r="E240" s="1040">
        <f>SUM(G240:AD240)</f>
        <v/>
      </c>
      <c r="F240" s="632" t="n">
        <v>24.5</v>
      </c>
      <c r="G240" s="633">
        <f>F240*CCBASE!$B$51</f>
        <v/>
      </c>
      <c r="H240" s="633">
        <f>CCBASE!$I$12*B240/1000</f>
        <v/>
      </c>
      <c r="I240" s="633" t="n"/>
      <c r="J240" s="633" t="n"/>
      <c r="K240" s="633" t="n"/>
      <c r="L240" s="633">
        <f>CCBASE!$I$13*B240/1000</f>
        <v/>
      </c>
      <c r="M240" s="633" t="n"/>
      <c r="N240" s="633">
        <f>CCBASE!$I$7*B240/1000</f>
        <v/>
      </c>
      <c r="O240" s="633">
        <f>CCBASE!$I$45*B240/1000</f>
        <v/>
      </c>
      <c r="P240" s="633" t="n"/>
      <c r="Q240" s="633">
        <f>CCBASE!$H$51</f>
        <v/>
      </c>
      <c r="R240" s="633">
        <f>CCBASE!$I$4</f>
        <v/>
      </c>
      <c r="S240" s="633">
        <f>CCBASE!$I$8</f>
        <v/>
      </c>
      <c r="T240" s="633">
        <f>CCBASE!$I$44</f>
        <v/>
      </c>
      <c r="U240" s="633">
        <f>CCBASE!$I$47*2</f>
        <v/>
      </c>
      <c r="V240" s="633">
        <f>CCBASE!$I$46</f>
        <v/>
      </c>
      <c r="W240" s="633">
        <f>CCBASE!$I$40*B240/1000</f>
        <v/>
      </c>
      <c r="X240" s="633" t="n"/>
      <c r="Y240" s="633" t="n"/>
      <c r="Z240" s="633" t="n"/>
      <c r="AA240" s="633" t="n"/>
      <c r="AB240" s="633" t="n"/>
      <c r="AC240" s="633" t="n"/>
      <c r="AD240" s="633">
        <f>CCBASE!$I$36*2</f>
        <v/>
      </c>
    </row>
    <row r="241">
      <c r="A241" s="631" t="inlineStr">
        <is>
          <t>KVF</t>
        </is>
      </c>
      <c r="B241" s="631" t="n">
        <v>2250</v>
      </c>
      <c r="C241" s="631" t="n">
        <v>1250</v>
      </c>
      <c r="D241" s="631">
        <f>A241&amp;B241&amp;C241</f>
        <v/>
      </c>
      <c r="E241" s="1040">
        <f>SUM(G241:AD241)</f>
        <v/>
      </c>
      <c r="F241" s="632" t="n">
        <v>24.5</v>
      </c>
      <c r="G241" s="633">
        <f>F241*CCBASE!$B$51</f>
        <v/>
      </c>
      <c r="H241" s="633">
        <f>CCBASE!$I$12*B241/1000</f>
        <v/>
      </c>
      <c r="I241" s="633" t="n"/>
      <c r="J241" s="633" t="n"/>
      <c r="K241" s="633" t="n"/>
      <c r="L241" s="633">
        <f>CCBASE!$I$13*B241/1000</f>
        <v/>
      </c>
      <c r="M241" s="633" t="n"/>
      <c r="N241" s="633">
        <f>CCBASE!$I$7*B241/1000</f>
        <v/>
      </c>
      <c r="O241" s="633">
        <f>CCBASE!$I$45*B241/1000</f>
        <v/>
      </c>
      <c r="P241" s="633" t="n"/>
      <c r="Q241" s="633">
        <f>CCBASE!$H$51</f>
        <v/>
      </c>
      <c r="R241" s="633">
        <f>CCBASE!$I$4</f>
        <v/>
      </c>
      <c r="S241" s="633">
        <f>CCBASE!$I$8</f>
        <v/>
      </c>
      <c r="T241" s="633">
        <f>CCBASE!$I$44</f>
        <v/>
      </c>
      <c r="U241" s="633">
        <f>CCBASE!$I$47*2</f>
        <v/>
      </c>
      <c r="V241" s="633">
        <f>CCBASE!$I$46</f>
        <v/>
      </c>
      <c r="W241" s="633">
        <f>CCBASE!$I$40*B241/1000</f>
        <v/>
      </c>
      <c r="X241" s="633" t="n"/>
      <c r="Y241" s="633" t="n"/>
      <c r="Z241" s="633" t="n"/>
      <c r="AA241" s="633" t="n"/>
      <c r="AB241" s="633" t="n"/>
      <c r="AC241" s="633" t="n"/>
      <c r="AD241" s="633">
        <f>CCBASE!$I$36*2</f>
        <v/>
      </c>
    </row>
    <row r="242">
      <c r="A242" s="631" t="inlineStr">
        <is>
          <t>KVF</t>
        </is>
      </c>
      <c r="B242" s="631" t="n">
        <v>2500</v>
      </c>
      <c r="C242" s="631" t="n">
        <v>1250</v>
      </c>
      <c r="D242" s="631">
        <f>A242&amp;B242&amp;C242</f>
        <v/>
      </c>
      <c r="E242" s="1040">
        <f>SUM(G242:AD242)</f>
        <v/>
      </c>
      <c r="F242" s="632" t="n">
        <v>25.5</v>
      </c>
      <c r="G242" s="633">
        <f>F242*CCBASE!$B$51</f>
        <v/>
      </c>
      <c r="H242" s="633">
        <f>CCBASE!$I$12*B242/1000</f>
        <v/>
      </c>
      <c r="I242" s="633" t="n"/>
      <c r="J242" s="633" t="n"/>
      <c r="K242" s="633" t="n"/>
      <c r="L242" s="633">
        <f>CCBASE!$I$13*B242/1000</f>
        <v/>
      </c>
      <c r="M242" s="633" t="n"/>
      <c r="N242" s="633">
        <f>CCBASE!$I$7*B242/1000</f>
        <v/>
      </c>
      <c r="O242" s="633">
        <f>CCBASE!$I$45*B242/1000</f>
        <v/>
      </c>
      <c r="P242" s="633" t="n"/>
      <c r="Q242" s="633">
        <f>CCBASE!$H$51</f>
        <v/>
      </c>
      <c r="R242" s="633">
        <f>CCBASE!$I$4</f>
        <v/>
      </c>
      <c r="S242" s="633">
        <f>CCBASE!$I$8</f>
        <v/>
      </c>
      <c r="T242" s="633">
        <f>CCBASE!$I$44</f>
        <v/>
      </c>
      <c r="U242" s="633">
        <f>CCBASE!$I$47*2</f>
        <v/>
      </c>
      <c r="V242" s="633">
        <f>CCBASE!$I$46</f>
        <v/>
      </c>
      <c r="W242" s="633">
        <f>CCBASE!$I$40*B242/1000</f>
        <v/>
      </c>
      <c r="X242" s="633" t="n"/>
      <c r="Y242" s="633" t="n"/>
      <c r="Z242" s="633" t="n"/>
      <c r="AA242" s="633" t="n"/>
      <c r="AB242" s="633" t="n"/>
      <c r="AC242" s="633" t="n"/>
      <c r="AD242" s="633">
        <f>CCBASE!$I$36*2</f>
        <v/>
      </c>
    </row>
    <row r="243">
      <c r="A243" s="631" t="inlineStr">
        <is>
          <t>KVF</t>
        </is>
      </c>
      <c r="B243" s="631" t="n">
        <v>2750</v>
      </c>
      <c r="C243" s="631" t="n">
        <v>1250</v>
      </c>
      <c r="D243" s="631">
        <f>A243&amp;B243&amp;C243</f>
        <v/>
      </c>
      <c r="E243" s="1040">
        <f>SUM(G243:AD243)</f>
        <v/>
      </c>
      <c r="F243" s="632" t="n">
        <v>25.5</v>
      </c>
      <c r="G243" s="633">
        <f>F243*CCBASE!$B$51</f>
        <v/>
      </c>
      <c r="H243" s="633">
        <f>CCBASE!$I$12*B243/1000</f>
        <v/>
      </c>
      <c r="I243" s="633" t="n"/>
      <c r="J243" s="633" t="n"/>
      <c r="K243" s="633" t="n"/>
      <c r="L243" s="633">
        <f>CCBASE!$I$13*B243/1000</f>
        <v/>
      </c>
      <c r="M243" s="633" t="n"/>
      <c r="N243" s="633">
        <f>CCBASE!$I$7*B243/1000</f>
        <v/>
      </c>
      <c r="O243" s="633">
        <f>CCBASE!$I$45*B243/1000</f>
        <v/>
      </c>
      <c r="P243" s="633" t="n"/>
      <c r="Q243" s="633">
        <f>CCBASE!$H$51</f>
        <v/>
      </c>
      <c r="R243" s="633">
        <f>CCBASE!$I$4</f>
        <v/>
      </c>
      <c r="S243" s="633">
        <f>CCBASE!$I$8</f>
        <v/>
      </c>
      <c r="T243" s="633">
        <f>CCBASE!$I$44</f>
        <v/>
      </c>
      <c r="U243" s="633">
        <f>CCBASE!$I$47*2</f>
        <v/>
      </c>
      <c r="V243" s="633">
        <f>CCBASE!$I$46</f>
        <v/>
      </c>
      <c r="W243" s="633">
        <f>CCBASE!$I$40*B243/1000</f>
        <v/>
      </c>
      <c r="X243" s="633" t="n"/>
      <c r="Y243" s="633" t="n"/>
      <c r="Z243" s="633" t="n"/>
      <c r="AA243" s="633" t="n"/>
      <c r="AB243" s="633" t="n"/>
      <c r="AC243" s="633" t="n"/>
      <c r="AD243" s="633">
        <f>CCBASE!$I$36*2</f>
        <v/>
      </c>
    </row>
    <row r="244">
      <c r="A244" s="631" t="inlineStr">
        <is>
          <t>KVF</t>
        </is>
      </c>
      <c r="B244" s="631" t="n">
        <v>3000</v>
      </c>
      <c r="C244" s="631" t="n">
        <v>1250</v>
      </c>
      <c r="D244" s="631">
        <f>A244&amp;B244&amp;C244</f>
        <v/>
      </c>
      <c r="E244" s="1040">
        <f>SUM(G244:AD244)</f>
        <v/>
      </c>
      <c r="F244" s="632" t="n">
        <v>25.5</v>
      </c>
      <c r="G244" s="633">
        <f>F244*CCBASE!$B$51</f>
        <v/>
      </c>
      <c r="H244" s="633">
        <f>CCBASE!$I$12*B244/1000</f>
        <v/>
      </c>
      <c r="I244" s="633" t="n"/>
      <c r="J244" s="633" t="n"/>
      <c r="K244" s="633" t="n"/>
      <c r="L244" s="633">
        <f>CCBASE!$I$13*B244/1000</f>
        <v/>
      </c>
      <c r="M244" s="633" t="n"/>
      <c r="N244" s="633">
        <f>CCBASE!$I$7*B244/1000</f>
        <v/>
      </c>
      <c r="O244" s="633">
        <f>CCBASE!$I$45*B244/1000</f>
        <v/>
      </c>
      <c r="P244" s="633" t="n"/>
      <c r="Q244" s="633">
        <f>CCBASE!$H$51</f>
        <v/>
      </c>
      <c r="R244" s="633">
        <f>CCBASE!$I$4</f>
        <v/>
      </c>
      <c r="S244" s="633">
        <f>CCBASE!$I$8</f>
        <v/>
      </c>
      <c r="T244" s="633">
        <f>CCBASE!$I$44</f>
        <v/>
      </c>
      <c r="U244" s="633">
        <f>CCBASE!$I$47*2</f>
        <v/>
      </c>
      <c r="V244" s="633">
        <f>CCBASE!$I$46</f>
        <v/>
      </c>
      <c r="W244" s="633">
        <f>CCBASE!$I$40*B244/1000</f>
        <v/>
      </c>
      <c r="X244" s="633" t="n"/>
      <c r="Y244" s="633" t="n"/>
      <c r="Z244" s="633" t="n"/>
      <c r="AA244" s="633" t="n"/>
      <c r="AB244" s="633" t="n"/>
      <c r="AC244" s="633" t="n"/>
      <c r="AD244" s="633">
        <f>CCBASE!$I$36*2</f>
        <v/>
      </c>
    </row>
    <row r="245">
      <c r="A245" s="631" t="inlineStr">
        <is>
          <t>KVF</t>
        </is>
      </c>
      <c r="B245" s="631" t="n">
        <v>1000</v>
      </c>
      <c r="C245" s="631" t="n">
        <v>1500</v>
      </c>
      <c r="D245" s="631">
        <f>A245&amp;B245&amp;C245</f>
        <v/>
      </c>
      <c r="E245" s="1040">
        <f>SUM(G245:AD245)</f>
        <v/>
      </c>
      <c r="F245" s="632" t="n">
        <v>24.5</v>
      </c>
      <c r="G245" s="633">
        <f>F245*CCBASE!$B$51</f>
        <v/>
      </c>
      <c r="H245" s="633">
        <f>CCBASE!$I$12*B245/1000</f>
        <v/>
      </c>
      <c r="I245" s="633" t="n"/>
      <c r="J245" s="633" t="n"/>
      <c r="K245" s="633" t="n"/>
      <c r="L245" s="633">
        <f>CCBASE!$I$13*B245/1000</f>
        <v/>
      </c>
      <c r="M245" s="633" t="n"/>
      <c r="N245" s="633">
        <f>CCBASE!$I$7*B245/1000</f>
        <v/>
      </c>
      <c r="O245" s="633">
        <f>CCBASE!$I$45*B245/1000</f>
        <v/>
      </c>
      <c r="P245" s="633" t="n"/>
      <c r="Q245" s="633">
        <f>CCBASE!$H$51</f>
        <v/>
      </c>
      <c r="R245" s="633">
        <f>CCBASE!$I$4</f>
        <v/>
      </c>
      <c r="S245" s="633">
        <f>CCBASE!$I$8</f>
        <v/>
      </c>
      <c r="T245" s="633">
        <f>CCBASE!$I$44</f>
        <v/>
      </c>
      <c r="U245" s="633">
        <f>CCBASE!$I$47</f>
        <v/>
      </c>
      <c r="V245" s="633">
        <f>CCBASE!$I$46/2</f>
        <v/>
      </c>
      <c r="W245" s="633">
        <f>CCBASE!$I$41*B245/1000</f>
        <v/>
      </c>
      <c r="X245" s="633" t="n"/>
      <c r="Y245" s="633" t="n"/>
      <c r="Z245" s="633" t="n"/>
      <c r="AA245" s="633" t="n"/>
      <c r="AB245" s="633" t="n"/>
      <c r="AC245" s="633" t="n"/>
      <c r="AD245" s="633">
        <f>CCBASE!$I$37*2</f>
        <v/>
      </c>
    </row>
    <row r="246">
      <c r="A246" s="631" t="inlineStr">
        <is>
          <t>KVF</t>
        </is>
      </c>
      <c r="B246" s="631" t="n">
        <v>1250</v>
      </c>
      <c r="C246" s="631" t="n">
        <v>1500</v>
      </c>
      <c r="D246" s="631">
        <f>A246&amp;B246&amp;C246</f>
        <v/>
      </c>
      <c r="E246" s="1040">
        <f>SUM(G246:AD246)</f>
        <v/>
      </c>
      <c r="F246" s="632" t="n">
        <v>24.5</v>
      </c>
      <c r="G246" s="633">
        <f>F246*CCBASE!$B$51</f>
        <v/>
      </c>
      <c r="H246" s="633">
        <f>CCBASE!$I$12*B246/1000</f>
        <v/>
      </c>
      <c r="I246" s="633" t="n"/>
      <c r="J246" s="633" t="n"/>
      <c r="K246" s="633" t="n"/>
      <c r="L246" s="633">
        <f>CCBASE!$I$13*B246/1000</f>
        <v/>
      </c>
      <c r="M246" s="633" t="n"/>
      <c r="N246" s="633">
        <f>CCBASE!$I$7*B246/1000</f>
        <v/>
      </c>
      <c r="O246" s="633">
        <f>CCBASE!$I$45*B246/1000</f>
        <v/>
      </c>
      <c r="P246" s="633" t="n"/>
      <c r="Q246" s="633">
        <f>CCBASE!$H$51</f>
        <v/>
      </c>
      <c r="R246" s="633">
        <f>CCBASE!$I$4</f>
        <v/>
      </c>
      <c r="S246" s="633">
        <f>CCBASE!$I$8</f>
        <v/>
      </c>
      <c r="T246" s="633">
        <f>CCBASE!$I$44</f>
        <v/>
      </c>
      <c r="U246" s="633">
        <f>CCBASE!$I$47*2</f>
        <v/>
      </c>
      <c r="V246" s="633">
        <f>CCBASE!$I$46/2</f>
        <v/>
      </c>
      <c r="W246" s="633">
        <f>CCBASE!$I$41*B246/1000</f>
        <v/>
      </c>
      <c r="X246" s="633" t="n"/>
      <c r="Y246" s="633" t="n"/>
      <c r="Z246" s="633" t="n"/>
      <c r="AA246" s="633" t="n"/>
      <c r="AB246" s="633" t="n"/>
      <c r="AC246" s="633" t="n"/>
      <c r="AD246" s="633">
        <f>CCBASE!$I$37*2</f>
        <v/>
      </c>
    </row>
    <row r="247">
      <c r="A247" s="631" t="inlineStr">
        <is>
          <t>KVF</t>
        </is>
      </c>
      <c r="B247" s="631" t="n">
        <v>1500</v>
      </c>
      <c r="C247" s="631" t="n">
        <v>1500</v>
      </c>
      <c r="D247" s="631">
        <f>A247&amp;B247&amp;C247</f>
        <v/>
      </c>
      <c r="E247" s="1040">
        <f>SUM(G247:AD247)</f>
        <v/>
      </c>
      <c r="F247" s="632" t="n">
        <v>24.5</v>
      </c>
      <c r="G247" s="633">
        <f>F247*CCBASE!$B$51</f>
        <v/>
      </c>
      <c r="H247" s="633">
        <f>CCBASE!$I$12*B247/1000</f>
        <v/>
      </c>
      <c r="I247" s="633" t="n"/>
      <c r="J247" s="633" t="n"/>
      <c r="K247" s="633" t="n"/>
      <c r="L247" s="633">
        <f>CCBASE!$I$13*B247/1000</f>
        <v/>
      </c>
      <c r="M247" s="633" t="n"/>
      <c r="N247" s="633">
        <f>CCBASE!$I$7*B247/1000</f>
        <v/>
      </c>
      <c r="O247" s="633">
        <f>CCBASE!$I$45*B247/1000</f>
        <v/>
      </c>
      <c r="P247" s="633" t="n"/>
      <c r="Q247" s="633">
        <f>CCBASE!$H$51</f>
        <v/>
      </c>
      <c r="R247" s="633">
        <f>CCBASE!$I$4</f>
        <v/>
      </c>
      <c r="S247" s="633">
        <f>CCBASE!$I$8</f>
        <v/>
      </c>
      <c r="T247" s="633">
        <f>CCBASE!$I$44</f>
        <v/>
      </c>
      <c r="U247" s="633">
        <f>CCBASE!$I$47*2</f>
        <v/>
      </c>
      <c r="V247" s="633">
        <f>CCBASE!$I$46/2</f>
        <v/>
      </c>
      <c r="W247" s="633">
        <f>CCBASE!$I$41*B247/1000</f>
        <v/>
      </c>
      <c r="X247" s="633" t="n"/>
      <c r="Y247" s="633" t="n"/>
      <c r="Z247" s="633" t="n"/>
      <c r="AA247" s="633" t="n"/>
      <c r="AB247" s="633" t="n"/>
      <c r="AC247" s="633" t="n"/>
      <c r="AD247" s="633">
        <f>CCBASE!$I$37*2</f>
        <v/>
      </c>
    </row>
    <row r="248">
      <c r="A248" s="631" t="inlineStr">
        <is>
          <t>KVF</t>
        </is>
      </c>
      <c r="B248" s="631" t="n">
        <v>1750</v>
      </c>
      <c r="C248" s="631" t="n">
        <v>1500</v>
      </c>
      <c r="D248" s="631">
        <f>A248&amp;B248&amp;C248</f>
        <v/>
      </c>
      <c r="E248" s="1040">
        <f>SUM(G248:AD248)</f>
        <v/>
      </c>
      <c r="F248" s="632" t="n">
        <v>24.5</v>
      </c>
      <c r="G248" s="633">
        <f>F248*CCBASE!$B$51</f>
        <v/>
      </c>
      <c r="H248" s="633">
        <f>CCBASE!$I$12*B248/1000</f>
        <v/>
      </c>
      <c r="I248" s="633" t="n"/>
      <c r="J248" s="633" t="n"/>
      <c r="K248" s="633" t="n"/>
      <c r="L248" s="633">
        <f>CCBASE!$I$13*B248/1000</f>
        <v/>
      </c>
      <c r="M248" s="633" t="n"/>
      <c r="N248" s="633">
        <f>CCBASE!$I$7*B248/1000</f>
        <v/>
      </c>
      <c r="O248" s="633">
        <f>CCBASE!$I$45*B248/1000</f>
        <v/>
      </c>
      <c r="P248" s="633" t="n"/>
      <c r="Q248" s="633">
        <f>CCBASE!$H$51</f>
        <v/>
      </c>
      <c r="R248" s="633">
        <f>CCBASE!$I$4</f>
        <v/>
      </c>
      <c r="S248" s="633">
        <f>CCBASE!$I$8</f>
        <v/>
      </c>
      <c r="T248" s="633">
        <f>CCBASE!$I$44</f>
        <v/>
      </c>
      <c r="U248" s="633">
        <f>CCBASE!$I$47*2</f>
        <v/>
      </c>
      <c r="V248" s="633">
        <f>CCBASE!$I$46</f>
        <v/>
      </c>
      <c r="W248" s="633">
        <f>CCBASE!$I$41*B248/1000</f>
        <v/>
      </c>
      <c r="X248" s="633" t="n"/>
      <c r="Y248" s="633" t="n"/>
      <c r="Z248" s="633" t="n"/>
      <c r="AA248" s="633" t="n"/>
      <c r="AB248" s="633" t="n"/>
      <c r="AC248" s="633" t="n"/>
      <c r="AD248" s="633">
        <f>CCBASE!$I$37*2</f>
        <v/>
      </c>
    </row>
    <row r="249">
      <c r="A249" s="631" t="inlineStr">
        <is>
          <t>KVF</t>
        </is>
      </c>
      <c r="B249" s="631" t="n">
        <v>2000</v>
      </c>
      <c r="C249" s="631" t="n">
        <v>1500</v>
      </c>
      <c r="D249" s="631">
        <f>A249&amp;B249&amp;C249</f>
        <v/>
      </c>
      <c r="E249" s="1040">
        <f>SUM(G249:AD249)</f>
        <v/>
      </c>
      <c r="F249" s="632" t="n">
        <v>24.5</v>
      </c>
      <c r="G249" s="633">
        <f>F249*CCBASE!$B$51</f>
        <v/>
      </c>
      <c r="H249" s="633">
        <f>CCBASE!$I$12*B249/1000</f>
        <v/>
      </c>
      <c r="I249" s="633" t="n"/>
      <c r="J249" s="633" t="n"/>
      <c r="K249" s="633" t="n"/>
      <c r="L249" s="633">
        <f>CCBASE!$I$13*B249/1000</f>
        <v/>
      </c>
      <c r="M249" s="633" t="n"/>
      <c r="N249" s="633">
        <f>CCBASE!$I$7*B249/1000</f>
        <v/>
      </c>
      <c r="O249" s="633">
        <f>CCBASE!$I$45*B249/1000</f>
        <v/>
      </c>
      <c r="P249" s="633" t="n"/>
      <c r="Q249" s="633">
        <f>CCBASE!$H$51</f>
        <v/>
      </c>
      <c r="R249" s="633">
        <f>CCBASE!$I$4</f>
        <v/>
      </c>
      <c r="S249" s="633">
        <f>CCBASE!$I$8</f>
        <v/>
      </c>
      <c r="T249" s="633">
        <f>CCBASE!$I$44</f>
        <v/>
      </c>
      <c r="U249" s="633">
        <f>CCBASE!$I$47*2</f>
        <v/>
      </c>
      <c r="V249" s="633">
        <f>CCBASE!$I$46</f>
        <v/>
      </c>
      <c r="W249" s="633">
        <f>CCBASE!$I$41*B249/1000</f>
        <v/>
      </c>
      <c r="X249" s="633" t="n"/>
      <c r="Y249" s="633" t="n"/>
      <c r="Z249" s="633" t="n"/>
      <c r="AA249" s="633" t="n"/>
      <c r="AB249" s="633" t="n"/>
      <c r="AC249" s="633" t="n"/>
      <c r="AD249" s="633">
        <f>CCBASE!$I$37*2</f>
        <v/>
      </c>
    </row>
    <row r="250">
      <c r="A250" s="631" t="inlineStr">
        <is>
          <t>KVF</t>
        </is>
      </c>
      <c r="B250" s="631" t="n">
        <v>2250</v>
      </c>
      <c r="C250" s="631" t="n">
        <v>1500</v>
      </c>
      <c r="D250" s="631">
        <f>A250&amp;B250&amp;C250</f>
        <v/>
      </c>
      <c r="E250" s="1040">
        <f>SUM(G250:AD250)</f>
        <v/>
      </c>
      <c r="F250" s="632" t="n">
        <v>25.5</v>
      </c>
      <c r="G250" s="633">
        <f>F250*CCBASE!$B$51</f>
        <v/>
      </c>
      <c r="H250" s="633">
        <f>CCBASE!$I$12*B250/1000</f>
        <v/>
      </c>
      <c r="I250" s="633" t="n"/>
      <c r="J250" s="633" t="n"/>
      <c r="K250" s="633" t="n"/>
      <c r="L250" s="633">
        <f>CCBASE!$I$13*B250/1000</f>
        <v/>
      </c>
      <c r="M250" s="633" t="n"/>
      <c r="N250" s="633">
        <f>CCBASE!$I$7*B250/1000</f>
        <v/>
      </c>
      <c r="O250" s="633">
        <f>CCBASE!$I$45*B250/1000</f>
        <v/>
      </c>
      <c r="P250" s="633" t="n"/>
      <c r="Q250" s="633">
        <f>CCBASE!$H$51</f>
        <v/>
      </c>
      <c r="R250" s="633">
        <f>CCBASE!$I$4</f>
        <v/>
      </c>
      <c r="S250" s="633">
        <f>CCBASE!$I$8</f>
        <v/>
      </c>
      <c r="T250" s="633">
        <f>CCBASE!$I$44</f>
        <v/>
      </c>
      <c r="U250" s="633">
        <f>CCBASE!$I$47*2</f>
        <v/>
      </c>
      <c r="V250" s="633">
        <f>CCBASE!$I$46</f>
        <v/>
      </c>
      <c r="W250" s="633">
        <f>CCBASE!$I$41*B250/1000</f>
        <v/>
      </c>
      <c r="X250" s="633" t="n"/>
      <c r="Y250" s="633" t="n"/>
      <c r="Z250" s="633" t="n"/>
      <c r="AA250" s="633" t="n"/>
      <c r="AB250" s="633" t="n"/>
      <c r="AC250" s="633" t="n"/>
      <c r="AD250" s="633">
        <f>CCBASE!$I$37*2</f>
        <v/>
      </c>
    </row>
    <row r="251">
      <c r="A251" s="631" t="inlineStr">
        <is>
          <t>KVF</t>
        </is>
      </c>
      <c r="B251" s="631" t="n">
        <v>2500</v>
      </c>
      <c r="C251" s="631" t="n">
        <v>1500</v>
      </c>
      <c r="D251" s="631">
        <f>A251&amp;B251&amp;C251</f>
        <v/>
      </c>
      <c r="E251" s="1040">
        <f>SUM(G251:AD251)</f>
        <v/>
      </c>
      <c r="F251" s="632" t="n">
        <v>25.5</v>
      </c>
      <c r="G251" s="633">
        <f>F251*CCBASE!$B$51</f>
        <v/>
      </c>
      <c r="H251" s="633">
        <f>CCBASE!$I$12*B251/1000</f>
        <v/>
      </c>
      <c r="I251" s="633" t="n"/>
      <c r="J251" s="633" t="n"/>
      <c r="K251" s="633" t="n"/>
      <c r="L251" s="633">
        <f>CCBASE!$I$13*B251/1000</f>
        <v/>
      </c>
      <c r="M251" s="633" t="n"/>
      <c r="N251" s="633">
        <f>CCBASE!$I$7*B251/1000</f>
        <v/>
      </c>
      <c r="O251" s="633">
        <f>CCBASE!$I$45*B251/1000</f>
        <v/>
      </c>
      <c r="P251" s="633" t="n"/>
      <c r="Q251" s="633">
        <f>CCBASE!$H$51</f>
        <v/>
      </c>
      <c r="R251" s="633">
        <f>CCBASE!$I$4</f>
        <v/>
      </c>
      <c r="S251" s="633">
        <f>CCBASE!$I$8</f>
        <v/>
      </c>
      <c r="T251" s="633">
        <f>CCBASE!$I$44</f>
        <v/>
      </c>
      <c r="U251" s="633">
        <f>CCBASE!$I$47*2</f>
        <v/>
      </c>
      <c r="V251" s="633">
        <f>CCBASE!$I$46</f>
        <v/>
      </c>
      <c r="W251" s="633">
        <f>CCBASE!$I$41*B251/1000</f>
        <v/>
      </c>
      <c r="X251" s="633" t="n"/>
      <c r="Y251" s="633" t="n"/>
      <c r="Z251" s="633" t="n"/>
      <c r="AA251" s="633" t="n"/>
      <c r="AB251" s="633" t="n"/>
      <c r="AC251" s="633" t="n"/>
      <c r="AD251" s="633">
        <f>CCBASE!$I$37*2</f>
        <v/>
      </c>
    </row>
    <row r="252">
      <c r="A252" s="631" t="inlineStr">
        <is>
          <t>KVF</t>
        </is>
      </c>
      <c r="B252" s="631" t="n">
        <v>2750</v>
      </c>
      <c r="C252" s="631" t="n">
        <v>1500</v>
      </c>
      <c r="D252" s="631">
        <f>A252&amp;B252&amp;C252</f>
        <v/>
      </c>
      <c r="E252" s="1040">
        <f>SUM(G252:AD252)</f>
        <v/>
      </c>
      <c r="F252" s="632" t="n">
        <v>25.5</v>
      </c>
      <c r="G252" s="633">
        <f>F252*CCBASE!$B$51</f>
        <v/>
      </c>
      <c r="H252" s="633">
        <f>CCBASE!$I$12*B252/1000</f>
        <v/>
      </c>
      <c r="I252" s="633" t="n"/>
      <c r="J252" s="633" t="n"/>
      <c r="K252" s="633" t="n"/>
      <c r="L252" s="633">
        <f>CCBASE!$I$13*B252/1000</f>
        <v/>
      </c>
      <c r="M252" s="633" t="n"/>
      <c r="N252" s="633">
        <f>CCBASE!$I$7*B252/1000</f>
        <v/>
      </c>
      <c r="O252" s="633">
        <f>CCBASE!$I$45*B252/1000</f>
        <v/>
      </c>
      <c r="P252" s="633" t="n"/>
      <c r="Q252" s="633">
        <f>CCBASE!$H$51</f>
        <v/>
      </c>
      <c r="R252" s="633">
        <f>CCBASE!$I$4</f>
        <v/>
      </c>
      <c r="S252" s="633">
        <f>CCBASE!$I$8</f>
        <v/>
      </c>
      <c r="T252" s="633">
        <f>CCBASE!$I$44</f>
        <v/>
      </c>
      <c r="U252" s="633">
        <f>CCBASE!$I$47*2</f>
        <v/>
      </c>
      <c r="V252" s="633">
        <f>CCBASE!$I$46</f>
        <v/>
      </c>
      <c r="W252" s="633">
        <f>CCBASE!$I$41*B252/1000</f>
        <v/>
      </c>
      <c r="X252" s="633" t="n"/>
      <c r="Y252" s="633" t="n"/>
      <c r="Z252" s="633" t="n"/>
      <c r="AA252" s="633" t="n"/>
      <c r="AB252" s="633" t="n"/>
      <c r="AC252" s="633" t="n"/>
      <c r="AD252" s="633">
        <f>CCBASE!$I$37*2</f>
        <v/>
      </c>
    </row>
    <row r="253">
      <c r="A253" s="631" t="inlineStr">
        <is>
          <t>KVF</t>
        </is>
      </c>
      <c r="B253" s="631" t="n">
        <v>3000</v>
      </c>
      <c r="C253" s="631" t="n">
        <v>1500</v>
      </c>
      <c r="D253" s="631">
        <f>A253&amp;B253&amp;C253</f>
        <v/>
      </c>
      <c r="E253" s="1040">
        <f>SUM(G253:AD253)</f>
        <v/>
      </c>
      <c r="F253" s="632" t="n">
        <v>25.5</v>
      </c>
      <c r="G253" s="633">
        <f>F253*CCBASE!$B$51</f>
        <v/>
      </c>
      <c r="H253" s="633">
        <f>CCBASE!$I$12*B253/1000</f>
        <v/>
      </c>
      <c r="I253" s="633" t="n"/>
      <c r="J253" s="633" t="n"/>
      <c r="K253" s="633" t="n"/>
      <c r="L253" s="633">
        <f>CCBASE!$I$13*B253/1000</f>
        <v/>
      </c>
      <c r="M253" s="633" t="n"/>
      <c r="N253" s="633">
        <f>CCBASE!$I$7*B253/1000</f>
        <v/>
      </c>
      <c r="O253" s="633">
        <f>CCBASE!$I$45*B253/1000</f>
        <v/>
      </c>
      <c r="P253" s="633" t="n"/>
      <c r="Q253" s="633">
        <f>CCBASE!$H$51</f>
        <v/>
      </c>
      <c r="R253" s="633">
        <f>CCBASE!$I$4</f>
        <v/>
      </c>
      <c r="S253" s="633">
        <f>CCBASE!$I$8</f>
        <v/>
      </c>
      <c r="T253" s="633">
        <f>CCBASE!$I$44</f>
        <v/>
      </c>
      <c r="U253" s="633">
        <f>CCBASE!$I$47*2</f>
        <v/>
      </c>
      <c r="V253" s="633">
        <f>CCBASE!$I$46</f>
        <v/>
      </c>
      <c r="W253" s="633">
        <f>CCBASE!$I$41*B253/1000</f>
        <v/>
      </c>
      <c r="X253" s="633" t="n"/>
      <c r="Y253" s="633" t="n"/>
      <c r="Z253" s="633" t="n"/>
      <c r="AA253" s="633" t="n"/>
      <c r="AB253" s="633" t="n"/>
      <c r="AC253" s="633" t="n"/>
      <c r="AD253" s="633">
        <f>CCBASE!$I$37*2</f>
        <v/>
      </c>
    </row>
    <row r="254">
      <c r="A254" s="631" t="inlineStr">
        <is>
          <t>KVF</t>
        </is>
      </c>
      <c r="B254" s="631" t="n">
        <v>1000</v>
      </c>
      <c r="C254" s="631" t="n">
        <v>1750</v>
      </c>
      <c r="D254" s="631">
        <f>A254&amp;B254&amp;C254</f>
        <v/>
      </c>
      <c r="E254" s="1040">
        <f>SUM(G254:AD254)</f>
        <v/>
      </c>
      <c r="F254" s="632" t="n">
        <v>24.5</v>
      </c>
      <c r="G254" s="633">
        <f>F254*CCBASE!$B$51</f>
        <v/>
      </c>
      <c r="H254" s="633">
        <f>CCBASE!$I$12*B254/1000</f>
        <v/>
      </c>
      <c r="I254" s="633" t="n"/>
      <c r="J254" s="633" t="n"/>
      <c r="K254" s="633" t="n"/>
      <c r="L254" s="633">
        <f>CCBASE!$I$13*B254/1000</f>
        <v/>
      </c>
      <c r="M254" s="633" t="n"/>
      <c r="N254" s="633">
        <f>CCBASE!$I$7*B254/1000</f>
        <v/>
      </c>
      <c r="O254" s="633">
        <f>CCBASE!$I$45*B254/1000</f>
        <v/>
      </c>
      <c r="P254" s="633" t="n"/>
      <c r="Q254" s="633">
        <f>CCBASE!$H$51</f>
        <v/>
      </c>
      <c r="R254" s="633">
        <f>CCBASE!$I$4</f>
        <v/>
      </c>
      <c r="S254" s="633">
        <f>CCBASE!$I$8</f>
        <v/>
      </c>
      <c r="T254" s="633">
        <f>CCBASE!$I$44</f>
        <v/>
      </c>
      <c r="U254" s="633">
        <f>CCBASE!$I$47</f>
        <v/>
      </c>
      <c r="V254" s="633">
        <f>CCBASE!$I$46/2</f>
        <v/>
      </c>
      <c r="W254" s="633">
        <f>CCBASE!$I$42*B254/1000</f>
        <v/>
      </c>
      <c r="X254" s="633" t="n"/>
      <c r="Y254" s="633" t="n"/>
      <c r="Z254" s="633" t="n"/>
      <c r="AA254" s="633" t="n"/>
      <c r="AB254" s="633" t="n"/>
      <c r="AC254" s="633" t="n"/>
      <c r="AD254" s="633">
        <f>CCBASE!$I$38*2</f>
        <v/>
      </c>
    </row>
    <row r="255">
      <c r="A255" s="631" t="inlineStr">
        <is>
          <t>KVF</t>
        </is>
      </c>
      <c r="B255" s="631" t="n">
        <v>1250</v>
      </c>
      <c r="C255" s="631" t="n">
        <v>1750</v>
      </c>
      <c r="D255" s="631">
        <f>A255&amp;B255&amp;C255</f>
        <v/>
      </c>
      <c r="E255" s="1040">
        <f>SUM(G255:AD255)</f>
        <v/>
      </c>
      <c r="F255" s="632" t="n">
        <v>24.5</v>
      </c>
      <c r="G255" s="633">
        <f>F255*CCBASE!$B$51</f>
        <v/>
      </c>
      <c r="H255" s="633">
        <f>CCBASE!$I$12*B255/1000</f>
        <v/>
      </c>
      <c r="I255" s="633" t="n"/>
      <c r="J255" s="633" t="n"/>
      <c r="K255" s="633" t="n"/>
      <c r="L255" s="633">
        <f>CCBASE!$I$13*B255/1000</f>
        <v/>
      </c>
      <c r="M255" s="633" t="n"/>
      <c r="N255" s="633">
        <f>CCBASE!$I$7*B255/1000</f>
        <v/>
      </c>
      <c r="O255" s="633">
        <f>CCBASE!$I$45*B255/1000</f>
        <v/>
      </c>
      <c r="P255" s="633" t="n"/>
      <c r="Q255" s="633">
        <f>CCBASE!$H$51</f>
        <v/>
      </c>
      <c r="R255" s="633">
        <f>CCBASE!$I$4</f>
        <v/>
      </c>
      <c r="S255" s="633">
        <f>CCBASE!$I$8</f>
        <v/>
      </c>
      <c r="T255" s="633">
        <f>CCBASE!$I$44</f>
        <v/>
      </c>
      <c r="U255" s="633">
        <f>CCBASE!$I$47*2</f>
        <v/>
      </c>
      <c r="V255" s="633">
        <f>CCBASE!$I$46/2</f>
        <v/>
      </c>
      <c r="W255" s="633">
        <f>CCBASE!$I$42*B255/1000</f>
        <v/>
      </c>
      <c r="X255" s="633" t="n"/>
      <c r="Y255" s="633" t="n"/>
      <c r="Z255" s="633" t="n"/>
      <c r="AA255" s="633" t="n"/>
      <c r="AB255" s="633" t="n"/>
      <c r="AC255" s="633" t="n"/>
      <c r="AD255" s="633">
        <f>CCBASE!$I$38*2</f>
        <v/>
      </c>
    </row>
    <row r="256">
      <c r="A256" s="631" t="inlineStr">
        <is>
          <t>KVF</t>
        </is>
      </c>
      <c r="B256" s="631" t="n">
        <v>1500</v>
      </c>
      <c r="C256" s="631" t="n">
        <v>1750</v>
      </c>
      <c r="D256" s="631">
        <f>A256&amp;B256&amp;C256</f>
        <v/>
      </c>
      <c r="E256" s="1040">
        <f>SUM(G256:AD256)</f>
        <v/>
      </c>
      <c r="F256" s="632" t="n">
        <v>24.5</v>
      </c>
      <c r="G256" s="633">
        <f>F256*CCBASE!$B$51</f>
        <v/>
      </c>
      <c r="H256" s="633">
        <f>CCBASE!$I$12*B256/1000</f>
        <v/>
      </c>
      <c r="I256" s="633" t="n"/>
      <c r="J256" s="633" t="n"/>
      <c r="K256" s="633" t="n"/>
      <c r="L256" s="633">
        <f>CCBASE!$I$13*B256/1000</f>
        <v/>
      </c>
      <c r="M256" s="633" t="n"/>
      <c r="N256" s="633">
        <f>CCBASE!$I$7*B256/1000</f>
        <v/>
      </c>
      <c r="O256" s="633">
        <f>CCBASE!$I$45*B256/1000</f>
        <v/>
      </c>
      <c r="P256" s="633" t="n"/>
      <c r="Q256" s="633">
        <f>CCBASE!$H$51</f>
        <v/>
      </c>
      <c r="R256" s="633">
        <f>CCBASE!$I$4</f>
        <v/>
      </c>
      <c r="S256" s="633">
        <f>CCBASE!$I$8</f>
        <v/>
      </c>
      <c r="T256" s="633">
        <f>CCBASE!$I$44</f>
        <v/>
      </c>
      <c r="U256" s="633">
        <f>CCBASE!$I$47*2</f>
        <v/>
      </c>
      <c r="V256" s="633">
        <f>CCBASE!$I$46/2</f>
        <v/>
      </c>
      <c r="W256" s="633">
        <f>CCBASE!$I$42*B256/1000</f>
        <v/>
      </c>
      <c r="X256" s="633" t="n"/>
      <c r="Y256" s="633" t="n"/>
      <c r="Z256" s="633" t="n"/>
      <c r="AA256" s="633" t="n"/>
      <c r="AB256" s="633" t="n"/>
      <c r="AC256" s="633" t="n"/>
      <c r="AD256" s="633">
        <f>CCBASE!$I$38*2</f>
        <v/>
      </c>
    </row>
    <row r="257">
      <c r="A257" s="631" t="inlineStr">
        <is>
          <t>KVF</t>
        </is>
      </c>
      <c r="B257" s="631" t="n">
        <v>1750</v>
      </c>
      <c r="C257" s="631" t="n">
        <v>1750</v>
      </c>
      <c r="D257" s="631">
        <f>A257&amp;B257&amp;C257</f>
        <v/>
      </c>
      <c r="E257" s="1040">
        <f>SUM(G257:AD257)</f>
        <v/>
      </c>
      <c r="F257" s="632" t="n">
        <v>24.5</v>
      </c>
      <c r="G257" s="633">
        <f>F257*CCBASE!$B$51</f>
        <v/>
      </c>
      <c r="H257" s="633">
        <f>CCBASE!$I$12*B257/1000</f>
        <v/>
      </c>
      <c r="I257" s="633" t="n"/>
      <c r="J257" s="633" t="n"/>
      <c r="K257" s="633" t="n"/>
      <c r="L257" s="633">
        <f>CCBASE!$I$13*B257/1000</f>
        <v/>
      </c>
      <c r="M257" s="633" t="n"/>
      <c r="N257" s="633">
        <f>CCBASE!$I$7*B257/1000</f>
        <v/>
      </c>
      <c r="O257" s="633">
        <f>CCBASE!$I$45*B257/1000</f>
        <v/>
      </c>
      <c r="P257" s="633" t="n"/>
      <c r="Q257" s="633">
        <f>CCBASE!$H$51</f>
        <v/>
      </c>
      <c r="R257" s="633">
        <f>CCBASE!$I$4</f>
        <v/>
      </c>
      <c r="S257" s="633">
        <f>CCBASE!$I$8</f>
        <v/>
      </c>
      <c r="T257" s="633">
        <f>CCBASE!$I$44</f>
        <v/>
      </c>
      <c r="U257" s="633">
        <f>CCBASE!$I$47*2</f>
        <v/>
      </c>
      <c r="V257" s="633">
        <f>CCBASE!$I$46</f>
        <v/>
      </c>
      <c r="W257" s="633">
        <f>CCBASE!$I$42*B257/1000</f>
        <v/>
      </c>
      <c r="X257" s="633" t="n"/>
      <c r="Y257" s="633" t="n"/>
      <c r="Z257" s="633" t="n"/>
      <c r="AA257" s="633" t="n"/>
      <c r="AB257" s="633" t="n"/>
      <c r="AC257" s="633" t="n"/>
      <c r="AD257" s="633">
        <f>CCBASE!$I$38*2</f>
        <v/>
      </c>
    </row>
    <row r="258">
      <c r="A258" s="631" t="inlineStr">
        <is>
          <t>KVF</t>
        </is>
      </c>
      <c r="B258" s="631" t="n">
        <v>2000</v>
      </c>
      <c r="C258" s="631" t="n">
        <v>1750</v>
      </c>
      <c r="D258" s="631">
        <f>A258&amp;B258&amp;C258</f>
        <v/>
      </c>
      <c r="E258" s="1040">
        <f>SUM(G258:AD258)</f>
        <v/>
      </c>
      <c r="F258" s="632" t="n">
        <v>24.5</v>
      </c>
      <c r="G258" s="633">
        <f>F258*CCBASE!$B$51</f>
        <v/>
      </c>
      <c r="H258" s="633">
        <f>CCBASE!$I$12*B258/1000</f>
        <v/>
      </c>
      <c r="I258" s="633" t="n"/>
      <c r="J258" s="633" t="n"/>
      <c r="K258" s="633" t="n"/>
      <c r="L258" s="633">
        <f>CCBASE!$I$13*B258/1000</f>
        <v/>
      </c>
      <c r="M258" s="633" t="n"/>
      <c r="N258" s="633">
        <f>CCBASE!$I$7*B258/1000</f>
        <v/>
      </c>
      <c r="O258" s="633">
        <f>CCBASE!$I$45*B258/1000</f>
        <v/>
      </c>
      <c r="P258" s="633" t="n"/>
      <c r="Q258" s="633">
        <f>CCBASE!$H$51</f>
        <v/>
      </c>
      <c r="R258" s="633">
        <f>CCBASE!$I$4</f>
        <v/>
      </c>
      <c r="S258" s="633">
        <f>CCBASE!$I$8</f>
        <v/>
      </c>
      <c r="T258" s="633">
        <f>CCBASE!$I$44</f>
        <v/>
      </c>
      <c r="U258" s="633">
        <f>CCBASE!$I$47*2</f>
        <v/>
      </c>
      <c r="V258" s="633">
        <f>CCBASE!$I$46</f>
        <v/>
      </c>
      <c r="W258" s="633">
        <f>CCBASE!$I$42*B258/1000</f>
        <v/>
      </c>
      <c r="X258" s="633" t="n"/>
      <c r="Y258" s="633" t="n"/>
      <c r="Z258" s="633" t="n"/>
      <c r="AA258" s="633" t="n"/>
      <c r="AB258" s="633" t="n"/>
      <c r="AC258" s="633" t="n"/>
      <c r="AD258" s="633">
        <f>CCBASE!$I$38*2</f>
        <v/>
      </c>
    </row>
    <row r="259">
      <c r="A259" s="631" t="inlineStr">
        <is>
          <t>KVF</t>
        </is>
      </c>
      <c r="B259" s="631" t="n">
        <v>2250</v>
      </c>
      <c r="C259" s="631" t="n">
        <v>1750</v>
      </c>
      <c r="D259" s="631">
        <f>A259&amp;B259&amp;C259</f>
        <v/>
      </c>
      <c r="E259" s="1040">
        <f>SUM(G259:AD259)</f>
        <v/>
      </c>
      <c r="F259" s="632" t="n">
        <v>25.5</v>
      </c>
      <c r="G259" s="633">
        <f>F259*CCBASE!$B$51</f>
        <v/>
      </c>
      <c r="H259" s="633">
        <f>CCBASE!$I$12*B259/1000</f>
        <v/>
      </c>
      <c r="I259" s="633" t="n"/>
      <c r="J259" s="633" t="n"/>
      <c r="K259" s="633" t="n"/>
      <c r="L259" s="633">
        <f>CCBASE!$I$13*B259/1000</f>
        <v/>
      </c>
      <c r="M259" s="633" t="n"/>
      <c r="N259" s="633">
        <f>CCBASE!$I$7*B259/1000</f>
        <v/>
      </c>
      <c r="O259" s="633">
        <f>CCBASE!$I$45*B259/1000</f>
        <v/>
      </c>
      <c r="P259" s="633" t="n"/>
      <c r="Q259" s="633">
        <f>CCBASE!$H$51</f>
        <v/>
      </c>
      <c r="R259" s="633">
        <f>CCBASE!$I$4</f>
        <v/>
      </c>
      <c r="S259" s="633">
        <f>CCBASE!$I$8</f>
        <v/>
      </c>
      <c r="T259" s="633">
        <f>CCBASE!$I$44</f>
        <v/>
      </c>
      <c r="U259" s="633">
        <f>CCBASE!$I$47*2</f>
        <v/>
      </c>
      <c r="V259" s="633">
        <f>CCBASE!$I$46</f>
        <v/>
      </c>
      <c r="W259" s="633">
        <f>CCBASE!$I$42*B259/1000</f>
        <v/>
      </c>
      <c r="X259" s="633" t="n"/>
      <c r="Y259" s="633" t="n"/>
      <c r="Z259" s="633" t="n"/>
      <c r="AA259" s="633" t="n"/>
      <c r="AB259" s="633" t="n"/>
      <c r="AC259" s="633" t="n"/>
      <c r="AD259" s="633">
        <f>CCBASE!$I$38*2</f>
        <v/>
      </c>
    </row>
    <row r="260">
      <c r="A260" s="631" t="inlineStr">
        <is>
          <t>KVF</t>
        </is>
      </c>
      <c r="B260" s="631" t="n">
        <v>2500</v>
      </c>
      <c r="C260" s="631" t="n">
        <v>1750</v>
      </c>
      <c r="D260" s="631">
        <f>A260&amp;B260&amp;C260</f>
        <v/>
      </c>
      <c r="E260" s="1040">
        <f>SUM(G260:AD260)</f>
        <v/>
      </c>
      <c r="F260" s="632" t="n">
        <v>25.5</v>
      </c>
      <c r="G260" s="633">
        <f>F260*CCBASE!$B$51</f>
        <v/>
      </c>
      <c r="H260" s="633">
        <f>CCBASE!$I$12*B260/1000</f>
        <v/>
      </c>
      <c r="I260" s="633" t="n"/>
      <c r="J260" s="633" t="n"/>
      <c r="K260" s="633" t="n"/>
      <c r="L260" s="633">
        <f>CCBASE!$I$13*B260/1000</f>
        <v/>
      </c>
      <c r="M260" s="633" t="n"/>
      <c r="N260" s="633">
        <f>CCBASE!$I$7*B260/1000</f>
        <v/>
      </c>
      <c r="O260" s="633">
        <f>CCBASE!$I$45*B260/1000</f>
        <v/>
      </c>
      <c r="P260" s="633" t="n"/>
      <c r="Q260" s="633">
        <f>CCBASE!$H$51</f>
        <v/>
      </c>
      <c r="R260" s="633">
        <f>CCBASE!$I$4</f>
        <v/>
      </c>
      <c r="S260" s="633">
        <f>CCBASE!$I$8</f>
        <v/>
      </c>
      <c r="T260" s="633">
        <f>CCBASE!$I$44</f>
        <v/>
      </c>
      <c r="U260" s="633">
        <f>CCBASE!$I$47*2</f>
        <v/>
      </c>
      <c r="V260" s="633">
        <f>CCBASE!$I$46</f>
        <v/>
      </c>
      <c r="W260" s="633">
        <f>CCBASE!$I$42*B260/1000</f>
        <v/>
      </c>
      <c r="X260" s="633" t="n"/>
      <c r="Y260" s="633" t="n"/>
      <c r="Z260" s="633" t="n"/>
      <c r="AA260" s="633" t="n"/>
      <c r="AB260" s="633" t="n"/>
      <c r="AC260" s="633" t="n"/>
      <c r="AD260" s="633">
        <f>CCBASE!$I$38*2</f>
        <v/>
      </c>
    </row>
    <row r="261">
      <c r="A261" s="631" t="inlineStr">
        <is>
          <t>KVF</t>
        </is>
      </c>
      <c r="B261" s="631" t="n">
        <v>2750</v>
      </c>
      <c r="C261" s="631" t="n">
        <v>1750</v>
      </c>
      <c r="D261" s="631">
        <f>A261&amp;B261&amp;C261</f>
        <v/>
      </c>
      <c r="E261" s="1040">
        <f>SUM(G261:AD261)</f>
        <v/>
      </c>
      <c r="F261" s="632" t="n">
        <v>25.5</v>
      </c>
      <c r="G261" s="633">
        <f>F261*CCBASE!$B$51</f>
        <v/>
      </c>
      <c r="H261" s="633">
        <f>CCBASE!$I$12*B261/1000</f>
        <v/>
      </c>
      <c r="I261" s="633" t="n"/>
      <c r="J261" s="633" t="n"/>
      <c r="K261" s="633" t="n"/>
      <c r="L261" s="633">
        <f>CCBASE!$I$13*B261/1000</f>
        <v/>
      </c>
      <c r="M261" s="633" t="n"/>
      <c r="N261" s="633">
        <f>CCBASE!$I$7*B261/1000</f>
        <v/>
      </c>
      <c r="O261" s="633">
        <f>CCBASE!$I$45*B261/1000</f>
        <v/>
      </c>
      <c r="P261" s="633" t="n"/>
      <c r="Q261" s="633">
        <f>CCBASE!$H$51</f>
        <v/>
      </c>
      <c r="R261" s="633">
        <f>CCBASE!$I$4</f>
        <v/>
      </c>
      <c r="S261" s="633">
        <f>CCBASE!$I$8</f>
        <v/>
      </c>
      <c r="T261" s="633">
        <f>CCBASE!$I$44</f>
        <v/>
      </c>
      <c r="U261" s="633">
        <f>CCBASE!$I$47*2</f>
        <v/>
      </c>
      <c r="V261" s="633">
        <f>CCBASE!$I$46</f>
        <v/>
      </c>
      <c r="W261" s="633">
        <f>CCBASE!$I$42*B261/1000</f>
        <v/>
      </c>
      <c r="X261" s="633" t="n"/>
      <c r="Y261" s="633" t="n"/>
      <c r="Z261" s="633" t="n"/>
      <c r="AA261" s="633" t="n"/>
      <c r="AB261" s="633" t="n"/>
      <c r="AC261" s="633" t="n"/>
      <c r="AD261" s="633">
        <f>CCBASE!$I$38*2</f>
        <v/>
      </c>
    </row>
    <row r="262">
      <c r="A262" s="631" t="inlineStr">
        <is>
          <t>KVF</t>
        </is>
      </c>
      <c r="B262" s="631" t="n">
        <v>3000</v>
      </c>
      <c r="C262" s="631" t="n">
        <v>1750</v>
      </c>
      <c r="D262" s="631">
        <f>A262&amp;B262&amp;C262</f>
        <v/>
      </c>
      <c r="E262" s="1040">
        <f>SUM(G262:AD262)</f>
        <v/>
      </c>
      <c r="F262" s="632" t="n">
        <v>25.5</v>
      </c>
      <c r="G262" s="633">
        <f>F262*CCBASE!$B$51</f>
        <v/>
      </c>
      <c r="H262" s="633">
        <f>CCBASE!$I$12*B262/1000</f>
        <v/>
      </c>
      <c r="I262" s="633" t="n"/>
      <c r="J262" s="633" t="n"/>
      <c r="K262" s="633" t="n"/>
      <c r="L262" s="633">
        <f>CCBASE!$I$13*B262/1000</f>
        <v/>
      </c>
      <c r="M262" s="633" t="n"/>
      <c r="N262" s="633">
        <f>CCBASE!$I$7*B262/1000</f>
        <v/>
      </c>
      <c r="O262" s="633">
        <f>CCBASE!$I$45*B262/1000</f>
        <v/>
      </c>
      <c r="P262" s="633" t="n"/>
      <c r="Q262" s="633">
        <f>CCBASE!$H$51</f>
        <v/>
      </c>
      <c r="R262" s="633">
        <f>CCBASE!$I$4</f>
        <v/>
      </c>
      <c r="S262" s="633">
        <f>CCBASE!$I$8</f>
        <v/>
      </c>
      <c r="T262" s="633">
        <f>CCBASE!$I$44</f>
        <v/>
      </c>
      <c r="U262" s="633">
        <f>CCBASE!$I$47*2</f>
        <v/>
      </c>
      <c r="V262" s="633">
        <f>CCBASE!$I$46</f>
        <v/>
      </c>
      <c r="W262" s="633">
        <f>CCBASE!$I$42*B262/1000</f>
        <v/>
      </c>
      <c r="X262" s="633" t="n"/>
      <c r="Y262" s="633" t="n"/>
      <c r="Z262" s="633" t="n"/>
      <c r="AA262" s="633" t="n"/>
      <c r="AB262" s="633" t="n"/>
      <c r="AC262" s="633" t="n"/>
      <c r="AD262" s="633">
        <f>CCBASE!$I$38*2</f>
        <v/>
      </c>
    </row>
    <row r="263">
      <c r="A263" s="631" t="inlineStr">
        <is>
          <t>KVF</t>
        </is>
      </c>
      <c r="B263" s="631" t="n">
        <v>1000</v>
      </c>
      <c r="C263" s="631" t="n">
        <v>2000</v>
      </c>
      <c r="D263" s="631">
        <f>A263&amp;B263&amp;C263</f>
        <v/>
      </c>
      <c r="E263" s="1040">
        <f>SUM(G263:AD263)</f>
        <v/>
      </c>
      <c r="F263" s="632" t="n">
        <v>24.5</v>
      </c>
      <c r="G263" s="633">
        <f>F263*CCBASE!$B$51</f>
        <v/>
      </c>
      <c r="H263" s="633">
        <f>CCBASE!$I$12*B263/1000</f>
        <v/>
      </c>
      <c r="I263" s="633" t="n"/>
      <c r="J263" s="633" t="n"/>
      <c r="K263" s="633" t="n"/>
      <c r="L263" s="633">
        <f>CCBASE!$I$13*B263/1000</f>
        <v/>
      </c>
      <c r="M263" s="633" t="n"/>
      <c r="N263" s="633">
        <f>CCBASE!$I$7*B263/1000</f>
        <v/>
      </c>
      <c r="O263" s="633">
        <f>CCBASE!$I$45*B263/1000</f>
        <v/>
      </c>
      <c r="P263" s="633" t="n"/>
      <c r="Q263" s="633">
        <f>CCBASE!$H$51</f>
        <v/>
      </c>
      <c r="R263" s="633">
        <f>CCBASE!$I$4</f>
        <v/>
      </c>
      <c r="S263" s="633">
        <f>CCBASE!$I$8</f>
        <v/>
      </c>
      <c r="T263" s="633">
        <f>CCBASE!$I$44</f>
        <v/>
      </c>
      <c r="U263" s="633">
        <f>CCBASE!$I$47</f>
        <v/>
      </c>
      <c r="V263" s="633">
        <f>CCBASE!$I$46/2</f>
        <v/>
      </c>
      <c r="W263" s="633">
        <f>CCBASE!$I$43*B263/1000</f>
        <v/>
      </c>
      <c r="X263" s="633" t="n"/>
      <c r="Y263" s="633" t="n"/>
      <c r="Z263" s="633" t="n"/>
      <c r="AA263" s="633" t="n"/>
      <c r="AB263" s="633" t="n"/>
      <c r="AC263" s="633" t="n"/>
      <c r="AD263" s="633">
        <f>CCBASE!$I$39*2</f>
        <v/>
      </c>
    </row>
    <row r="264">
      <c r="A264" s="631" t="inlineStr">
        <is>
          <t>KVF</t>
        </is>
      </c>
      <c r="B264" s="631" t="n">
        <v>1250</v>
      </c>
      <c r="C264" s="631" t="n">
        <v>2000</v>
      </c>
      <c r="D264" s="631">
        <f>A264&amp;B264&amp;C264</f>
        <v/>
      </c>
      <c r="E264" s="1040">
        <f>SUM(G264:AD264)</f>
        <v/>
      </c>
      <c r="F264" s="632" t="n">
        <v>24.5</v>
      </c>
      <c r="G264" s="633">
        <f>F264*CCBASE!$B$51</f>
        <v/>
      </c>
      <c r="H264" s="633">
        <f>CCBASE!$I$12*B264/1000</f>
        <v/>
      </c>
      <c r="I264" s="633" t="n"/>
      <c r="J264" s="633" t="n"/>
      <c r="K264" s="633" t="n"/>
      <c r="L264" s="633">
        <f>CCBASE!$I$13*B264/1000</f>
        <v/>
      </c>
      <c r="M264" s="633" t="n"/>
      <c r="N264" s="633">
        <f>CCBASE!$I$7*B264/1000</f>
        <v/>
      </c>
      <c r="O264" s="633">
        <f>CCBASE!$I$45*B264/1000</f>
        <v/>
      </c>
      <c r="P264" s="633" t="n"/>
      <c r="Q264" s="633">
        <f>CCBASE!$H$51</f>
        <v/>
      </c>
      <c r="R264" s="633">
        <f>CCBASE!$I$4</f>
        <v/>
      </c>
      <c r="S264" s="633">
        <f>CCBASE!$I$8</f>
        <v/>
      </c>
      <c r="T264" s="633">
        <f>CCBASE!$I$44</f>
        <v/>
      </c>
      <c r="U264" s="633">
        <f>CCBASE!$I$47*2</f>
        <v/>
      </c>
      <c r="V264" s="633">
        <f>CCBASE!$I$46/2</f>
        <v/>
      </c>
      <c r="W264" s="633">
        <f>CCBASE!$I$43*B264/1000</f>
        <v/>
      </c>
      <c r="X264" s="633" t="n"/>
      <c r="Y264" s="633" t="n"/>
      <c r="Z264" s="633" t="n"/>
      <c r="AA264" s="633" t="n"/>
      <c r="AB264" s="633" t="n"/>
      <c r="AC264" s="633" t="n"/>
      <c r="AD264" s="633">
        <f>CCBASE!$I$39*2</f>
        <v/>
      </c>
    </row>
    <row r="265">
      <c r="A265" s="631" t="inlineStr">
        <is>
          <t>KVF</t>
        </is>
      </c>
      <c r="B265" s="631" t="n">
        <v>1500</v>
      </c>
      <c r="C265" s="631" t="n">
        <v>2000</v>
      </c>
      <c r="D265" s="631">
        <f>A265&amp;B265&amp;C265</f>
        <v/>
      </c>
      <c r="E265" s="1040">
        <f>SUM(G265:AD265)</f>
        <v/>
      </c>
      <c r="F265" s="632" t="n">
        <v>24.5</v>
      </c>
      <c r="G265" s="633">
        <f>F265*CCBASE!$B$51</f>
        <v/>
      </c>
      <c r="H265" s="633">
        <f>CCBASE!$I$12*B265/1000</f>
        <v/>
      </c>
      <c r="I265" s="633" t="n"/>
      <c r="J265" s="633" t="n"/>
      <c r="K265" s="633" t="n"/>
      <c r="L265" s="633">
        <f>CCBASE!$I$13*B265/1000</f>
        <v/>
      </c>
      <c r="M265" s="633" t="n"/>
      <c r="N265" s="633">
        <f>CCBASE!$I$7*B265/1000</f>
        <v/>
      </c>
      <c r="O265" s="633">
        <f>CCBASE!$I$45*B265/1000</f>
        <v/>
      </c>
      <c r="P265" s="633" t="n"/>
      <c r="Q265" s="633">
        <f>CCBASE!$H$51</f>
        <v/>
      </c>
      <c r="R265" s="633">
        <f>CCBASE!$I$4</f>
        <v/>
      </c>
      <c r="S265" s="633">
        <f>CCBASE!$I$8</f>
        <v/>
      </c>
      <c r="T265" s="633">
        <f>CCBASE!$I$44</f>
        <v/>
      </c>
      <c r="U265" s="633">
        <f>CCBASE!$I$47*2</f>
        <v/>
      </c>
      <c r="V265" s="633">
        <f>CCBASE!$I$46/2</f>
        <v/>
      </c>
      <c r="W265" s="633">
        <f>CCBASE!$I$43*B265/1000</f>
        <v/>
      </c>
      <c r="X265" s="633" t="n"/>
      <c r="Y265" s="633" t="n"/>
      <c r="Z265" s="633" t="n"/>
      <c r="AA265" s="633" t="n"/>
      <c r="AB265" s="633" t="n"/>
      <c r="AC265" s="633" t="n"/>
      <c r="AD265" s="633">
        <f>CCBASE!$I$39*2</f>
        <v/>
      </c>
    </row>
    <row r="266">
      <c r="A266" s="631" t="inlineStr">
        <is>
          <t>KVF</t>
        </is>
      </c>
      <c r="B266" s="631" t="n">
        <v>1750</v>
      </c>
      <c r="C266" s="631" t="n">
        <v>2000</v>
      </c>
      <c r="D266" s="631">
        <f>A266&amp;B266&amp;C266</f>
        <v/>
      </c>
      <c r="E266" s="1040">
        <f>SUM(G266:AD266)</f>
        <v/>
      </c>
      <c r="F266" s="632" t="n">
        <v>24.5</v>
      </c>
      <c r="G266" s="633">
        <f>F266*CCBASE!$B$51</f>
        <v/>
      </c>
      <c r="H266" s="633">
        <f>CCBASE!$I$12*B266/1000</f>
        <v/>
      </c>
      <c r="I266" s="633" t="n"/>
      <c r="J266" s="633" t="n"/>
      <c r="K266" s="633" t="n"/>
      <c r="L266" s="633">
        <f>CCBASE!$I$13*B266/1000</f>
        <v/>
      </c>
      <c r="M266" s="633" t="n"/>
      <c r="N266" s="633">
        <f>CCBASE!$I$7*B266/1000</f>
        <v/>
      </c>
      <c r="O266" s="633">
        <f>CCBASE!$I$45*B266/1000</f>
        <v/>
      </c>
      <c r="P266" s="633" t="n"/>
      <c r="Q266" s="633">
        <f>CCBASE!$H$51</f>
        <v/>
      </c>
      <c r="R266" s="633">
        <f>CCBASE!$I$4</f>
        <v/>
      </c>
      <c r="S266" s="633">
        <f>CCBASE!$I$8</f>
        <v/>
      </c>
      <c r="T266" s="633">
        <f>CCBASE!$I$44</f>
        <v/>
      </c>
      <c r="U266" s="633">
        <f>CCBASE!$I$47*2</f>
        <v/>
      </c>
      <c r="V266" s="633">
        <f>CCBASE!$I$46</f>
        <v/>
      </c>
      <c r="W266" s="633">
        <f>CCBASE!$I$43*B266/1000</f>
        <v/>
      </c>
      <c r="X266" s="633" t="n"/>
      <c r="Y266" s="633" t="n"/>
      <c r="Z266" s="633" t="n"/>
      <c r="AA266" s="633" t="n"/>
      <c r="AB266" s="633" t="n"/>
      <c r="AC266" s="633" t="n"/>
      <c r="AD266" s="633">
        <f>CCBASE!$I$39*2</f>
        <v/>
      </c>
    </row>
    <row r="267">
      <c r="A267" s="631" t="inlineStr">
        <is>
          <t>KVF</t>
        </is>
      </c>
      <c r="B267" s="631" t="n">
        <v>2000</v>
      </c>
      <c r="C267" s="631" t="n">
        <v>2000</v>
      </c>
      <c r="D267" s="631">
        <f>A267&amp;B267&amp;C267</f>
        <v/>
      </c>
      <c r="E267" s="1040">
        <f>SUM(G267:AD267)</f>
        <v/>
      </c>
      <c r="F267" s="632" t="n">
        <v>24.5</v>
      </c>
      <c r="G267" s="633">
        <f>F267*CCBASE!$B$51</f>
        <v/>
      </c>
      <c r="H267" s="633">
        <f>CCBASE!$I$12*B267/1000</f>
        <v/>
      </c>
      <c r="I267" s="633" t="n"/>
      <c r="J267" s="633" t="n"/>
      <c r="K267" s="633" t="n"/>
      <c r="L267" s="633">
        <f>CCBASE!$I$13*B267/1000</f>
        <v/>
      </c>
      <c r="M267" s="633" t="n"/>
      <c r="N267" s="633">
        <f>CCBASE!$I$7*B267/1000</f>
        <v/>
      </c>
      <c r="O267" s="633">
        <f>CCBASE!$I$45*B267/1000</f>
        <v/>
      </c>
      <c r="P267" s="633" t="n"/>
      <c r="Q267" s="633">
        <f>CCBASE!$H$51</f>
        <v/>
      </c>
      <c r="R267" s="633">
        <f>CCBASE!$I$4</f>
        <v/>
      </c>
      <c r="S267" s="633">
        <f>CCBASE!$I$8</f>
        <v/>
      </c>
      <c r="T267" s="633">
        <f>CCBASE!$I$44</f>
        <v/>
      </c>
      <c r="U267" s="633">
        <f>CCBASE!$I$47*2</f>
        <v/>
      </c>
      <c r="V267" s="633">
        <f>CCBASE!$I$46</f>
        <v/>
      </c>
      <c r="W267" s="633">
        <f>CCBASE!$I$43*B267/1000</f>
        <v/>
      </c>
      <c r="X267" s="633" t="n"/>
      <c r="Y267" s="633" t="n"/>
      <c r="Z267" s="633" t="n"/>
      <c r="AA267" s="633" t="n"/>
      <c r="AB267" s="633" t="n"/>
      <c r="AC267" s="633" t="n"/>
      <c r="AD267" s="633">
        <f>CCBASE!$I$39*2</f>
        <v/>
      </c>
    </row>
    <row r="268">
      <c r="A268" s="631" t="inlineStr">
        <is>
          <t>KVF</t>
        </is>
      </c>
      <c r="B268" s="631" t="n">
        <v>2250</v>
      </c>
      <c r="C268" s="631" t="n">
        <v>2000</v>
      </c>
      <c r="D268" s="631">
        <f>A268&amp;B268&amp;C268</f>
        <v/>
      </c>
      <c r="E268" s="1040">
        <f>SUM(G268:AD268)</f>
        <v/>
      </c>
      <c r="F268" s="632" t="n">
        <v>25.5</v>
      </c>
      <c r="G268" s="633">
        <f>F268*CCBASE!$B$51</f>
        <v/>
      </c>
      <c r="H268" s="633">
        <f>CCBASE!$I$12*B268/1000</f>
        <v/>
      </c>
      <c r="I268" s="633" t="n"/>
      <c r="J268" s="633" t="n"/>
      <c r="K268" s="633" t="n"/>
      <c r="L268" s="633">
        <f>CCBASE!$I$13*B268/1000</f>
        <v/>
      </c>
      <c r="M268" s="633" t="n"/>
      <c r="N268" s="633">
        <f>CCBASE!$I$7*B268/1000</f>
        <v/>
      </c>
      <c r="O268" s="633">
        <f>CCBASE!$I$45*B268/1000</f>
        <v/>
      </c>
      <c r="P268" s="633" t="n"/>
      <c r="Q268" s="633">
        <f>CCBASE!$H$51</f>
        <v/>
      </c>
      <c r="R268" s="633">
        <f>CCBASE!$I$4</f>
        <v/>
      </c>
      <c r="S268" s="633">
        <f>CCBASE!$I$8</f>
        <v/>
      </c>
      <c r="T268" s="633">
        <f>CCBASE!$I$44</f>
        <v/>
      </c>
      <c r="U268" s="633">
        <f>CCBASE!$I$47*2</f>
        <v/>
      </c>
      <c r="V268" s="633">
        <f>CCBASE!$I$46</f>
        <v/>
      </c>
      <c r="W268" s="633">
        <f>CCBASE!$I$43*B268/1000</f>
        <v/>
      </c>
      <c r="X268" s="633" t="n"/>
      <c r="Y268" s="633" t="n"/>
      <c r="Z268" s="633" t="n"/>
      <c r="AA268" s="633" t="n"/>
      <c r="AB268" s="633" t="n"/>
      <c r="AC268" s="633" t="n"/>
      <c r="AD268" s="633">
        <f>CCBASE!$I$39*2</f>
        <v/>
      </c>
    </row>
    <row r="269">
      <c r="A269" s="631" t="inlineStr">
        <is>
          <t>KVF</t>
        </is>
      </c>
      <c r="B269" s="631" t="n">
        <v>2500</v>
      </c>
      <c r="C269" s="631" t="n">
        <v>2000</v>
      </c>
      <c r="D269" s="631">
        <f>A269&amp;B269&amp;C269</f>
        <v/>
      </c>
      <c r="E269" s="1040">
        <f>SUM(G269:AD269)</f>
        <v/>
      </c>
      <c r="F269" s="632" t="n">
        <v>25.5</v>
      </c>
      <c r="G269" s="633">
        <f>F269*CCBASE!$B$51</f>
        <v/>
      </c>
      <c r="H269" s="633">
        <f>CCBASE!$I$12*B269/1000</f>
        <v/>
      </c>
      <c r="I269" s="633" t="n"/>
      <c r="J269" s="633" t="n"/>
      <c r="K269" s="633" t="n"/>
      <c r="L269" s="633">
        <f>CCBASE!$I$13*B269/1000</f>
        <v/>
      </c>
      <c r="M269" s="633" t="n"/>
      <c r="N269" s="633">
        <f>CCBASE!$I$7*B269/1000</f>
        <v/>
      </c>
      <c r="O269" s="633">
        <f>CCBASE!$I$45*B269/1000</f>
        <v/>
      </c>
      <c r="P269" s="633" t="n"/>
      <c r="Q269" s="633">
        <f>CCBASE!$H$51</f>
        <v/>
      </c>
      <c r="R269" s="633">
        <f>CCBASE!$I$4</f>
        <v/>
      </c>
      <c r="S269" s="633">
        <f>CCBASE!$I$8</f>
        <v/>
      </c>
      <c r="T269" s="633">
        <f>CCBASE!$I$44</f>
        <v/>
      </c>
      <c r="U269" s="633">
        <f>CCBASE!$I$47*2</f>
        <v/>
      </c>
      <c r="V269" s="633">
        <f>CCBASE!$I$46</f>
        <v/>
      </c>
      <c r="W269" s="633">
        <f>CCBASE!$I$43*B269/1000</f>
        <v/>
      </c>
      <c r="X269" s="633" t="n"/>
      <c r="Y269" s="633" t="n"/>
      <c r="Z269" s="633" t="n"/>
      <c r="AA269" s="633" t="n"/>
      <c r="AB269" s="633" t="n"/>
      <c r="AC269" s="633" t="n"/>
      <c r="AD269" s="633">
        <f>CCBASE!$I$39*2</f>
        <v/>
      </c>
    </row>
    <row r="270">
      <c r="A270" s="631" t="inlineStr">
        <is>
          <t>KVF</t>
        </is>
      </c>
      <c r="B270" s="631" t="n">
        <v>2750</v>
      </c>
      <c r="C270" s="631" t="n">
        <v>2000</v>
      </c>
      <c r="D270" s="631">
        <f>A270&amp;B270&amp;C270</f>
        <v/>
      </c>
      <c r="E270" s="1040">
        <f>SUM(G270:AD270)</f>
        <v/>
      </c>
      <c r="F270" s="632" t="n">
        <v>25.5</v>
      </c>
      <c r="G270" s="633">
        <f>F270*CCBASE!$B$51</f>
        <v/>
      </c>
      <c r="H270" s="633">
        <f>CCBASE!$I$12*B270/1000</f>
        <v/>
      </c>
      <c r="I270" s="633" t="n"/>
      <c r="J270" s="633" t="n"/>
      <c r="K270" s="633" t="n"/>
      <c r="L270" s="633">
        <f>CCBASE!$I$13*B270/1000</f>
        <v/>
      </c>
      <c r="M270" s="633" t="n"/>
      <c r="N270" s="633">
        <f>CCBASE!$I$7*B270/1000</f>
        <v/>
      </c>
      <c r="O270" s="633">
        <f>CCBASE!$I$45*B270/1000</f>
        <v/>
      </c>
      <c r="P270" s="633" t="n"/>
      <c r="Q270" s="633">
        <f>CCBASE!$H$51</f>
        <v/>
      </c>
      <c r="R270" s="633">
        <f>CCBASE!$I$4</f>
        <v/>
      </c>
      <c r="S270" s="633">
        <f>CCBASE!$I$8</f>
        <v/>
      </c>
      <c r="T270" s="633">
        <f>CCBASE!$I$44</f>
        <v/>
      </c>
      <c r="U270" s="633">
        <f>CCBASE!$I$47*2</f>
        <v/>
      </c>
      <c r="V270" s="633">
        <f>CCBASE!$I$46</f>
        <v/>
      </c>
      <c r="W270" s="633">
        <f>CCBASE!$I$43*B270/1000</f>
        <v/>
      </c>
      <c r="X270" s="633" t="n"/>
      <c r="Y270" s="633" t="n"/>
      <c r="Z270" s="633" t="n"/>
      <c r="AA270" s="633" t="n"/>
      <c r="AB270" s="633" t="n"/>
      <c r="AC270" s="633" t="n"/>
      <c r="AD270" s="633">
        <f>CCBASE!$I$39*2</f>
        <v/>
      </c>
    </row>
    <row r="271">
      <c r="A271" s="631" t="inlineStr">
        <is>
          <t>KVF</t>
        </is>
      </c>
      <c r="B271" s="631" t="n">
        <v>3000</v>
      </c>
      <c r="C271" s="631" t="n">
        <v>2000</v>
      </c>
      <c r="D271" s="631">
        <f>A271&amp;B271&amp;C271</f>
        <v/>
      </c>
      <c r="E271" s="1040">
        <f>SUM(G271:AD271)</f>
        <v/>
      </c>
      <c r="F271" s="632" t="n">
        <v>25.5</v>
      </c>
      <c r="G271" s="633">
        <f>F271*CCBASE!$B$51</f>
        <v/>
      </c>
      <c r="H271" s="633">
        <f>CCBASE!$I$12*B271/1000</f>
        <v/>
      </c>
      <c r="I271" s="633" t="n"/>
      <c r="J271" s="633" t="n"/>
      <c r="K271" s="633" t="n"/>
      <c r="L271" s="633">
        <f>CCBASE!$I$13*B271/1000</f>
        <v/>
      </c>
      <c r="M271" s="633" t="n"/>
      <c r="N271" s="633">
        <f>CCBASE!$I$7*B271/1000</f>
        <v/>
      </c>
      <c r="O271" s="633">
        <f>CCBASE!$I$45*B271/1000</f>
        <v/>
      </c>
      <c r="P271" s="633" t="n"/>
      <c r="Q271" s="633">
        <f>CCBASE!$H$51</f>
        <v/>
      </c>
      <c r="R271" s="633">
        <f>CCBASE!$I$4</f>
        <v/>
      </c>
      <c r="S271" s="633">
        <f>CCBASE!$I$8</f>
        <v/>
      </c>
      <c r="T271" s="633">
        <f>CCBASE!$I$44</f>
        <v/>
      </c>
      <c r="U271" s="633">
        <f>CCBASE!$I$47*2</f>
        <v/>
      </c>
      <c r="V271" s="633">
        <f>CCBASE!$I$46</f>
        <v/>
      </c>
      <c r="W271" s="633">
        <f>CCBASE!$I$43*B271/1000</f>
        <v/>
      </c>
      <c r="X271" s="633" t="n"/>
      <c r="Y271" s="633" t="n"/>
      <c r="Z271" s="633" t="n"/>
      <c r="AA271" s="633" t="n"/>
      <c r="AB271" s="633" t="n"/>
      <c r="AC271" s="633" t="n"/>
      <c r="AD271" s="633">
        <f>CCBASE!$I$39*2</f>
        <v/>
      </c>
    </row>
    <row r="272">
      <c r="A272" s="631" t="inlineStr">
        <is>
          <t>CMWF</t>
        </is>
      </c>
      <c r="B272" s="631" t="n">
        <v>1000</v>
      </c>
      <c r="C272" s="631" t="n">
        <v>1000</v>
      </c>
      <c r="D272" s="631">
        <f>A272&amp;B272&amp;C272</f>
        <v/>
      </c>
      <c r="E272" s="1040">
        <f>SUM(G272:AD272)</f>
        <v/>
      </c>
      <c r="F272" s="632" t="n">
        <v>24.5</v>
      </c>
      <c r="G272" s="633">
        <f>F272*CCBASE!$B$51</f>
        <v/>
      </c>
      <c r="H272" s="633">
        <f>CCBASE!$I$12*B272/1000</f>
        <v/>
      </c>
      <c r="I272" s="633" t="n"/>
      <c r="J272" s="633" t="n"/>
      <c r="K272" s="633" t="n"/>
      <c r="L272" s="633">
        <f>CCBASE!$I$13*B272/1000</f>
        <v/>
      </c>
      <c r="M272" s="633" t="n"/>
      <c r="N272" s="633">
        <f>CCBASE!$I$7*B272/1000</f>
        <v/>
      </c>
      <c r="O272" s="633">
        <f>CCBASE!$I$45*B272/1000</f>
        <v/>
      </c>
      <c r="P272" s="633" t="n"/>
      <c r="Q272" s="633">
        <f>CCBASE!$H$51</f>
        <v/>
      </c>
      <c r="R272" s="633">
        <f>CCBASE!$I$4</f>
        <v/>
      </c>
      <c r="S272" s="633">
        <f>CCBASE!$I$8</f>
        <v/>
      </c>
      <c r="T272" s="633">
        <f>CCBASE!$I$44</f>
        <v/>
      </c>
      <c r="U272" s="633">
        <f>CCBASE!$I$47</f>
        <v/>
      </c>
      <c r="V272" s="633">
        <f>CCBASE!$I$46/2</f>
        <v/>
      </c>
      <c r="W272" s="633">
        <f>CCBASE!$I$40*B272/1000</f>
        <v/>
      </c>
      <c r="X272" s="633" t="n"/>
      <c r="Y272" s="633" t="n"/>
      <c r="Z272" s="633" t="n"/>
      <c r="AA272" s="633" t="n"/>
      <c r="AB272" s="633" t="n"/>
      <c r="AC272" s="633" t="n"/>
      <c r="AD272" s="633">
        <f>CCBASE!$I$36*2</f>
        <v/>
      </c>
    </row>
    <row r="273">
      <c r="A273" s="631" t="inlineStr">
        <is>
          <t>CMWF</t>
        </is>
      </c>
      <c r="B273" s="631" t="n">
        <v>1250</v>
      </c>
      <c r="C273" s="631" t="n">
        <v>1000</v>
      </c>
      <c r="D273" s="631">
        <f>A273&amp;B273&amp;C273</f>
        <v/>
      </c>
      <c r="E273" s="1040">
        <f>SUM(G273:AD273)</f>
        <v/>
      </c>
      <c r="F273" s="632" t="n">
        <v>24.5</v>
      </c>
      <c r="G273" s="633">
        <f>F273*CCBASE!$B$51</f>
        <v/>
      </c>
      <c r="H273" s="633">
        <f>CCBASE!$I$12*B273/1000</f>
        <v/>
      </c>
      <c r="I273" s="633" t="n"/>
      <c r="J273" s="633" t="n"/>
      <c r="K273" s="633" t="n"/>
      <c r="L273" s="633">
        <f>CCBASE!$I$13*B273/1000</f>
        <v/>
      </c>
      <c r="M273" s="633" t="n"/>
      <c r="N273" s="633">
        <f>CCBASE!$I$7*B273/1000</f>
        <v/>
      </c>
      <c r="O273" s="633">
        <f>CCBASE!$I$45*B273/1000</f>
        <v/>
      </c>
      <c r="P273" s="633" t="n"/>
      <c r="Q273" s="633">
        <f>CCBASE!$H$51</f>
        <v/>
      </c>
      <c r="R273" s="633">
        <f>CCBASE!$I$4</f>
        <v/>
      </c>
      <c r="S273" s="633">
        <f>CCBASE!$I$8</f>
        <v/>
      </c>
      <c r="T273" s="633">
        <f>CCBASE!$I$44</f>
        <v/>
      </c>
      <c r="U273" s="633">
        <f>CCBASE!$I$47*2</f>
        <v/>
      </c>
      <c r="V273" s="633">
        <f>CCBASE!$I$46/2</f>
        <v/>
      </c>
      <c r="W273" s="633">
        <f>CCBASE!$I$40*B273/1000</f>
        <v/>
      </c>
      <c r="X273" s="633" t="n"/>
      <c r="Y273" s="633" t="n"/>
      <c r="Z273" s="633" t="n"/>
      <c r="AA273" s="633" t="n"/>
      <c r="AB273" s="633" t="n"/>
      <c r="AC273" s="633" t="n"/>
      <c r="AD273" s="633">
        <f>CCBASE!$I$36*2</f>
        <v/>
      </c>
    </row>
    <row r="274">
      <c r="A274" s="631" t="inlineStr">
        <is>
          <t>CMWF</t>
        </is>
      </c>
      <c r="B274" s="631" t="n">
        <v>1500</v>
      </c>
      <c r="C274" s="631" t="n">
        <v>1000</v>
      </c>
      <c r="D274" s="631">
        <f>A274&amp;B274&amp;C274</f>
        <v/>
      </c>
      <c r="E274" s="1040">
        <f>SUM(G274:AD274)</f>
        <v/>
      </c>
      <c r="F274" s="632" t="n">
        <v>24.5</v>
      </c>
      <c r="G274" s="633">
        <f>F274*CCBASE!$B$51</f>
        <v/>
      </c>
      <c r="H274" s="633">
        <f>CCBASE!$I$12*B274/1000</f>
        <v/>
      </c>
      <c r="I274" s="633" t="n"/>
      <c r="J274" s="633" t="n"/>
      <c r="K274" s="633" t="n"/>
      <c r="L274" s="633">
        <f>CCBASE!$I$13*B274/1000</f>
        <v/>
      </c>
      <c r="M274" s="633" t="n"/>
      <c r="N274" s="633">
        <f>CCBASE!$I$7*B274/1000</f>
        <v/>
      </c>
      <c r="O274" s="633">
        <f>CCBASE!$I$45*B274/1000</f>
        <v/>
      </c>
      <c r="P274" s="633" t="n"/>
      <c r="Q274" s="633">
        <f>CCBASE!$H$51</f>
        <v/>
      </c>
      <c r="R274" s="633">
        <f>CCBASE!$I$4</f>
        <v/>
      </c>
      <c r="S274" s="633">
        <f>CCBASE!$I$8</f>
        <v/>
      </c>
      <c r="T274" s="633">
        <f>CCBASE!$I$44</f>
        <v/>
      </c>
      <c r="U274" s="633">
        <f>CCBASE!$I$47*2</f>
        <v/>
      </c>
      <c r="V274" s="633">
        <f>CCBASE!$I$46/2</f>
        <v/>
      </c>
      <c r="W274" s="633">
        <f>CCBASE!$I$40*B274/1000</f>
        <v/>
      </c>
      <c r="X274" s="633" t="n"/>
      <c r="Y274" s="633" t="n"/>
      <c r="Z274" s="633" t="n"/>
      <c r="AA274" s="633" t="n"/>
      <c r="AB274" s="633" t="n"/>
      <c r="AC274" s="633" t="n"/>
      <c r="AD274" s="633">
        <f>CCBASE!$I$36*2</f>
        <v/>
      </c>
    </row>
    <row r="275">
      <c r="A275" s="631" t="inlineStr">
        <is>
          <t>CMWF</t>
        </is>
      </c>
      <c r="B275" s="631" t="n">
        <v>1750</v>
      </c>
      <c r="C275" s="631" t="n">
        <v>1000</v>
      </c>
      <c r="D275" s="631">
        <f>A275&amp;B275&amp;C275</f>
        <v/>
      </c>
      <c r="E275" s="1040">
        <f>SUM(G275:AD275)</f>
        <v/>
      </c>
      <c r="F275" s="632" t="n">
        <v>24.5</v>
      </c>
      <c r="G275" s="633">
        <f>F275*CCBASE!$B$51</f>
        <v/>
      </c>
      <c r="H275" s="633">
        <f>CCBASE!$I$12*B275/1000</f>
        <v/>
      </c>
      <c r="I275" s="633" t="n"/>
      <c r="J275" s="633" t="n"/>
      <c r="K275" s="633" t="n"/>
      <c r="L275" s="633">
        <f>CCBASE!$I$13*B275/1000</f>
        <v/>
      </c>
      <c r="M275" s="633" t="n"/>
      <c r="N275" s="633">
        <f>CCBASE!$I$7*B275/1000</f>
        <v/>
      </c>
      <c r="O275" s="633">
        <f>CCBASE!$I$45*B275/1000</f>
        <v/>
      </c>
      <c r="P275" s="633" t="n"/>
      <c r="Q275" s="633">
        <f>CCBASE!$H$51</f>
        <v/>
      </c>
      <c r="R275" s="633">
        <f>CCBASE!$I$4</f>
        <v/>
      </c>
      <c r="S275" s="633">
        <f>CCBASE!$I$8</f>
        <v/>
      </c>
      <c r="T275" s="633">
        <f>CCBASE!$I$44</f>
        <v/>
      </c>
      <c r="U275" s="633">
        <f>CCBASE!$I$47*2</f>
        <v/>
      </c>
      <c r="V275" s="633">
        <f>CCBASE!$I$46</f>
        <v/>
      </c>
      <c r="W275" s="633">
        <f>CCBASE!$I$40*B275/1000</f>
        <v/>
      </c>
      <c r="X275" s="633" t="n"/>
      <c r="Y275" s="633" t="n"/>
      <c r="Z275" s="633" t="n"/>
      <c r="AA275" s="633" t="n"/>
      <c r="AB275" s="633" t="n"/>
      <c r="AC275" s="633" t="n"/>
      <c r="AD275" s="633">
        <f>CCBASE!$I$36*2</f>
        <v/>
      </c>
    </row>
    <row r="276">
      <c r="A276" s="631" t="inlineStr">
        <is>
          <t>CMWF</t>
        </is>
      </c>
      <c r="B276" s="631" t="n">
        <v>2000</v>
      </c>
      <c r="C276" s="631" t="n">
        <v>1000</v>
      </c>
      <c r="D276" s="631">
        <f>A276&amp;B276&amp;C276</f>
        <v/>
      </c>
      <c r="E276" s="1040">
        <f>SUM(G276:AD276)</f>
        <v/>
      </c>
      <c r="F276" s="632" t="n">
        <v>24.5</v>
      </c>
      <c r="G276" s="633">
        <f>F276*CCBASE!$B$51</f>
        <v/>
      </c>
      <c r="H276" s="633">
        <f>CCBASE!$I$12*B276/1000</f>
        <v/>
      </c>
      <c r="I276" s="633" t="n"/>
      <c r="J276" s="633" t="n"/>
      <c r="K276" s="633" t="n"/>
      <c r="L276" s="633">
        <f>CCBASE!$I$13*B276/1000</f>
        <v/>
      </c>
      <c r="M276" s="633" t="n"/>
      <c r="N276" s="633">
        <f>CCBASE!$I$7*B276/1000</f>
        <v/>
      </c>
      <c r="O276" s="633">
        <f>CCBASE!$I$45*B276/1000</f>
        <v/>
      </c>
      <c r="P276" s="633" t="n"/>
      <c r="Q276" s="633">
        <f>CCBASE!$H$51</f>
        <v/>
      </c>
      <c r="R276" s="633">
        <f>CCBASE!$I$4</f>
        <v/>
      </c>
      <c r="S276" s="633">
        <f>CCBASE!$I$8</f>
        <v/>
      </c>
      <c r="T276" s="633">
        <f>CCBASE!$I$44</f>
        <v/>
      </c>
      <c r="U276" s="633">
        <f>CCBASE!$I$47*2</f>
        <v/>
      </c>
      <c r="V276" s="633">
        <f>CCBASE!$I$46</f>
        <v/>
      </c>
      <c r="W276" s="633">
        <f>CCBASE!$I$40*B276/1000</f>
        <v/>
      </c>
      <c r="X276" s="633" t="n"/>
      <c r="Y276" s="633" t="n"/>
      <c r="Z276" s="633" t="n"/>
      <c r="AA276" s="633" t="n"/>
      <c r="AB276" s="633" t="n"/>
      <c r="AC276" s="633" t="n"/>
      <c r="AD276" s="633">
        <f>CCBASE!$I$36*2</f>
        <v/>
      </c>
    </row>
    <row r="277">
      <c r="A277" s="631" t="inlineStr">
        <is>
          <t>CMWF</t>
        </is>
      </c>
      <c r="B277" s="631" t="n">
        <v>2250</v>
      </c>
      <c r="C277" s="631" t="n">
        <v>1000</v>
      </c>
      <c r="D277" s="631">
        <f>A277&amp;B277&amp;C277</f>
        <v/>
      </c>
      <c r="E277" s="1040">
        <f>SUM(G277:AD277)</f>
        <v/>
      </c>
      <c r="F277" s="632" t="n">
        <v>25.5</v>
      </c>
      <c r="G277" s="633">
        <f>F277*CCBASE!$B$51</f>
        <v/>
      </c>
      <c r="H277" s="633">
        <f>CCBASE!$I$12*B277/1000</f>
        <v/>
      </c>
      <c r="I277" s="633" t="n"/>
      <c r="J277" s="633" t="n"/>
      <c r="K277" s="633" t="n"/>
      <c r="L277" s="633">
        <f>CCBASE!$I$13*B277/1000</f>
        <v/>
      </c>
      <c r="M277" s="633" t="n"/>
      <c r="N277" s="633">
        <f>CCBASE!$I$7*B277/1000</f>
        <v/>
      </c>
      <c r="O277" s="633">
        <f>CCBASE!$I$45*B277/1000</f>
        <v/>
      </c>
      <c r="P277" s="633" t="n"/>
      <c r="Q277" s="633">
        <f>CCBASE!$H$51</f>
        <v/>
      </c>
      <c r="R277" s="633">
        <f>CCBASE!$I$4</f>
        <v/>
      </c>
      <c r="S277" s="633">
        <f>CCBASE!$I$8</f>
        <v/>
      </c>
      <c r="T277" s="633">
        <f>CCBASE!$I$44</f>
        <v/>
      </c>
      <c r="U277" s="633">
        <f>CCBASE!$I$47*2</f>
        <v/>
      </c>
      <c r="V277" s="633">
        <f>CCBASE!$I$46</f>
        <v/>
      </c>
      <c r="W277" s="633">
        <f>CCBASE!$I$40*B277/1000</f>
        <v/>
      </c>
      <c r="X277" s="633" t="n"/>
      <c r="Y277" s="633" t="n"/>
      <c r="Z277" s="633" t="n"/>
      <c r="AA277" s="633" t="n"/>
      <c r="AB277" s="633" t="n"/>
      <c r="AC277" s="633" t="n"/>
      <c r="AD277" s="633">
        <f>CCBASE!$I$36*2</f>
        <v/>
      </c>
    </row>
    <row r="278">
      <c r="A278" s="631" t="inlineStr">
        <is>
          <t>CMWF</t>
        </is>
      </c>
      <c r="B278" s="631" t="n">
        <v>2500</v>
      </c>
      <c r="C278" s="631" t="n">
        <v>1000</v>
      </c>
      <c r="D278" s="631">
        <f>A278&amp;B278&amp;C278</f>
        <v/>
      </c>
      <c r="E278" s="1040">
        <f>SUM(G278:AD278)</f>
        <v/>
      </c>
      <c r="F278" s="632" t="n">
        <v>25.5</v>
      </c>
      <c r="G278" s="633">
        <f>F278*CCBASE!$B$51</f>
        <v/>
      </c>
      <c r="H278" s="633">
        <f>CCBASE!$I$12*B278/1000</f>
        <v/>
      </c>
      <c r="I278" s="633" t="n"/>
      <c r="J278" s="633" t="n"/>
      <c r="K278" s="633" t="n"/>
      <c r="L278" s="633">
        <f>CCBASE!$I$13*B278/1000</f>
        <v/>
      </c>
      <c r="M278" s="633" t="n"/>
      <c r="N278" s="633">
        <f>CCBASE!$I$7*B278/1000</f>
        <v/>
      </c>
      <c r="O278" s="633">
        <f>CCBASE!$I$45*B278/1000</f>
        <v/>
      </c>
      <c r="P278" s="633" t="n"/>
      <c r="Q278" s="633">
        <f>CCBASE!$H$51</f>
        <v/>
      </c>
      <c r="R278" s="633">
        <f>CCBASE!$I$4</f>
        <v/>
      </c>
      <c r="S278" s="633">
        <f>CCBASE!$I$8</f>
        <v/>
      </c>
      <c r="T278" s="633">
        <f>CCBASE!$I$44</f>
        <v/>
      </c>
      <c r="U278" s="633">
        <f>CCBASE!$I$47*2</f>
        <v/>
      </c>
      <c r="V278" s="633">
        <f>CCBASE!$I$46</f>
        <v/>
      </c>
      <c r="W278" s="633">
        <f>CCBASE!$I$40*B278/1000</f>
        <v/>
      </c>
      <c r="X278" s="633" t="n"/>
      <c r="Y278" s="633" t="n"/>
      <c r="Z278" s="633" t="n"/>
      <c r="AA278" s="633" t="n"/>
      <c r="AB278" s="633" t="n"/>
      <c r="AC278" s="633" t="n"/>
      <c r="AD278" s="633">
        <f>CCBASE!$I$36*2</f>
        <v/>
      </c>
    </row>
    <row r="279">
      <c r="A279" s="631" t="inlineStr">
        <is>
          <t>CMWF</t>
        </is>
      </c>
      <c r="B279" s="631" t="n">
        <v>2750</v>
      </c>
      <c r="C279" s="631" t="n">
        <v>1000</v>
      </c>
      <c r="D279" s="631">
        <f>A279&amp;B279&amp;C279</f>
        <v/>
      </c>
      <c r="E279" s="1040">
        <f>SUM(G279:AD279)</f>
        <v/>
      </c>
      <c r="F279" s="632" t="n">
        <v>25.5</v>
      </c>
      <c r="G279" s="633">
        <f>F279*CCBASE!$B$51</f>
        <v/>
      </c>
      <c r="H279" s="633">
        <f>CCBASE!$I$12*B279/1000</f>
        <v/>
      </c>
      <c r="I279" s="633" t="n"/>
      <c r="J279" s="633" t="n"/>
      <c r="K279" s="633" t="n"/>
      <c r="L279" s="633">
        <f>CCBASE!$I$13*B279/1000</f>
        <v/>
      </c>
      <c r="M279" s="633" t="n"/>
      <c r="N279" s="633">
        <f>CCBASE!$I$7*B279/1000</f>
        <v/>
      </c>
      <c r="O279" s="633">
        <f>CCBASE!$I$45*B279/1000</f>
        <v/>
      </c>
      <c r="P279" s="633" t="n"/>
      <c r="Q279" s="633">
        <f>CCBASE!$H$51</f>
        <v/>
      </c>
      <c r="R279" s="633">
        <f>CCBASE!$I$4</f>
        <v/>
      </c>
      <c r="S279" s="633">
        <f>CCBASE!$I$8</f>
        <v/>
      </c>
      <c r="T279" s="633">
        <f>CCBASE!$I$44</f>
        <v/>
      </c>
      <c r="U279" s="633">
        <f>CCBASE!$I$47*2</f>
        <v/>
      </c>
      <c r="V279" s="633">
        <f>CCBASE!$I$46</f>
        <v/>
      </c>
      <c r="W279" s="633">
        <f>CCBASE!$I$40*B279/1000</f>
        <v/>
      </c>
      <c r="X279" s="633" t="n"/>
      <c r="Y279" s="633" t="n"/>
      <c r="Z279" s="633" t="n"/>
      <c r="AA279" s="633" t="n"/>
      <c r="AB279" s="633" t="n"/>
      <c r="AC279" s="633" t="n"/>
      <c r="AD279" s="633">
        <f>CCBASE!$I$36*2</f>
        <v/>
      </c>
    </row>
    <row r="280">
      <c r="A280" s="631" t="inlineStr">
        <is>
          <t>CMWF</t>
        </is>
      </c>
      <c r="B280" s="631" t="n">
        <v>3000</v>
      </c>
      <c r="C280" s="631" t="n">
        <v>1000</v>
      </c>
      <c r="D280" s="631">
        <f>A280&amp;B280&amp;C280</f>
        <v/>
      </c>
      <c r="E280" s="1040">
        <f>SUM(G280:AD280)</f>
        <v/>
      </c>
      <c r="F280" s="632" t="n">
        <v>25.5</v>
      </c>
      <c r="G280" s="633">
        <f>F280*CCBASE!$B$51</f>
        <v/>
      </c>
      <c r="H280" s="633">
        <f>CCBASE!$I$12*B280/1000</f>
        <v/>
      </c>
      <c r="I280" s="633" t="n"/>
      <c r="J280" s="633" t="n"/>
      <c r="K280" s="633" t="n"/>
      <c r="L280" s="633">
        <f>CCBASE!$I$13*B280/1000</f>
        <v/>
      </c>
      <c r="M280" s="633" t="n"/>
      <c r="N280" s="633">
        <f>CCBASE!$I$7*B280/1000</f>
        <v/>
      </c>
      <c r="O280" s="633">
        <f>CCBASE!$I$45*B280/1000</f>
        <v/>
      </c>
      <c r="P280" s="633" t="n"/>
      <c r="Q280" s="633">
        <f>CCBASE!$H$51</f>
        <v/>
      </c>
      <c r="R280" s="633">
        <f>CCBASE!$I$4</f>
        <v/>
      </c>
      <c r="S280" s="633">
        <f>CCBASE!$I$8</f>
        <v/>
      </c>
      <c r="T280" s="633">
        <f>CCBASE!$I$44</f>
        <v/>
      </c>
      <c r="U280" s="633">
        <f>CCBASE!$I$47*2</f>
        <v/>
      </c>
      <c r="V280" s="633">
        <f>CCBASE!$I$46</f>
        <v/>
      </c>
      <c r="W280" s="633">
        <f>CCBASE!$I$40*B280/1000</f>
        <v/>
      </c>
      <c r="X280" s="633" t="n"/>
      <c r="Y280" s="633" t="n"/>
      <c r="Z280" s="633" t="n"/>
      <c r="AA280" s="633" t="n"/>
      <c r="AB280" s="633" t="n"/>
      <c r="AC280" s="633" t="n"/>
      <c r="AD280" s="633">
        <f>CCBASE!$I$36*2</f>
        <v/>
      </c>
    </row>
    <row r="281">
      <c r="A281" s="631" t="inlineStr">
        <is>
          <t>CMWF</t>
        </is>
      </c>
      <c r="B281" s="631" t="n">
        <v>1000</v>
      </c>
      <c r="C281" s="631" t="n">
        <v>1250</v>
      </c>
      <c r="D281" s="631">
        <f>A281&amp;B281&amp;C281</f>
        <v/>
      </c>
      <c r="E281" s="1040">
        <f>SUM(G281:AD281)</f>
        <v/>
      </c>
      <c r="F281" s="632" t="n">
        <v>24.5</v>
      </c>
      <c r="G281" s="633">
        <f>F281*CCBASE!$B$51</f>
        <v/>
      </c>
      <c r="H281" s="633">
        <f>CCBASE!$I$12*B281/1000</f>
        <v/>
      </c>
      <c r="I281" s="633" t="n"/>
      <c r="J281" s="633" t="n"/>
      <c r="K281" s="633" t="n"/>
      <c r="L281" s="633">
        <f>CCBASE!$I$13*B281/1000</f>
        <v/>
      </c>
      <c r="M281" s="633" t="n"/>
      <c r="N281" s="633">
        <f>CCBASE!$I$7*B281/1000</f>
        <v/>
      </c>
      <c r="O281" s="633">
        <f>CCBASE!$I$45*B281/1000</f>
        <v/>
      </c>
      <c r="P281" s="633" t="n"/>
      <c r="Q281" s="633">
        <f>CCBASE!$H$51</f>
        <v/>
      </c>
      <c r="R281" s="633">
        <f>CCBASE!$I$4</f>
        <v/>
      </c>
      <c r="S281" s="633">
        <f>CCBASE!$I$8</f>
        <v/>
      </c>
      <c r="T281" s="633">
        <f>CCBASE!$I$44</f>
        <v/>
      </c>
      <c r="U281" s="633">
        <f>CCBASE!$I$47</f>
        <v/>
      </c>
      <c r="V281" s="633">
        <f>CCBASE!$I$46/2</f>
        <v/>
      </c>
      <c r="W281" s="633">
        <f>CCBASE!$I$40*B281/1000</f>
        <v/>
      </c>
      <c r="X281" s="633" t="n"/>
      <c r="Y281" s="633" t="n"/>
      <c r="Z281" s="633" t="n"/>
      <c r="AA281" s="633" t="n"/>
      <c r="AB281" s="633" t="n"/>
      <c r="AC281" s="633" t="n"/>
      <c r="AD281" s="633">
        <f>CCBASE!$I$36*2</f>
        <v/>
      </c>
    </row>
    <row r="282">
      <c r="A282" s="631" t="inlineStr">
        <is>
          <t>CMWF</t>
        </is>
      </c>
      <c r="B282" s="631" t="n">
        <v>1250</v>
      </c>
      <c r="C282" s="631" t="n">
        <v>1250</v>
      </c>
      <c r="D282" s="631">
        <f>A282&amp;B282&amp;C282</f>
        <v/>
      </c>
      <c r="E282" s="1040">
        <f>SUM(G282:AD282)</f>
        <v/>
      </c>
      <c r="F282" s="632" t="n">
        <v>24.5</v>
      </c>
      <c r="G282" s="633">
        <f>F282*CCBASE!$B$51</f>
        <v/>
      </c>
      <c r="H282" s="633">
        <f>CCBASE!$I$12*B282/1000</f>
        <v/>
      </c>
      <c r="I282" s="633" t="n"/>
      <c r="J282" s="633" t="n"/>
      <c r="K282" s="633" t="n"/>
      <c r="L282" s="633">
        <f>CCBASE!$I$13*B282/1000</f>
        <v/>
      </c>
      <c r="M282" s="633" t="n"/>
      <c r="N282" s="633">
        <f>CCBASE!$I$7*B282/1000</f>
        <v/>
      </c>
      <c r="O282" s="633">
        <f>CCBASE!$I$45*B282/1000</f>
        <v/>
      </c>
      <c r="P282" s="633" t="n"/>
      <c r="Q282" s="633">
        <f>CCBASE!$H$51</f>
        <v/>
      </c>
      <c r="R282" s="633">
        <f>CCBASE!$I$4</f>
        <v/>
      </c>
      <c r="S282" s="633">
        <f>CCBASE!$I$8</f>
        <v/>
      </c>
      <c r="T282" s="633">
        <f>CCBASE!$I$44</f>
        <v/>
      </c>
      <c r="U282" s="633">
        <f>CCBASE!$I$47*2</f>
        <v/>
      </c>
      <c r="V282" s="633">
        <f>CCBASE!$I$46/2</f>
        <v/>
      </c>
      <c r="W282" s="633">
        <f>CCBASE!$I$40*B282/1000</f>
        <v/>
      </c>
      <c r="X282" s="633" t="n"/>
      <c r="Y282" s="633" t="n"/>
      <c r="Z282" s="633" t="n"/>
      <c r="AA282" s="633" t="n"/>
      <c r="AB282" s="633" t="n"/>
      <c r="AC282" s="633" t="n"/>
      <c r="AD282" s="633">
        <f>CCBASE!$I$36*2</f>
        <v/>
      </c>
    </row>
    <row r="283">
      <c r="A283" s="631" t="inlineStr">
        <is>
          <t>CMWF</t>
        </is>
      </c>
      <c r="B283" s="631" t="n">
        <v>1500</v>
      </c>
      <c r="C283" s="631" t="n">
        <v>1250</v>
      </c>
      <c r="D283" s="631">
        <f>A283&amp;B283&amp;C283</f>
        <v/>
      </c>
      <c r="E283" s="1040">
        <f>SUM(G283:AD283)</f>
        <v/>
      </c>
      <c r="F283" s="632" t="n">
        <v>24.5</v>
      </c>
      <c r="G283" s="633">
        <f>F283*CCBASE!$B$51</f>
        <v/>
      </c>
      <c r="H283" s="633">
        <f>CCBASE!$I$12*B283/1000</f>
        <v/>
      </c>
      <c r="I283" s="633" t="n"/>
      <c r="J283" s="633" t="n"/>
      <c r="K283" s="633" t="n"/>
      <c r="L283" s="633">
        <f>CCBASE!$I$13*B283/1000</f>
        <v/>
      </c>
      <c r="M283" s="633" t="n"/>
      <c r="N283" s="633">
        <f>CCBASE!$I$7*B283/1000</f>
        <v/>
      </c>
      <c r="O283" s="633">
        <f>CCBASE!$I$45*B283/1000</f>
        <v/>
      </c>
      <c r="P283" s="633" t="n"/>
      <c r="Q283" s="633">
        <f>CCBASE!$H$51</f>
        <v/>
      </c>
      <c r="R283" s="633">
        <f>CCBASE!$I$4</f>
        <v/>
      </c>
      <c r="S283" s="633">
        <f>CCBASE!$I$8</f>
        <v/>
      </c>
      <c r="T283" s="633">
        <f>CCBASE!$I$44</f>
        <v/>
      </c>
      <c r="U283" s="633">
        <f>CCBASE!$I$47*2</f>
        <v/>
      </c>
      <c r="V283" s="633">
        <f>CCBASE!$I$46/2</f>
        <v/>
      </c>
      <c r="W283" s="633">
        <f>CCBASE!$I$40*B283/1000</f>
        <v/>
      </c>
      <c r="X283" s="633" t="n"/>
      <c r="Y283" s="633" t="n"/>
      <c r="Z283" s="633" t="n"/>
      <c r="AA283" s="633" t="n"/>
      <c r="AB283" s="633" t="n"/>
      <c r="AC283" s="633" t="n"/>
      <c r="AD283" s="633">
        <f>CCBASE!$I$36*2</f>
        <v/>
      </c>
    </row>
    <row r="284">
      <c r="A284" s="631" t="inlineStr">
        <is>
          <t>CMWF</t>
        </is>
      </c>
      <c r="B284" s="631" t="n">
        <v>1750</v>
      </c>
      <c r="C284" s="631" t="n">
        <v>1250</v>
      </c>
      <c r="D284" s="631">
        <f>A284&amp;B284&amp;C284</f>
        <v/>
      </c>
      <c r="E284" s="1040">
        <f>SUM(G284:AD284)</f>
        <v/>
      </c>
      <c r="F284" s="632" t="n">
        <v>24.5</v>
      </c>
      <c r="G284" s="633">
        <f>F284*CCBASE!$B$51</f>
        <v/>
      </c>
      <c r="H284" s="633">
        <f>CCBASE!$I$12*B284/1000</f>
        <v/>
      </c>
      <c r="I284" s="633" t="n"/>
      <c r="J284" s="633" t="n"/>
      <c r="K284" s="633" t="n"/>
      <c r="L284" s="633">
        <f>CCBASE!$I$13*B284/1000</f>
        <v/>
      </c>
      <c r="M284" s="633" t="n"/>
      <c r="N284" s="633">
        <f>CCBASE!$I$7*B284/1000</f>
        <v/>
      </c>
      <c r="O284" s="633">
        <f>CCBASE!$I$45*B284/1000</f>
        <v/>
      </c>
      <c r="P284" s="633" t="n"/>
      <c r="Q284" s="633">
        <f>CCBASE!$H$51</f>
        <v/>
      </c>
      <c r="R284" s="633">
        <f>CCBASE!$I$4</f>
        <v/>
      </c>
      <c r="S284" s="633">
        <f>CCBASE!$I$8</f>
        <v/>
      </c>
      <c r="T284" s="633">
        <f>CCBASE!$I$44</f>
        <v/>
      </c>
      <c r="U284" s="633">
        <f>CCBASE!$I$47*2</f>
        <v/>
      </c>
      <c r="V284" s="633">
        <f>CCBASE!$I$46</f>
        <v/>
      </c>
      <c r="W284" s="633">
        <f>CCBASE!$I$40*B284/1000</f>
        <v/>
      </c>
      <c r="X284" s="633" t="n"/>
      <c r="Y284" s="633" t="n"/>
      <c r="Z284" s="633" t="n"/>
      <c r="AA284" s="633" t="n"/>
      <c r="AB284" s="633" t="n"/>
      <c r="AC284" s="633" t="n"/>
      <c r="AD284" s="633">
        <f>CCBASE!$I$36*2</f>
        <v/>
      </c>
    </row>
    <row r="285">
      <c r="A285" s="631" t="inlineStr">
        <is>
          <t>CMWF</t>
        </is>
      </c>
      <c r="B285" s="631" t="n">
        <v>2000</v>
      </c>
      <c r="C285" s="631" t="n">
        <v>1250</v>
      </c>
      <c r="D285" s="631">
        <f>A285&amp;B285&amp;C285</f>
        <v/>
      </c>
      <c r="E285" s="1040">
        <f>SUM(G285:AD285)</f>
        <v/>
      </c>
      <c r="F285" s="632" t="n">
        <v>24.5</v>
      </c>
      <c r="G285" s="633">
        <f>F285*CCBASE!$B$51</f>
        <v/>
      </c>
      <c r="H285" s="633">
        <f>CCBASE!$I$12*B285/1000</f>
        <v/>
      </c>
      <c r="I285" s="633" t="n"/>
      <c r="J285" s="633" t="n"/>
      <c r="K285" s="633" t="n"/>
      <c r="L285" s="633">
        <f>CCBASE!$I$13*B285/1000</f>
        <v/>
      </c>
      <c r="M285" s="633" t="n"/>
      <c r="N285" s="633">
        <f>CCBASE!$I$7*B285/1000</f>
        <v/>
      </c>
      <c r="O285" s="633">
        <f>CCBASE!$I$45*B285/1000</f>
        <v/>
      </c>
      <c r="P285" s="633" t="n"/>
      <c r="Q285" s="633">
        <f>CCBASE!$H$51</f>
        <v/>
      </c>
      <c r="R285" s="633">
        <f>CCBASE!$I$4</f>
        <v/>
      </c>
      <c r="S285" s="633">
        <f>CCBASE!$I$8</f>
        <v/>
      </c>
      <c r="T285" s="633">
        <f>CCBASE!$I$44</f>
        <v/>
      </c>
      <c r="U285" s="633">
        <f>CCBASE!$I$47*2</f>
        <v/>
      </c>
      <c r="V285" s="633">
        <f>CCBASE!$I$46</f>
        <v/>
      </c>
      <c r="W285" s="633">
        <f>CCBASE!$I$40*B285/1000</f>
        <v/>
      </c>
      <c r="X285" s="633" t="n"/>
      <c r="Y285" s="633" t="n"/>
      <c r="Z285" s="633" t="n"/>
      <c r="AA285" s="633" t="n"/>
      <c r="AB285" s="633" t="n"/>
      <c r="AC285" s="633" t="n"/>
      <c r="AD285" s="633">
        <f>CCBASE!$I$36*2</f>
        <v/>
      </c>
    </row>
    <row r="286">
      <c r="A286" s="631" t="inlineStr">
        <is>
          <t>CMWF</t>
        </is>
      </c>
      <c r="B286" s="631" t="n">
        <v>2250</v>
      </c>
      <c r="C286" s="631" t="n">
        <v>1250</v>
      </c>
      <c r="D286" s="631">
        <f>A286&amp;B286&amp;C286</f>
        <v/>
      </c>
      <c r="E286" s="1040">
        <f>SUM(G286:AD286)</f>
        <v/>
      </c>
      <c r="F286" s="632" t="n">
        <v>24.5</v>
      </c>
      <c r="G286" s="633">
        <f>F286*CCBASE!$B$51</f>
        <v/>
      </c>
      <c r="H286" s="633">
        <f>CCBASE!$I$12*B286/1000</f>
        <v/>
      </c>
      <c r="I286" s="633" t="n"/>
      <c r="J286" s="633" t="n"/>
      <c r="K286" s="633" t="n"/>
      <c r="L286" s="633">
        <f>CCBASE!$I$13*B286/1000</f>
        <v/>
      </c>
      <c r="M286" s="633" t="n"/>
      <c r="N286" s="633">
        <f>CCBASE!$I$7*B286/1000</f>
        <v/>
      </c>
      <c r="O286" s="633">
        <f>CCBASE!$I$45*B286/1000</f>
        <v/>
      </c>
      <c r="P286" s="633" t="n"/>
      <c r="Q286" s="633">
        <f>CCBASE!$H$51</f>
        <v/>
      </c>
      <c r="R286" s="633">
        <f>CCBASE!$I$4</f>
        <v/>
      </c>
      <c r="S286" s="633">
        <f>CCBASE!$I$8</f>
        <v/>
      </c>
      <c r="T286" s="633">
        <f>CCBASE!$I$44</f>
        <v/>
      </c>
      <c r="U286" s="633">
        <f>CCBASE!$I$47*2</f>
        <v/>
      </c>
      <c r="V286" s="633">
        <f>CCBASE!$I$46</f>
        <v/>
      </c>
      <c r="W286" s="633">
        <f>CCBASE!$I$40*B286/1000</f>
        <v/>
      </c>
      <c r="X286" s="633" t="n"/>
      <c r="Y286" s="633" t="n"/>
      <c r="Z286" s="633" t="n"/>
      <c r="AA286" s="633" t="n"/>
      <c r="AB286" s="633" t="n"/>
      <c r="AC286" s="633" t="n"/>
      <c r="AD286" s="633">
        <f>CCBASE!$I$36*2</f>
        <v/>
      </c>
    </row>
    <row r="287">
      <c r="A287" s="631" t="inlineStr">
        <is>
          <t>CMWF</t>
        </is>
      </c>
      <c r="B287" s="631" t="n">
        <v>2500</v>
      </c>
      <c r="C287" s="631" t="n">
        <v>1250</v>
      </c>
      <c r="D287" s="631">
        <f>A287&amp;B287&amp;C287</f>
        <v/>
      </c>
      <c r="E287" s="1040">
        <f>SUM(G287:AD287)</f>
        <v/>
      </c>
      <c r="F287" s="632" t="n">
        <v>25.5</v>
      </c>
      <c r="G287" s="633">
        <f>F287*CCBASE!$B$51</f>
        <v/>
      </c>
      <c r="H287" s="633">
        <f>CCBASE!$I$12*B287/1000</f>
        <v/>
      </c>
      <c r="I287" s="633" t="n"/>
      <c r="J287" s="633" t="n"/>
      <c r="K287" s="633" t="n"/>
      <c r="L287" s="633">
        <f>CCBASE!$I$13*B287/1000</f>
        <v/>
      </c>
      <c r="M287" s="633" t="n"/>
      <c r="N287" s="633">
        <f>CCBASE!$I$7*B287/1000</f>
        <v/>
      </c>
      <c r="O287" s="633">
        <f>CCBASE!$I$45*B287/1000</f>
        <v/>
      </c>
      <c r="P287" s="633" t="n"/>
      <c r="Q287" s="633">
        <f>CCBASE!$H$51</f>
        <v/>
      </c>
      <c r="R287" s="633">
        <f>CCBASE!$I$4</f>
        <v/>
      </c>
      <c r="S287" s="633">
        <f>CCBASE!$I$8</f>
        <v/>
      </c>
      <c r="T287" s="633">
        <f>CCBASE!$I$44</f>
        <v/>
      </c>
      <c r="U287" s="633">
        <f>CCBASE!$I$47*2</f>
        <v/>
      </c>
      <c r="V287" s="633">
        <f>CCBASE!$I$46</f>
        <v/>
      </c>
      <c r="W287" s="633">
        <f>CCBASE!$I$40*B287/1000</f>
        <v/>
      </c>
      <c r="X287" s="633" t="n"/>
      <c r="Y287" s="633" t="n"/>
      <c r="Z287" s="633" t="n"/>
      <c r="AA287" s="633" t="n"/>
      <c r="AB287" s="633" t="n"/>
      <c r="AC287" s="633" t="n"/>
      <c r="AD287" s="633">
        <f>CCBASE!$I$36*2</f>
        <v/>
      </c>
    </row>
    <row r="288">
      <c r="A288" s="631" t="inlineStr">
        <is>
          <t>CMWF</t>
        </is>
      </c>
      <c r="B288" s="631" t="n">
        <v>2750</v>
      </c>
      <c r="C288" s="631" t="n">
        <v>1250</v>
      </c>
      <c r="D288" s="631">
        <f>A288&amp;B288&amp;C288</f>
        <v/>
      </c>
      <c r="E288" s="1040">
        <f>SUM(G288:AD288)</f>
        <v/>
      </c>
      <c r="F288" s="632" t="n">
        <v>25.5</v>
      </c>
      <c r="G288" s="633">
        <f>F288*CCBASE!$B$51</f>
        <v/>
      </c>
      <c r="H288" s="633">
        <f>CCBASE!$I$12*B288/1000</f>
        <v/>
      </c>
      <c r="I288" s="633" t="n"/>
      <c r="J288" s="633" t="n"/>
      <c r="K288" s="633" t="n"/>
      <c r="L288" s="633">
        <f>CCBASE!$I$13*B288/1000</f>
        <v/>
      </c>
      <c r="M288" s="633" t="n"/>
      <c r="N288" s="633">
        <f>CCBASE!$I$7*B288/1000</f>
        <v/>
      </c>
      <c r="O288" s="633">
        <f>CCBASE!$I$45*B288/1000</f>
        <v/>
      </c>
      <c r="P288" s="633" t="n"/>
      <c r="Q288" s="633">
        <f>CCBASE!$H$51</f>
        <v/>
      </c>
      <c r="R288" s="633">
        <f>CCBASE!$I$4</f>
        <v/>
      </c>
      <c r="S288" s="633">
        <f>CCBASE!$I$8</f>
        <v/>
      </c>
      <c r="T288" s="633">
        <f>CCBASE!$I$44</f>
        <v/>
      </c>
      <c r="U288" s="633">
        <f>CCBASE!$I$47*2</f>
        <v/>
      </c>
      <c r="V288" s="633">
        <f>CCBASE!$I$46</f>
        <v/>
      </c>
      <c r="W288" s="633">
        <f>CCBASE!$I$40*B288/1000</f>
        <v/>
      </c>
      <c r="X288" s="633" t="n"/>
      <c r="Y288" s="633" t="n"/>
      <c r="Z288" s="633" t="n"/>
      <c r="AA288" s="633" t="n"/>
      <c r="AB288" s="633" t="n"/>
      <c r="AC288" s="633" t="n"/>
      <c r="AD288" s="633">
        <f>CCBASE!$I$36*2</f>
        <v/>
      </c>
    </row>
    <row r="289">
      <c r="A289" s="631" t="inlineStr">
        <is>
          <t>CMWF</t>
        </is>
      </c>
      <c r="B289" s="631" t="n">
        <v>3000</v>
      </c>
      <c r="C289" s="631" t="n">
        <v>1250</v>
      </c>
      <c r="D289" s="631">
        <f>A289&amp;B289&amp;C289</f>
        <v/>
      </c>
      <c r="E289" s="1040">
        <f>SUM(G289:AD289)</f>
        <v/>
      </c>
      <c r="F289" s="632" t="n">
        <v>25.5</v>
      </c>
      <c r="G289" s="633">
        <f>F289*CCBASE!$B$51</f>
        <v/>
      </c>
      <c r="H289" s="633">
        <f>CCBASE!$I$12*B289/1000</f>
        <v/>
      </c>
      <c r="I289" s="633" t="n"/>
      <c r="J289" s="633" t="n"/>
      <c r="K289" s="633" t="n"/>
      <c r="L289" s="633">
        <f>CCBASE!$I$13*B289/1000</f>
        <v/>
      </c>
      <c r="M289" s="633" t="n"/>
      <c r="N289" s="633">
        <f>CCBASE!$I$7*B289/1000</f>
        <v/>
      </c>
      <c r="O289" s="633">
        <f>CCBASE!$I$45*B289/1000</f>
        <v/>
      </c>
      <c r="P289" s="633" t="n"/>
      <c r="Q289" s="633">
        <f>CCBASE!$H$51</f>
        <v/>
      </c>
      <c r="R289" s="633">
        <f>CCBASE!$I$4</f>
        <v/>
      </c>
      <c r="S289" s="633">
        <f>CCBASE!$I$8</f>
        <v/>
      </c>
      <c r="T289" s="633">
        <f>CCBASE!$I$44</f>
        <v/>
      </c>
      <c r="U289" s="633">
        <f>CCBASE!$I$47*2</f>
        <v/>
      </c>
      <c r="V289" s="633">
        <f>CCBASE!$I$46</f>
        <v/>
      </c>
      <c r="W289" s="633">
        <f>CCBASE!$I$40*B289/1000</f>
        <v/>
      </c>
      <c r="X289" s="633" t="n"/>
      <c r="Y289" s="633" t="n"/>
      <c r="Z289" s="633" t="n"/>
      <c r="AA289" s="633" t="n"/>
      <c r="AB289" s="633" t="n"/>
      <c r="AC289" s="633" t="n"/>
      <c r="AD289" s="633">
        <f>CCBASE!$I$36*2</f>
        <v/>
      </c>
    </row>
    <row r="290">
      <c r="A290" s="631" t="inlineStr">
        <is>
          <t>CMWF</t>
        </is>
      </c>
      <c r="B290" s="631" t="n">
        <v>1000</v>
      </c>
      <c r="C290" s="631" t="n">
        <v>1500</v>
      </c>
      <c r="D290" s="631">
        <f>A290&amp;B290&amp;C290</f>
        <v/>
      </c>
      <c r="E290" s="1040">
        <f>SUM(G290:AD290)</f>
        <v/>
      </c>
      <c r="F290" s="632" t="n">
        <v>24.5</v>
      </c>
      <c r="G290" s="633">
        <f>F290*CCBASE!$B$51</f>
        <v/>
      </c>
      <c r="H290" s="633">
        <f>CCBASE!$I$12*B290/1000</f>
        <v/>
      </c>
      <c r="I290" s="633" t="n"/>
      <c r="J290" s="633" t="n"/>
      <c r="K290" s="633" t="n"/>
      <c r="L290" s="633">
        <f>CCBASE!$I$13*B290/1000</f>
        <v/>
      </c>
      <c r="M290" s="633" t="n"/>
      <c r="N290" s="633">
        <f>CCBASE!$I$7*B290/1000</f>
        <v/>
      </c>
      <c r="O290" s="633">
        <f>CCBASE!$I$45*B290/1000</f>
        <v/>
      </c>
      <c r="P290" s="633" t="n"/>
      <c r="Q290" s="633">
        <f>CCBASE!$H$51</f>
        <v/>
      </c>
      <c r="R290" s="633">
        <f>CCBASE!$I$4</f>
        <v/>
      </c>
      <c r="S290" s="633">
        <f>CCBASE!$I$8</f>
        <v/>
      </c>
      <c r="T290" s="633">
        <f>CCBASE!$I$44</f>
        <v/>
      </c>
      <c r="U290" s="633">
        <f>CCBASE!$I$47</f>
        <v/>
      </c>
      <c r="V290" s="633">
        <f>CCBASE!$I$46/2</f>
        <v/>
      </c>
      <c r="W290" s="633">
        <f>CCBASE!$I$41*B290/1000</f>
        <v/>
      </c>
      <c r="X290" s="633" t="n"/>
      <c r="Y290" s="633" t="n"/>
      <c r="Z290" s="633" t="n"/>
      <c r="AA290" s="633" t="n"/>
      <c r="AB290" s="633" t="n"/>
      <c r="AC290" s="633" t="n"/>
      <c r="AD290" s="633">
        <f>CCBASE!$I$37*2</f>
        <v/>
      </c>
    </row>
    <row r="291">
      <c r="A291" s="631" t="inlineStr">
        <is>
          <t>CMWF</t>
        </is>
      </c>
      <c r="B291" s="631" t="n">
        <v>1250</v>
      </c>
      <c r="C291" s="631" t="n">
        <v>1500</v>
      </c>
      <c r="D291" s="631">
        <f>A291&amp;B291&amp;C291</f>
        <v/>
      </c>
      <c r="E291" s="1040">
        <f>SUM(G291:AD291)</f>
        <v/>
      </c>
      <c r="F291" s="632" t="n">
        <v>24.5</v>
      </c>
      <c r="G291" s="633">
        <f>F291*CCBASE!$B$51</f>
        <v/>
      </c>
      <c r="H291" s="633">
        <f>CCBASE!$I$12*B291/1000</f>
        <v/>
      </c>
      <c r="I291" s="633" t="n"/>
      <c r="J291" s="633" t="n"/>
      <c r="K291" s="633" t="n"/>
      <c r="L291" s="633">
        <f>CCBASE!$I$13*B291/1000</f>
        <v/>
      </c>
      <c r="M291" s="633" t="n"/>
      <c r="N291" s="633">
        <f>CCBASE!$I$7*B291/1000</f>
        <v/>
      </c>
      <c r="O291" s="633">
        <f>CCBASE!$I$45*B291/1000</f>
        <v/>
      </c>
      <c r="P291" s="633" t="n"/>
      <c r="Q291" s="633">
        <f>CCBASE!$H$51</f>
        <v/>
      </c>
      <c r="R291" s="633">
        <f>CCBASE!$I$4</f>
        <v/>
      </c>
      <c r="S291" s="633">
        <f>CCBASE!$I$8</f>
        <v/>
      </c>
      <c r="T291" s="633">
        <f>CCBASE!$I$44</f>
        <v/>
      </c>
      <c r="U291" s="633">
        <f>CCBASE!$I$47*2</f>
        <v/>
      </c>
      <c r="V291" s="633">
        <f>CCBASE!$I$46/2</f>
        <v/>
      </c>
      <c r="W291" s="633">
        <f>CCBASE!$I$41*B291/1000</f>
        <v/>
      </c>
      <c r="X291" s="633" t="n"/>
      <c r="Y291" s="633" t="n"/>
      <c r="Z291" s="633" t="n"/>
      <c r="AA291" s="633" t="n"/>
      <c r="AB291" s="633" t="n"/>
      <c r="AC291" s="633" t="n"/>
      <c r="AD291" s="633">
        <f>CCBASE!$I$37*2</f>
        <v/>
      </c>
    </row>
    <row r="292">
      <c r="A292" s="631" t="inlineStr">
        <is>
          <t>CMWF</t>
        </is>
      </c>
      <c r="B292" s="631" t="n">
        <v>1500</v>
      </c>
      <c r="C292" s="631" t="n">
        <v>1500</v>
      </c>
      <c r="D292" s="631">
        <f>A292&amp;B292&amp;C292</f>
        <v/>
      </c>
      <c r="E292" s="1040">
        <f>SUM(G292:AD292)</f>
        <v/>
      </c>
      <c r="F292" s="632" t="n">
        <v>24.5</v>
      </c>
      <c r="G292" s="633">
        <f>F292*CCBASE!$B$51</f>
        <v/>
      </c>
      <c r="H292" s="633">
        <f>CCBASE!$I$12*B292/1000</f>
        <v/>
      </c>
      <c r="I292" s="633" t="n"/>
      <c r="J292" s="633" t="n"/>
      <c r="K292" s="633" t="n"/>
      <c r="L292" s="633">
        <f>CCBASE!$I$13*B292/1000</f>
        <v/>
      </c>
      <c r="M292" s="633" t="n"/>
      <c r="N292" s="633">
        <f>CCBASE!$I$7*B292/1000</f>
        <v/>
      </c>
      <c r="O292" s="633">
        <f>CCBASE!$I$45*B292/1000</f>
        <v/>
      </c>
      <c r="P292" s="633" t="n"/>
      <c r="Q292" s="633">
        <f>CCBASE!$H$51</f>
        <v/>
      </c>
      <c r="R292" s="633">
        <f>CCBASE!$I$4</f>
        <v/>
      </c>
      <c r="S292" s="633">
        <f>CCBASE!$I$8</f>
        <v/>
      </c>
      <c r="T292" s="633">
        <f>CCBASE!$I$44</f>
        <v/>
      </c>
      <c r="U292" s="633">
        <f>CCBASE!$I$47*2</f>
        <v/>
      </c>
      <c r="V292" s="633">
        <f>CCBASE!$I$46/2</f>
        <v/>
      </c>
      <c r="W292" s="633">
        <f>CCBASE!$I$41*B292/1000</f>
        <v/>
      </c>
      <c r="X292" s="633" t="n"/>
      <c r="Y292" s="633" t="n"/>
      <c r="Z292" s="633" t="n"/>
      <c r="AA292" s="633" t="n"/>
      <c r="AB292" s="633" t="n"/>
      <c r="AC292" s="633" t="n"/>
      <c r="AD292" s="633">
        <f>CCBASE!$I$37*2</f>
        <v/>
      </c>
    </row>
    <row r="293">
      <c r="A293" s="631" t="inlineStr">
        <is>
          <t>CMWF</t>
        </is>
      </c>
      <c r="B293" s="631" t="n">
        <v>1750</v>
      </c>
      <c r="C293" s="631" t="n">
        <v>1500</v>
      </c>
      <c r="D293" s="631">
        <f>A293&amp;B293&amp;C293</f>
        <v/>
      </c>
      <c r="E293" s="1040">
        <f>SUM(G293:AD293)</f>
        <v/>
      </c>
      <c r="F293" s="632" t="n">
        <v>24.5</v>
      </c>
      <c r="G293" s="633">
        <f>F293*CCBASE!$B$51</f>
        <v/>
      </c>
      <c r="H293" s="633">
        <f>CCBASE!$I$12*B293/1000</f>
        <v/>
      </c>
      <c r="I293" s="633" t="n"/>
      <c r="J293" s="633" t="n"/>
      <c r="K293" s="633" t="n"/>
      <c r="L293" s="633">
        <f>CCBASE!$I$13*B293/1000</f>
        <v/>
      </c>
      <c r="M293" s="633" t="n"/>
      <c r="N293" s="633">
        <f>CCBASE!$I$7*B293/1000</f>
        <v/>
      </c>
      <c r="O293" s="633">
        <f>CCBASE!$I$45*B293/1000</f>
        <v/>
      </c>
      <c r="P293" s="633" t="n"/>
      <c r="Q293" s="633">
        <f>CCBASE!$H$51</f>
        <v/>
      </c>
      <c r="R293" s="633">
        <f>CCBASE!$I$4</f>
        <v/>
      </c>
      <c r="S293" s="633">
        <f>CCBASE!$I$8</f>
        <v/>
      </c>
      <c r="T293" s="633">
        <f>CCBASE!$I$44</f>
        <v/>
      </c>
      <c r="U293" s="633">
        <f>CCBASE!$I$47*2</f>
        <v/>
      </c>
      <c r="V293" s="633">
        <f>CCBASE!$I$46</f>
        <v/>
      </c>
      <c r="W293" s="633">
        <f>CCBASE!$I$41*B293/1000</f>
        <v/>
      </c>
      <c r="X293" s="633" t="n"/>
      <c r="Y293" s="633" t="n"/>
      <c r="Z293" s="633" t="n"/>
      <c r="AA293" s="633" t="n"/>
      <c r="AB293" s="633" t="n"/>
      <c r="AC293" s="633" t="n"/>
      <c r="AD293" s="633">
        <f>CCBASE!$I$37*2</f>
        <v/>
      </c>
    </row>
    <row r="294">
      <c r="A294" s="631" t="inlineStr">
        <is>
          <t>CMWF</t>
        </is>
      </c>
      <c r="B294" s="631" t="n">
        <v>2000</v>
      </c>
      <c r="C294" s="631" t="n">
        <v>1500</v>
      </c>
      <c r="D294" s="631">
        <f>A294&amp;B294&amp;C294</f>
        <v/>
      </c>
      <c r="E294" s="1040">
        <f>SUM(G294:AD294)</f>
        <v/>
      </c>
      <c r="F294" s="632" t="n">
        <v>24.5</v>
      </c>
      <c r="G294" s="633">
        <f>F294*CCBASE!$B$51</f>
        <v/>
      </c>
      <c r="H294" s="633">
        <f>CCBASE!$I$12*B294/1000</f>
        <v/>
      </c>
      <c r="I294" s="633" t="n"/>
      <c r="J294" s="633" t="n"/>
      <c r="K294" s="633" t="n"/>
      <c r="L294" s="633">
        <f>CCBASE!$I$13*B294/1000</f>
        <v/>
      </c>
      <c r="M294" s="633" t="n"/>
      <c r="N294" s="633">
        <f>CCBASE!$I$7*B294/1000</f>
        <v/>
      </c>
      <c r="O294" s="633">
        <f>CCBASE!$I$45*B294/1000</f>
        <v/>
      </c>
      <c r="P294" s="633" t="n"/>
      <c r="Q294" s="633">
        <f>CCBASE!$H$51</f>
        <v/>
      </c>
      <c r="R294" s="633">
        <f>CCBASE!$I$4</f>
        <v/>
      </c>
      <c r="S294" s="633">
        <f>CCBASE!$I$8</f>
        <v/>
      </c>
      <c r="T294" s="633">
        <f>CCBASE!$I$44</f>
        <v/>
      </c>
      <c r="U294" s="633">
        <f>CCBASE!$I$47*2</f>
        <v/>
      </c>
      <c r="V294" s="633">
        <f>CCBASE!$I$46</f>
        <v/>
      </c>
      <c r="W294" s="633">
        <f>CCBASE!$I$41*B294/1000</f>
        <v/>
      </c>
      <c r="X294" s="633" t="n"/>
      <c r="Y294" s="633" t="n"/>
      <c r="Z294" s="633" t="n"/>
      <c r="AA294" s="633" t="n"/>
      <c r="AB294" s="633" t="n"/>
      <c r="AC294" s="633" t="n"/>
      <c r="AD294" s="633">
        <f>CCBASE!$I$37*2</f>
        <v/>
      </c>
    </row>
    <row r="295">
      <c r="A295" s="631" t="inlineStr">
        <is>
          <t>CMWF</t>
        </is>
      </c>
      <c r="B295" s="631" t="n">
        <v>2250</v>
      </c>
      <c r="C295" s="631" t="n">
        <v>1500</v>
      </c>
      <c r="D295" s="631">
        <f>A295&amp;B295&amp;C295</f>
        <v/>
      </c>
      <c r="E295" s="1040">
        <f>SUM(G295:AD295)</f>
        <v/>
      </c>
      <c r="F295" s="632" t="n">
        <v>25.5</v>
      </c>
      <c r="G295" s="633">
        <f>F295*CCBASE!$B$51</f>
        <v/>
      </c>
      <c r="H295" s="633">
        <f>CCBASE!$I$12*B295/1000</f>
        <v/>
      </c>
      <c r="I295" s="633" t="n"/>
      <c r="J295" s="633" t="n"/>
      <c r="K295" s="633" t="n"/>
      <c r="L295" s="633">
        <f>CCBASE!$I$13*B295/1000</f>
        <v/>
      </c>
      <c r="M295" s="633" t="n"/>
      <c r="N295" s="633">
        <f>CCBASE!$I$7*B295/1000</f>
        <v/>
      </c>
      <c r="O295" s="633">
        <f>CCBASE!$I$45*B295/1000</f>
        <v/>
      </c>
      <c r="P295" s="633" t="n"/>
      <c r="Q295" s="633">
        <f>CCBASE!$H$51</f>
        <v/>
      </c>
      <c r="R295" s="633">
        <f>CCBASE!$I$4</f>
        <v/>
      </c>
      <c r="S295" s="633">
        <f>CCBASE!$I$8</f>
        <v/>
      </c>
      <c r="T295" s="633">
        <f>CCBASE!$I$44</f>
        <v/>
      </c>
      <c r="U295" s="633">
        <f>CCBASE!$I$47*2</f>
        <v/>
      </c>
      <c r="V295" s="633">
        <f>CCBASE!$I$46</f>
        <v/>
      </c>
      <c r="W295" s="633">
        <f>CCBASE!$I$41*B295/1000</f>
        <v/>
      </c>
      <c r="X295" s="633" t="n"/>
      <c r="Y295" s="633" t="n"/>
      <c r="Z295" s="633" t="n"/>
      <c r="AA295" s="633" t="n"/>
      <c r="AB295" s="633" t="n"/>
      <c r="AC295" s="633" t="n"/>
      <c r="AD295" s="633">
        <f>CCBASE!$I$37*2</f>
        <v/>
      </c>
    </row>
    <row r="296">
      <c r="A296" s="631" t="inlineStr">
        <is>
          <t>CMWF</t>
        </is>
      </c>
      <c r="B296" s="631" t="n">
        <v>2500</v>
      </c>
      <c r="C296" s="631" t="n">
        <v>1500</v>
      </c>
      <c r="D296" s="631">
        <f>A296&amp;B296&amp;C296</f>
        <v/>
      </c>
      <c r="E296" s="1040">
        <f>SUM(G296:AD296)</f>
        <v/>
      </c>
      <c r="F296" s="632" t="n">
        <v>25.5</v>
      </c>
      <c r="G296" s="633">
        <f>F296*CCBASE!$B$51</f>
        <v/>
      </c>
      <c r="H296" s="633">
        <f>CCBASE!$I$12*B296/1000</f>
        <v/>
      </c>
      <c r="I296" s="633" t="n"/>
      <c r="J296" s="633" t="n"/>
      <c r="K296" s="633" t="n"/>
      <c r="L296" s="633">
        <f>CCBASE!$I$13*B296/1000</f>
        <v/>
      </c>
      <c r="M296" s="633" t="n"/>
      <c r="N296" s="633">
        <f>CCBASE!$I$7*B296/1000</f>
        <v/>
      </c>
      <c r="O296" s="633">
        <f>CCBASE!$I$45*B296/1000</f>
        <v/>
      </c>
      <c r="P296" s="633" t="n"/>
      <c r="Q296" s="633">
        <f>CCBASE!$H$51</f>
        <v/>
      </c>
      <c r="R296" s="633">
        <f>CCBASE!$I$4</f>
        <v/>
      </c>
      <c r="S296" s="633">
        <f>CCBASE!$I$8</f>
        <v/>
      </c>
      <c r="T296" s="633">
        <f>CCBASE!$I$44</f>
        <v/>
      </c>
      <c r="U296" s="633">
        <f>CCBASE!$I$47*2</f>
        <v/>
      </c>
      <c r="V296" s="633">
        <f>CCBASE!$I$46</f>
        <v/>
      </c>
      <c r="W296" s="633">
        <f>CCBASE!$I$41*B296/1000</f>
        <v/>
      </c>
      <c r="X296" s="633" t="n"/>
      <c r="Y296" s="633" t="n"/>
      <c r="Z296" s="633" t="n"/>
      <c r="AA296" s="633" t="n"/>
      <c r="AB296" s="633" t="n"/>
      <c r="AC296" s="633" t="n"/>
      <c r="AD296" s="633">
        <f>CCBASE!$I$37*2</f>
        <v/>
      </c>
    </row>
    <row r="297">
      <c r="A297" s="631" t="inlineStr">
        <is>
          <t>CMWF</t>
        </is>
      </c>
      <c r="B297" s="631" t="n">
        <v>2750</v>
      </c>
      <c r="C297" s="631" t="n">
        <v>1500</v>
      </c>
      <c r="D297" s="631">
        <f>A297&amp;B297&amp;C297</f>
        <v/>
      </c>
      <c r="E297" s="1040">
        <f>SUM(G297:AD297)</f>
        <v/>
      </c>
      <c r="F297" s="632" t="n">
        <v>25.5</v>
      </c>
      <c r="G297" s="633">
        <f>F297*CCBASE!$B$51</f>
        <v/>
      </c>
      <c r="H297" s="633">
        <f>CCBASE!$I$12*B297/1000</f>
        <v/>
      </c>
      <c r="I297" s="633" t="n"/>
      <c r="J297" s="633" t="n"/>
      <c r="K297" s="633" t="n"/>
      <c r="L297" s="633">
        <f>CCBASE!$I$13*B297/1000</f>
        <v/>
      </c>
      <c r="M297" s="633" t="n"/>
      <c r="N297" s="633">
        <f>CCBASE!$I$7*B297/1000</f>
        <v/>
      </c>
      <c r="O297" s="633">
        <f>CCBASE!$I$45*B297/1000</f>
        <v/>
      </c>
      <c r="P297" s="633" t="n"/>
      <c r="Q297" s="633">
        <f>CCBASE!$H$51</f>
        <v/>
      </c>
      <c r="R297" s="633">
        <f>CCBASE!$I$4</f>
        <v/>
      </c>
      <c r="S297" s="633">
        <f>CCBASE!$I$8</f>
        <v/>
      </c>
      <c r="T297" s="633">
        <f>CCBASE!$I$44</f>
        <v/>
      </c>
      <c r="U297" s="633">
        <f>CCBASE!$I$47*2</f>
        <v/>
      </c>
      <c r="V297" s="633">
        <f>CCBASE!$I$46</f>
        <v/>
      </c>
      <c r="W297" s="633">
        <f>CCBASE!$I$41*B297/1000</f>
        <v/>
      </c>
      <c r="X297" s="633" t="n"/>
      <c r="Y297" s="633" t="n"/>
      <c r="Z297" s="633" t="n"/>
      <c r="AA297" s="633" t="n"/>
      <c r="AB297" s="633" t="n"/>
      <c r="AC297" s="633" t="n"/>
      <c r="AD297" s="633">
        <f>CCBASE!$I$37*2</f>
        <v/>
      </c>
    </row>
    <row r="298">
      <c r="A298" s="631" t="inlineStr">
        <is>
          <t>CMWF</t>
        </is>
      </c>
      <c r="B298" s="631" t="n">
        <v>3000</v>
      </c>
      <c r="C298" s="631" t="n">
        <v>1500</v>
      </c>
      <c r="D298" s="631">
        <f>A298&amp;B298&amp;C298</f>
        <v/>
      </c>
      <c r="E298" s="1040">
        <f>SUM(G298:AD298)</f>
        <v/>
      </c>
      <c r="F298" s="632" t="n">
        <v>25.5</v>
      </c>
      <c r="G298" s="633">
        <f>F298*CCBASE!$B$51</f>
        <v/>
      </c>
      <c r="H298" s="633">
        <f>CCBASE!$I$12*B298/1000</f>
        <v/>
      </c>
      <c r="I298" s="633" t="n"/>
      <c r="J298" s="633" t="n"/>
      <c r="K298" s="633" t="n"/>
      <c r="L298" s="633">
        <f>CCBASE!$I$13*B298/1000</f>
        <v/>
      </c>
      <c r="M298" s="633" t="n"/>
      <c r="N298" s="633">
        <f>CCBASE!$I$7*B298/1000</f>
        <v/>
      </c>
      <c r="O298" s="633">
        <f>CCBASE!$I$45*B298/1000</f>
        <v/>
      </c>
      <c r="P298" s="633" t="n"/>
      <c r="Q298" s="633">
        <f>CCBASE!$H$51</f>
        <v/>
      </c>
      <c r="R298" s="633">
        <f>CCBASE!$I$4</f>
        <v/>
      </c>
      <c r="S298" s="633">
        <f>CCBASE!$I$8</f>
        <v/>
      </c>
      <c r="T298" s="633">
        <f>CCBASE!$I$44</f>
        <v/>
      </c>
      <c r="U298" s="633">
        <f>CCBASE!$I$47*2</f>
        <v/>
      </c>
      <c r="V298" s="633">
        <f>CCBASE!$I$46</f>
        <v/>
      </c>
      <c r="W298" s="633">
        <f>CCBASE!$I$41*B298/1000</f>
        <v/>
      </c>
      <c r="X298" s="633" t="n"/>
      <c r="Y298" s="633" t="n"/>
      <c r="Z298" s="633" t="n"/>
      <c r="AA298" s="633" t="n"/>
      <c r="AB298" s="633" t="n"/>
      <c r="AC298" s="633" t="n"/>
      <c r="AD298" s="633">
        <f>CCBASE!$I$37*2</f>
        <v/>
      </c>
    </row>
    <row r="299">
      <c r="A299" s="631" t="inlineStr">
        <is>
          <t>CMWF</t>
        </is>
      </c>
      <c r="B299" s="631" t="n">
        <v>1000</v>
      </c>
      <c r="C299" s="631" t="n">
        <v>1750</v>
      </c>
      <c r="D299" s="631">
        <f>A299&amp;B299&amp;C299</f>
        <v/>
      </c>
      <c r="E299" s="1040">
        <f>SUM(G299:AD299)</f>
        <v/>
      </c>
      <c r="F299" s="632" t="n">
        <v>24.5</v>
      </c>
      <c r="G299" s="633">
        <f>F299*CCBASE!$B$51</f>
        <v/>
      </c>
      <c r="H299" s="633">
        <f>CCBASE!$I$12*B299/1000</f>
        <v/>
      </c>
      <c r="I299" s="633" t="n"/>
      <c r="J299" s="633" t="n"/>
      <c r="K299" s="633" t="n"/>
      <c r="L299" s="633">
        <f>CCBASE!$I$13*B299/1000</f>
        <v/>
      </c>
      <c r="M299" s="633" t="n"/>
      <c r="N299" s="633">
        <f>CCBASE!$I$7*B299/1000</f>
        <v/>
      </c>
      <c r="O299" s="633">
        <f>CCBASE!$I$45*B299/1000</f>
        <v/>
      </c>
      <c r="P299" s="633" t="n"/>
      <c r="Q299" s="633">
        <f>CCBASE!$H$51</f>
        <v/>
      </c>
      <c r="R299" s="633">
        <f>CCBASE!$I$4</f>
        <v/>
      </c>
      <c r="S299" s="633">
        <f>CCBASE!$I$8</f>
        <v/>
      </c>
      <c r="T299" s="633">
        <f>CCBASE!$I$44</f>
        <v/>
      </c>
      <c r="U299" s="633">
        <f>CCBASE!$I$47</f>
        <v/>
      </c>
      <c r="V299" s="633">
        <f>CCBASE!$I$46/2</f>
        <v/>
      </c>
      <c r="W299" s="633">
        <f>CCBASE!$I$42*B299/1000</f>
        <v/>
      </c>
      <c r="X299" s="633" t="n"/>
      <c r="Y299" s="633" t="n"/>
      <c r="Z299" s="633" t="n"/>
      <c r="AA299" s="633" t="n"/>
      <c r="AB299" s="633" t="n"/>
      <c r="AC299" s="633" t="n"/>
      <c r="AD299" s="633">
        <f>CCBASE!$I$38*2</f>
        <v/>
      </c>
    </row>
    <row r="300">
      <c r="A300" s="631" t="inlineStr">
        <is>
          <t>CMWF</t>
        </is>
      </c>
      <c r="B300" s="631" t="n">
        <v>1250</v>
      </c>
      <c r="C300" s="631" t="n">
        <v>1750</v>
      </c>
      <c r="D300" s="631">
        <f>A300&amp;B300&amp;C300</f>
        <v/>
      </c>
      <c r="E300" s="1040">
        <f>SUM(G300:AD300)</f>
        <v/>
      </c>
      <c r="F300" s="632" t="n">
        <v>24.5</v>
      </c>
      <c r="G300" s="633">
        <f>F300*CCBASE!$B$51</f>
        <v/>
      </c>
      <c r="H300" s="633">
        <f>CCBASE!$I$12*B300/1000</f>
        <v/>
      </c>
      <c r="I300" s="633" t="n"/>
      <c r="J300" s="633" t="n"/>
      <c r="K300" s="633" t="n"/>
      <c r="L300" s="633">
        <f>CCBASE!$I$13*B300/1000</f>
        <v/>
      </c>
      <c r="M300" s="633" t="n"/>
      <c r="N300" s="633">
        <f>CCBASE!$I$7*B300/1000</f>
        <v/>
      </c>
      <c r="O300" s="633">
        <f>CCBASE!$I$45*B300/1000</f>
        <v/>
      </c>
      <c r="P300" s="633" t="n"/>
      <c r="Q300" s="633">
        <f>CCBASE!$H$51</f>
        <v/>
      </c>
      <c r="R300" s="633">
        <f>CCBASE!$I$4</f>
        <v/>
      </c>
      <c r="S300" s="633">
        <f>CCBASE!$I$8</f>
        <v/>
      </c>
      <c r="T300" s="633">
        <f>CCBASE!$I$44</f>
        <v/>
      </c>
      <c r="U300" s="633">
        <f>CCBASE!$I$47*2</f>
        <v/>
      </c>
      <c r="V300" s="633">
        <f>CCBASE!$I$46/2</f>
        <v/>
      </c>
      <c r="W300" s="633">
        <f>CCBASE!$I$42*B300/1000</f>
        <v/>
      </c>
      <c r="X300" s="633" t="n"/>
      <c r="Y300" s="633" t="n"/>
      <c r="Z300" s="633" t="n"/>
      <c r="AA300" s="633" t="n"/>
      <c r="AB300" s="633" t="n"/>
      <c r="AC300" s="633" t="n"/>
      <c r="AD300" s="633">
        <f>CCBASE!$I$38*2</f>
        <v/>
      </c>
    </row>
    <row r="301">
      <c r="A301" s="631" t="inlineStr">
        <is>
          <t>CMWF</t>
        </is>
      </c>
      <c r="B301" s="631" t="n">
        <v>1500</v>
      </c>
      <c r="C301" s="631" t="n">
        <v>1750</v>
      </c>
      <c r="D301" s="631">
        <f>A301&amp;B301&amp;C301</f>
        <v/>
      </c>
      <c r="E301" s="1040">
        <f>SUM(G301:AD301)</f>
        <v/>
      </c>
      <c r="F301" s="632" t="n">
        <v>24.5</v>
      </c>
      <c r="G301" s="633">
        <f>F301*CCBASE!$B$51</f>
        <v/>
      </c>
      <c r="H301" s="633">
        <f>CCBASE!$I$12*B301/1000</f>
        <v/>
      </c>
      <c r="I301" s="633" t="n"/>
      <c r="J301" s="633" t="n"/>
      <c r="K301" s="633" t="n"/>
      <c r="L301" s="633">
        <f>CCBASE!$I$13*B301/1000</f>
        <v/>
      </c>
      <c r="M301" s="633" t="n"/>
      <c r="N301" s="633">
        <f>CCBASE!$I$7*B301/1000</f>
        <v/>
      </c>
      <c r="O301" s="633">
        <f>CCBASE!$I$45*B301/1000</f>
        <v/>
      </c>
      <c r="P301" s="633" t="n"/>
      <c r="Q301" s="633">
        <f>CCBASE!$H$51</f>
        <v/>
      </c>
      <c r="R301" s="633">
        <f>CCBASE!$I$4</f>
        <v/>
      </c>
      <c r="S301" s="633">
        <f>CCBASE!$I$8</f>
        <v/>
      </c>
      <c r="T301" s="633">
        <f>CCBASE!$I$44</f>
        <v/>
      </c>
      <c r="U301" s="633">
        <f>CCBASE!$I$47*2</f>
        <v/>
      </c>
      <c r="V301" s="633">
        <f>CCBASE!$I$46/2</f>
        <v/>
      </c>
      <c r="W301" s="633">
        <f>CCBASE!$I$42*B301/1000</f>
        <v/>
      </c>
      <c r="X301" s="633" t="n"/>
      <c r="Y301" s="633" t="n"/>
      <c r="Z301" s="633" t="n"/>
      <c r="AA301" s="633" t="n"/>
      <c r="AB301" s="633" t="n"/>
      <c r="AC301" s="633" t="n"/>
      <c r="AD301" s="633">
        <f>CCBASE!$I$38*2</f>
        <v/>
      </c>
    </row>
    <row r="302">
      <c r="A302" s="631" t="inlineStr">
        <is>
          <t>CMWF</t>
        </is>
      </c>
      <c r="B302" s="631" t="n">
        <v>1750</v>
      </c>
      <c r="C302" s="631" t="n">
        <v>1750</v>
      </c>
      <c r="D302" s="631">
        <f>A302&amp;B302&amp;C302</f>
        <v/>
      </c>
      <c r="E302" s="1040">
        <f>SUM(G302:AD302)</f>
        <v/>
      </c>
      <c r="F302" s="632" t="n">
        <v>24.5</v>
      </c>
      <c r="G302" s="633">
        <f>F302*CCBASE!$B$51</f>
        <v/>
      </c>
      <c r="H302" s="633">
        <f>CCBASE!$I$12*B302/1000</f>
        <v/>
      </c>
      <c r="I302" s="633" t="n"/>
      <c r="J302" s="633" t="n"/>
      <c r="K302" s="633" t="n"/>
      <c r="L302" s="633">
        <f>CCBASE!$I$13*B302/1000</f>
        <v/>
      </c>
      <c r="M302" s="633" t="n"/>
      <c r="N302" s="633">
        <f>CCBASE!$I$7*B302/1000</f>
        <v/>
      </c>
      <c r="O302" s="633">
        <f>CCBASE!$I$45*B302/1000</f>
        <v/>
      </c>
      <c r="P302" s="633" t="n"/>
      <c r="Q302" s="633">
        <f>CCBASE!$H$51</f>
        <v/>
      </c>
      <c r="R302" s="633">
        <f>CCBASE!$I$4</f>
        <v/>
      </c>
      <c r="S302" s="633">
        <f>CCBASE!$I$8</f>
        <v/>
      </c>
      <c r="T302" s="633">
        <f>CCBASE!$I$44</f>
        <v/>
      </c>
      <c r="U302" s="633">
        <f>CCBASE!$I$47*2</f>
        <v/>
      </c>
      <c r="V302" s="633">
        <f>CCBASE!$I$46</f>
        <v/>
      </c>
      <c r="W302" s="633">
        <f>CCBASE!$I$42*B302/1000</f>
        <v/>
      </c>
      <c r="X302" s="633" t="n"/>
      <c r="Y302" s="633" t="n"/>
      <c r="Z302" s="633" t="n"/>
      <c r="AA302" s="633" t="n"/>
      <c r="AB302" s="633" t="n"/>
      <c r="AC302" s="633" t="n"/>
      <c r="AD302" s="633">
        <f>CCBASE!$I$38*2</f>
        <v/>
      </c>
    </row>
    <row r="303">
      <c r="A303" s="631" t="inlineStr">
        <is>
          <t>CMWF</t>
        </is>
      </c>
      <c r="B303" s="631" t="n">
        <v>2000</v>
      </c>
      <c r="C303" s="631" t="n">
        <v>1750</v>
      </c>
      <c r="D303" s="631">
        <f>A303&amp;B303&amp;C303</f>
        <v/>
      </c>
      <c r="E303" s="1040">
        <f>SUM(G303:AD303)</f>
        <v/>
      </c>
      <c r="F303" s="632" t="n">
        <v>24.5</v>
      </c>
      <c r="G303" s="633">
        <f>F303*CCBASE!$B$51</f>
        <v/>
      </c>
      <c r="H303" s="633">
        <f>CCBASE!$I$12*B303/1000</f>
        <v/>
      </c>
      <c r="I303" s="633" t="n"/>
      <c r="J303" s="633" t="n"/>
      <c r="K303" s="633" t="n"/>
      <c r="L303" s="633">
        <f>CCBASE!$I$13*B303/1000</f>
        <v/>
      </c>
      <c r="M303" s="633" t="n"/>
      <c r="N303" s="633">
        <f>CCBASE!$I$7*B303/1000</f>
        <v/>
      </c>
      <c r="O303" s="633">
        <f>CCBASE!$I$45*B303/1000</f>
        <v/>
      </c>
      <c r="P303" s="633" t="n"/>
      <c r="Q303" s="633">
        <f>CCBASE!$H$51</f>
        <v/>
      </c>
      <c r="R303" s="633">
        <f>CCBASE!$I$4</f>
        <v/>
      </c>
      <c r="S303" s="633">
        <f>CCBASE!$I$8</f>
        <v/>
      </c>
      <c r="T303" s="633">
        <f>CCBASE!$I$44</f>
        <v/>
      </c>
      <c r="U303" s="633">
        <f>CCBASE!$I$47*2</f>
        <v/>
      </c>
      <c r="V303" s="633">
        <f>CCBASE!$I$46</f>
        <v/>
      </c>
      <c r="W303" s="633">
        <f>CCBASE!$I$42*B303/1000</f>
        <v/>
      </c>
      <c r="X303" s="633" t="n"/>
      <c r="Y303" s="633" t="n"/>
      <c r="Z303" s="633" t="n"/>
      <c r="AA303" s="633" t="n"/>
      <c r="AB303" s="633" t="n"/>
      <c r="AC303" s="633" t="n"/>
      <c r="AD303" s="633">
        <f>CCBASE!$I$38*2</f>
        <v/>
      </c>
    </row>
    <row r="304">
      <c r="A304" s="631" t="inlineStr">
        <is>
          <t>CMWF</t>
        </is>
      </c>
      <c r="B304" s="631" t="n">
        <v>2250</v>
      </c>
      <c r="C304" s="631" t="n">
        <v>1750</v>
      </c>
      <c r="D304" s="631">
        <f>A304&amp;B304&amp;C304</f>
        <v/>
      </c>
      <c r="E304" s="1040">
        <f>SUM(G304:AD304)</f>
        <v/>
      </c>
      <c r="F304" s="632" t="n">
        <v>25.5</v>
      </c>
      <c r="G304" s="633">
        <f>F304*CCBASE!$B$51</f>
        <v/>
      </c>
      <c r="H304" s="633">
        <f>CCBASE!$I$12*B304/1000</f>
        <v/>
      </c>
      <c r="I304" s="633" t="n"/>
      <c r="J304" s="633" t="n"/>
      <c r="K304" s="633" t="n"/>
      <c r="L304" s="633">
        <f>CCBASE!$I$13*B304/1000</f>
        <v/>
      </c>
      <c r="M304" s="633" t="n"/>
      <c r="N304" s="633">
        <f>CCBASE!$I$7*B304/1000</f>
        <v/>
      </c>
      <c r="O304" s="633">
        <f>CCBASE!$I$45*B304/1000</f>
        <v/>
      </c>
      <c r="P304" s="633" t="n"/>
      <c r="Q304" s="633">
        <f>CCBASE!$H$51</f>
        <v/>
      </c>
      <c r="R304" s="633">
        <f>CCBASE!$I$4</f>
        <v/>
      </c>
      <c r="S304" s="633">
        <f>CCBASE!$I$8</f>
        <v/>
      </c>
      <c r="T304" s="633">
        <f>CCBASE!$I$44</f>
        <v/>
      </c>
      <c r="U304" s="633">
        <f>CCBASE!$I$47*2</f>
        <v/>
      </c>
      <c r="V304" s="633">
        <f>CCBASE!$I$46</f>
        <v/>
      </c>
      <c r="W304" s="633">
        <f>CCBASE!$I$42*B304/1000</f>
        <v/>
      </c>
      <c r="X304" s="633" t="n"/>
      <c r="Y304" s="633" t="n"/>
      <c r="Z304" s="633" t="n"/>
      <c r="AA304" s="633" t="n"/>
      <c r="AB304" s="633" t="n"/>
      <c r="AC304" s="633" t="n"/>
      <c r="AD304" s="633">
        <f>CCBASE!$I$38*2</f>
        <v/>
      </c>
    </row>
    <row r="305">
      <c r="A305" s="631" t="inlineStr">
        <is>
          <t>CMWF</t>
        </is>
      </c>
      <c r="B305" s="631" t="n">
        <v>2500</v>
      </c>
      <c r="C305" s="631" t="n">
        <v>1750</v>
      </c>
      <c r="D305" s="631">
        <f>A305&amp;B305&amp;C305</f>
        <v/>
      </c>
      <c r="E305" s="1040">
        <f>SUM(G305:AD305)</f>
        <v/>
      </c>
      <c r="F305" s="632" t="n">
        <v>25.5</v>
      </c>
      <c r="G305" s="633">
        <f>F305*CCBASE!$B$51</f>
        <v/>
      </c>
      <c r="H305" s="633">
        <f>CCBASE!$I$12*B305/1000</f>
        <v/>
      </c>
      <c r="I305" s="633" t="n"/>
      <c r="J305" s="633" t="n"/>
      <c r="K305" s="633" t="n"/>
      <c r="L305" s="633">
        <f>CCBASE!$I$13*B305/1000</f>
        <v/>
      </c>
      <c r="M305" s="633" t="n"/>
      <c r="N305" s="633">
        <f>CCBASE!$I$7*B305/1000</f>
        <v/>
      </c>
      <c r="O305" s="633">
        <f>CCBASE!$I$45*B305/1000</f>
        <v/>
      </c>
      <c r="P305" s="633" t="n"/>
      <c r="Q305" s="633">
        <f>CCBASE!$H$51</f>
        <v/>
      </c>
      <c r="R305" s="633">
        <f>CCBASE!$I$4</f>
        <v/>
      </c>
      <c r="S305" s="633">
        <f>CCBASE!$I$8</f>
        <v/>
      </c>
      <c r="T305" s="633">
        <f>CCBASE!$I$44</f>
        <v/>
      </c>
      <c r="U305" s="633">
        <f>CCBASE!$I$47*2</f>
        <v/>
      </c>
      <c r="V305" s="633">
        <f>CCBASE!$I$46</f>
        <v/>
      </c>
      <c r="W305" s="633">
        <f>CCBASE!$I$42*B305/1000</f>
        <v/>
      </c>
      <c r="X305" s="633" t="n"/>
      <c r="Y305" s="633" t="n"/>
      <c r="Z305" s="633" t="n"/>
      <c r="AA305" s="633" t="n"/>
      <c r="AB305" s="633" t="n"/>
      <c r="AC305" s="633" t="n"/>
      <c r="AD305" s="633">
        <f>CCBASE!$I$38*2</f>
        <v/>
      </c>
    </row>
    <row r="306">
      <c r="A306" s="631" t="inlineStr">
        <is>
          <t>CMWF</t>
        </is>
      </c>
      <c r="B306" s="631" t="n">
        <v>2750</v>
      </c>
      <c r="C306" s="631" t="n">
        <v>1750</v>
      </c>
      <c r="D306" s="631">
        <f>A306&amp;B306&amp;C306</f>
        <v/>
      </c>
      <c r="E306" s="1040">
        <f>SUM(G306:AD306)</f>
        <v/>
      </c>
      <c r="F306" s="632" t="n">
        <v>25.5</v>
      </c>
      <c r="G306" s="633">
        <f>F306*CCBASE!$B$51</f>
        <v/>
      </c>
      <c r="H306" s="633">
        <f>CCBASE!$I$12*B306/1000</f>
        <v/>
      </c>
      <c r="I306" s="633" t="n"/>
      <c r="J306" s="633" t="n"/>
      <c r="K306" s="633" t="n"/>
      <c r="L306" s="633">
        <f>CCBASE!$I$13*B306/1000</f>
        <v/>
      </c>
      <c r="M306" s="633" t="n"/>
      <c r="N306" s="633">
        <f>CCBASE!$I$7*B306/1000</f>
        <v/>
      </c>
      <c r="O306" s="633">
        <f>CCBASE!$I$45*B306/1000</f>
        <v/>
      </c>
      <c r="P306" s="633" t="n"/>
      <c r="Q306" s="633">
        <f>CCBASE!$H$51</f>
        <v/>
      </c>
      <c r="R306" s="633">
        <f>CCBASE!$I$4</f>
        <v/>
      </c>
      <c r="S306" s="633">
        <f>CCBASE!$I$8</f>
        <v/>
      </c>
      <c r="T306" s="633">
        <f>CCBASE!$I$44</f>
        <v/>
      </c>
      <c r="U306" s="633">
        <f>CCBASE!$I$47*2</f>
        <v/>
      </c>
      <c r="V306" s="633">
        <f>CCBASE!$I$46</f>
        <v/>
      </c>
      <c r="W306" s="633">
        <f>CCBASE!$I$42*B306/1000</f>
        <v/>
      </c>
      <c r="X306" s="633" t="n"/>
      <c r="Y306" s="633" t="n"/>
      <c r="Z306" s="633" t="n"/>
      <c r="AA306" s="633" t="n"/>
      <c r="AB306" s="633" t="n"/>
      <c r="AC306" s="633" t="n"/>
      <c r="AD306" s="633">
        <f>CCBASE!$I$38*2</f>
        <v/>
      </c>
    </row>
    <row r="307">
      <c r="A307" s="631" t="inlineStr">
        <is>
          <t>CMWF</t>
        </is>
      </c>
      <c r="B307" s="631" t="n">
        <v>3000</v>
      </c>
      <c r="C307" s="631" t="n">
        <v>1750</v>
      </c>
      <c r="D307" s="631">
        <f>A307&amp;B307&amp;C307</f>
        <v/>
      </c>
      <c r="E307" s="1040">
        <f>SUM(G307:AD307)</f>
        <v/>
      </c>
      <c r="F307" s="632" t="n">
        <v>25.5</v>
      </c>
      <c r="G307" s="633">
        <f>F307*CCBASE!$B$51</f>
        <v/>
      </c>
      <c r="H307" s="633">
        <f>CCBASE!$I$12*B307/1000</f>
        <v/>
      </c>
      <c r="I307" s="633" t="n"/>
      <c r="J307" s="633" t="n"/>
      <c r="K307" s="633" t="n"/>
      <c r="L307" s="633">
        <f>CCBASE!$I$13*B307/1000</f>
        <v/>
      </c>
      <c r="M307" s="633" t="n"/>
      <c r="N307" s="633">
        <f>CCBASE!$I$7*B307/1000</f>
        <v/>
      </c>
      <c r="O307" s="633">
        <f>CCBASE!$I$45*B307/1000</f>
        <v/>
      </c>
      <c r="P307" s="633" t="n"/>
      <c r="Q307" s="633">
        <f>CCBASE!$H$51</f>
        <v/>
      </c>
      <c r="R307" s="633">
        <f>CCBASE!$I$4</f>
        <v/>
      </c>
      <c r="S307" s="633">
        <f>CCBASE!$I$8</f>
        <v/>
      </c>
      <c r="T307" s="633">
        <f>CCBASE!$I$44</f>
        <v/>
      </c>
      <c r="U307" s="633">
        <f>CCBASE!$I$47*2</f>
        <v/>
      </c>
      <c r="V307" s="633">
        <f>CCBASE!$I$46</f>
        <v/>
      </c>
      <c r="W307" s="633">
        <f>CCBASE!$I$42*B307/1000</f>
        <v/>
      </c>
      <c r="X307" s="633" t="n"/>
      <c r="Y307" s="633" t="n"/>
      <c r="Z307" s="633" t="n"/>
      <c r="AA307" s="633" t="n"/>
      <c r="AB307" s="633" t="n"/>
      <c r="AC307" s="633" t="n"/>
      <c r="AD307" s="633">
        <f>CCBASE!$I$38*2</f>
        <v/>
      </c>
    </row>
    <row r="308">
      <c r="A308" s="631" t="inlineStr">
        <is>
          <t>CMWF</t>
        </is>
      </c>
      <c r="B308" s="631" t="n">
        <v>1000</v>
      </c>
      <c r="C308" s="631" t="n">
        <v>2000</v>
      </c>
      <c r="D308" s="631">
        <f>A308&amp;B308&amp;C308</f>
        <v/>
      </c>
      <c r="E308" s="1040">
        <f>SUM(G308:AD308)</f>
        <v/>
      </c>
      <c r="F308" s="632" t="n">
        <v>24.5</v>
      </c>
      <c r="G308" s="633">
        <f>F308*CCBASE!$B$51</f>
        <v/>
      </c>
      <c r="H308" s="633">
        <f>CCBASE!$I$12*B308/1000</f>
        <v/>
      </c>
      <c r="I308" s="633" t="n"/>
      <c r="J308" s="633" t="n"/>
      <c r="K308" s="633" t="n"/>
      <c r="L308" s="633">
        <f>CCBASE!$I$13*B308/1000</f>
        <v/>
      </c>
      <c r="M308" s="633" t="n"/>
      <c r="N308" s="633">
        <f>CCBASE!$I$7*B308/1000</f>
        <v/>
      </c>
      <c r="O308" s="633">
        <f>CCBASE!$I$45*B308/1000</f>
        <v/>
      </c>
      <c r="P308" s="633" t="n"/>
      <c r="Q308" s="633">
        <f>CCBASE!$H$51</f>
        <v/>
      </c>
      <c r="R308" s="633">
        <f>CCBASE!$I$4</f>
        <v/>
      </c>
      <c r="S308" s="633">
        <f>CCBASE!$I$8</f>
        <v/>
      </c>
      <c r="T308" s="633">
        <f>CCBASE!$I$44</f>
        <v/>
      </c>
      <c r="U308" s="633">
        <f>CCBASE!$I$47</f>
        <v/>
      </c>
      <c r="V308" s="633">
        <f>CCBASE!$I$46/2</f>
        <v/>
      </c>
      <c r="W308" s="633">
        <f>CCBASE!$I$43*B308/1000</f>
        <v/>
      </c>
      <c r="X308" s="633" t="n"/>
      <c r="Y308" s="633" t="n"/>
      <c r="Z308" s="633" t="n"/>
      <c r="AA308" s="633" t="n"/>
      <c r="AB308" s="633" t="n"/>
      <c r="AC308" s="633" t="n"/>
      <c r="AD308" s="633">
        <f>CCBASE!$I$38*2</f>
        <v/>
      </c>
    </row>
    <row r="309">
      <c r="A309" s="631" t="inlineStr">
        <is>
          <t>CMWF</t>
        </is>
      </c>
      <c r="B309" s="631" t="n">
        <v>1250</v>
      </c>
      <c r="C309" s="631" t="n">
        <v>2000</v>
      </c>
      <c r="D309" s="631">
        <f>A309&amp;B309&amp;C309</f>
        <v/>
      </c>
      <c r="E309" s="1040">
        <f>SUM(G309:AD309)</f>
        <v/>
      </c>
      <c r="F309" s="632" t="n">
        <v>24.5</v>
      </c>
      <c r="G309" s="633">
        <f>F309*CCBASE!$B$51</f>
        <v/>
      </c>
      <c r="H309" s="633">
        <f>CCBASE!$I$12*B309/1000</f>
        <v/>
      </c>
      <c r="I309" s="633" t="n"/>
      <c r="J309" s="633" t="n"/>
      <c r="K309" s="633" t="n"/>
      <c r="L309" s="633">
        <f>CCBASE!$I$13*B309/1000</f>
        <v/>
      </c>
      <c r="M309" s="633" t="n"/>
      <c r="N309" s="633">
        <f>CCBASE!$I$7*B309/1000</f>
        <v/>
      </c>
      <c r="O309" s="633">
        <f>CCBASE!$I$45*B309/1000</f>
        <v/>
      </c>
      <c r="P309" s="633" t="n"/>
      <c r="Q309" s="633">
        <f>CCBASE!$H$51</f>
        <v/>
      </c>
      <c r="R309" s="633">
        <f>CCBASE!$I$4</f>
        <v/>
      </c>
      <c r="S309" s="633">
        <f>CCBASE!$I$8</f>
        <v/>
      </c>
      <c r="T309" s="633">
        <f>CCBASE!$I$44</f>
        <v/>
      </c>
      <c r="U309" s="633">
        <f>CCBASE!$I$47*2</f>
        <v/>
      </c>
      <c r="V309" s="633">
        <f>CCBASE!$I$46/2</f>
        <v/>
      </c>
      <c r="W309" s="633">
        <f>CCBASE!$I$43*B309/1000</f>
        <v/>
      </c>
      <c r="X309" s="633" t="n"/>
      <c r="Y309" s="633" t="n"/>
      <c r="Z309" s="633" t="n"/>
      <c r="AA309" s="633" t="n"/>
      <c r="AB309" s="633" t="n"/>
      <c r="AC309" s="633" t="n"/>
      <c r="AD309" s="633">
        <f>CCBASE!$I$38*2</f>
        <v/>
      </c>
    </row>
    <row r="310">
      <c r="A310" s="631" t="inlineStr">
        <is>
          <t>CMWF</t>
        </is>
      </c>
      <c r="B310" s="631" t="n">
        <v>1500</v>
      </c>
      <c r="C310" s="631" t="n">
        <v>2000</v>
      </c>
      <c r="D310" s="631">
        <f>A310&amp;B310&amp;C310</f>
        <v/>
      </c>
      <c r="E310" s="1040">
        <f>SUM(G310:AD310)</f>
        <v/>
      </c>
      <c r="F310" s="632" t="n">
        <v>24.5</v>
      </c>
      <c r="G310" s="633">
        <f>F310*CCBASE!$B$51</f>
        <v/>
      </c>
      <c r="H310" s="633">
        <f>CCBASE!$I$12*B310/1000</f>
        <v/>
      </c>
      <c r="I310" s="633" t="n"/>
      <c r="J310" s="633" t="n"/>
      <c r="K310" s="633" t="n"/>
      <c r="L310" s="633">
        <f>CCBASE!$I$13*B310/1000</f>
        <v/>
      </c>
      <c r="M310" s="633" t="n"/>
      <c r="N310" s="633">
        <f>CCBASE!$I$7*B310/1000</f>
        <v/>
      </c>
      <c r="O310" s="633">
        <f>CCBASE!$I$45*B310/1000</f>
        <v/>
      </c>
      <c r="P310" s="633" t="n"/>
      <c r="Q310" s="633">
        <f>CCBASE!$H$51</f>
        <v/>
      </c>
      <c r="R310" s="633">
        <f>CCBASE!$I$4</f>
        <v/>
      </c>
      <c r="S310" s="633">
        <f>CCBASE!$I$8</f>
        <v/>
      </c>
      <c r="T310" s="633">
        <f>CCBASE!$I$44</f>
        <v/>
      </c>
      <c r="U310" s="633">
        <f>CCBASE!$I$47*2</f>
        <v/>
      </c>
      <c r="V310" s="633">
        <f>CCBASE!$I$46/2</f>
        <v/>
      </c>
      <c r="W310" s="633">
        <f>CCBASE!$I$43*B310/1000</f>
        <v/>
      </c>
      <c r="X310" s="633" t="n"/>
      <c r="Y310" s="633" t="n"/>
      <c r="Z310" s="633" t="n"/>
      <c r="AA310" s="633" t="n"/>
      <c r="AB310" s="633" t="n"/>
      <c r="AC310" s="633" t="n"/>
      <c r="AD310" s="633">
        <f>CCBASE!$I$38*2</f>
        <v/>
      </c>
    </row>
    <row r="311">
      <c r="A311" s="631" t="inlineStr">
        <is>
          <t>CMWF</t>
        </is>
      </c>
      <c r="B311" s="631" t="n">
        <v>1750</v>
      </c>
      <c r="C311" s="631" t="n">
        <v>2000</v>
      </c>
      <c r="D311" s="631">
        <f>A311&amp;B311&amp;C311</f>
        <v/>
      </c>
      <c r="E311" s="1040">
        <f>SUM(G311:AD311)</f>
        <v/>
      </c>
      <c r="F311" s="632" t="n">
        <v>24.5</v>
      </c>
      <c r="G311" s="633">
        <f>F311*CCBASE!$B$51</f>
        <v/>
      </c>
      <c r="H311" s="633">
        <f>CCBASE!$I$12*B311/1000</f>
        <v/>
      </c>
      <c r="I311" s="633" t="n"/>
      <c r="J311" s="633" t="n"/>
      <c r="K311" s="633" t="n"/>
      <c r="L311" s="633">
        <f>CCBASE!$I$13*B311/1000</f>
        <v/>
      </c>
      <c r="M311" s="633" t="n"/>
      <c r="N311" s="633">
        <f>CCBASE!$I$7*B311/1000</f>
        <v/>
      </c>
      <c r="O311" s="633">
        <f>CCBASE!$I$45*B311/1000</f>
        <v/>
      </c>
      <c r="P311" s="633" t="n"/>
      <c r="Q311" s="633">
        <f>CCBASE!$H$51</f>
        <v/>
      </c>
      <c r="R311" s="633">
        <f>CCBASE!$I$4</f>
        <v/>
      </c>
      <c r="S311" s="633">
        <f>CCBASE!$I$8</f>
        <v/>
      </c>
      <c r="T311" s="633">
        <f>CCBASE!$I$44</f>
        <v/>
      </c>
      <c r="U311" s="633">
        <f>CCBASE!$I$47*2</f>
        <v/>
      </c>
      <c r="V311" s="633">
        <f>CCBASE!$I$46</f>
        <v/>
      </c>
      <c r="W311" s="633">
        <f>CCBASE!$I$43*B311/1000</f>
        <v/>
      </c>
      <c r="X311" s="633" t="n"/>
      <c r="Y311" s="633" t="n"/>
      <c r="Z311" s="633" t="n"/>
      <c r="AA311" s="633" t="n"/>
      <c r="AB311" s="633" t="n"/>
      <c r="AC311" s="633" t="n"/>
      <c r="AD311" s="633">
        <f>CCBASE!$I$38*2</f>
        <v/>
      </c>
    </row>
    <row r="312">
      <c r="A312" s="631" t="inlineStr">
        <is>
          <t>CMWF</t>
        </is>
      </c>
      <c r="B312" s="631" t="n">
        <v>2000</v>
      </c>
      <c r="C312" s="631" t="n">
        <v>2000</v>
      </c>
      <c r="D312" s="631">
        <f>A312&amp;B312&amp;C312</f>
        <v/>
      </c>
      <c r="E312" s="1040">
        <f>SUM(G312:AD312)</f>
        <v/>
      </c>
      <c r="F312" s="632" t="n">
        <v>24.5</v>
      </c>
      <c r="G312" s="633">
        <f>F312*CCBASE!$B$51</f>
        <v/>
      </c>
      <c r="H312" s="633">
        <f>CCBASE!$I$12*B312/1000</f>
        <v/>
      </c>
      <c r="I312" s="633" t="n"/>
      <c r="J312" s="633" t="n"/>
      <c r="K312" s="633" t="n"/>
      <c r="L312" s="633">
        <f>CCBASE!$I$13*B312/1000</f>
        <v/>
      </c>
      <c r="M312" s="633" t="n"/>
      <c r="N312" s="633">
        <f>CCBASE!$I$7*B312/1000</f>
        <v/>
      </c>
      <c r="O312" s="633">
        <f>CCBASE!$I$45*B312/1000</f>
        <v/>
      </c>
      <c r="P312" s="633" t="n"/>
      <c r="Q312" s="633">
        <f>CCBASE!$H$51</f>
        <v/>
      </c>
      <c r="R312" s="633">
        <f>CCBASE!$I$4</f>
        <v/>
      </c>
      <c r="S312" s="633">
        <f>CCBASE!$I$8</f>
        <v/>
      </c>
      <c r="T312" s="633">
        <f>CCBASE!$I$44</f>
        <v/>
      </c>
      <c r="U312" s="633">
        <f>CCBASE!$I$47*2</f>
        <v/>
      </c>
      <c r="V312" s="633">
        <f>CCBASE!$I$46</f>
        <v/>
      </c>
      <c r="W312" s="633">
        <f>CCBASE!$I$43*B312/1000</f>
        <v/>
      </c>
      <c r="X312" s="633" t="n"/>
      <c r="Y312" s="633" t="n"/>
      <c r="Z312" s="633" t="n"/>
      <c r="AA312" s="633" t="n"/>
      <c r="AB312" s="633" t="n"/>
      <c r="AC312" s="633" t="n"/>
      <c r="AD312" s="633">
        <f>CCBASE!$I$38*2</f>
        <v/>
      </c>
    </row>
    <row r="313">
      <c r="A313" s="631" t="inlineStr">
        <is>
          <t>CMWF</t>
        </is>
      </c>
      <c r="B313" s="631" t="n">
        <v>2250</v>
      </c>
      <c r="C313" s="631" t="n">
        <v>2000</v>
      </c>
      <c r="D313" s="631">
        <f>A313&amp;B313&amp;C313</f>
        <v/>
      </c>
      <c r="E313" s="1040">
        <f>SUM(G313:AD313)</f>
        <v/>
      </c>
      <c r="F313" s="632" t="n">
        <v>25.5</v>
      </c>
      <c r="G313" s="633">
        <f>F313*CCBASE!$B$51</f>
        <v/>
      </c>
      <c r="H313" s="633">
        <f>CCBASE!$I$12*B313/1000</f>
        <v/>
      </c>
      <c r="I313" s="633" t="n"/>
      <c r="J313" s="633" t="n"/>
      <c r="K313" s="633" t="n"/>
      <c r="L313" s="633">
        <f>CCBASE!$I$13*B313/1000</f>
        <v/>
      </c>
      <c r="M313" s="633" t="n"/>
      <c r="N313" s="633">
        <f>CCBASE!$I$7*B313/1000</f>
        <v/>
      </c>
      <c r="O313" s="633">
        <f>CCBASE!$I$45*B313/1000</f>
        <v/>
      </c>
      <c r="P313" s="633" t="n"/>
      <c r="Q313" s="633">
        <f>CCBASE!$H$51</f>
        <v/>
      </c>
      <c r="R313" s="633">
        <f>CCBASE!$I$4</f>
        <v/>
      </c>
      <c r="S313" s="633">
        <f>CCBASE!$I$8</f>
        <v/>
      </c>
      <c r="T313" s="633">
        <f>CCBASE!$I$44</f>
        <v/>
      </c>
      <c r="U313" s="633">
        <f>CCBASE!$I$47*2</f>
        <v/>
      </c>
      <c r="V313" s="633">
        <f>CCBASE!$I$46</f>
        <v/>
      </c>
      <c r="W313" s="633">
        <f>CCBASE!$I$43*B313/1000</f>
        <v/>
      </c>
      <c r="X313" s="633" t="n"/>
      <c r="Y313" s="633" t="n"/>
      <c r="Z313" s="633" t="n"/>
      <c r="AA313" s="633" t="n"/>
      <c r="AB313" s="633" t="n"/>
      <c r="AC313" s="633" t="n"/>
      <c r="AD313" s="633">
        <f>CCBASE!$I$38*2</f>
        <v/>
      </c>
    </row>
    <row r="314">
      <c r="A314" s="631" t="inlineStr">
        <is>
          <t>CMWF</t>
        </is>
      </c>
      <c r="B314" s="631" t="n">
        <v>2500</v>
      </c>
      <c r="C314" s="631" t="n">
        <v>2000</v>
      </c>
      <c r="D314" s="631">
        <f>A314&amp;B314&amp;C314</f>
        <v/>
      </c>
      <c r="E314" s="1040">
        <f>SUM(G314:AD314)</f>
        <v/>
      </c>
      <c r="F314" s="632" t="n">
        <v>25.5</v>
      </c>
      <c r="G314" s="633">
        <f>F314*CCBASE!$B$51</f>
        <v/>
      </c>
      <c r="H314" s="633">
        <f>CCBASE!$I$12*B314/1000</f>
        <v/>
      </c>
      <c r="I314" s="633" t="n"/>
      <c r="J314" s="633" t="n"/>
      <c r="K314" s="633" t="n"/>
      <c r="L314" s="633">
        <f>CCBASE!$I$13*B314/1000</f>
        <v/>
      </c>
      <c r="M314" s="633" t="n"/>
      <c r="N314" s="633">
        <f>CCBASE!$I$7*B314/1000</f>
        <v/>
      </c>
      <c r="O314" s="633">
        <f>CCBASE!$I$45*B314/1000</f>
        <v/>
      </c>
      <c r="P314" s="633" t="n"/>
      <c r="Q314" s="633">
        <f>CCBASE!$H$51</f>
        <v/>
      </c>
      <c r="R314" s="633">
        <f>CCBASE!$I$4</f>
        <v/>
      </c>
      <c r="S314" s="633">
        <f>CCBASE!$I$8</f>
        <v/>
      </c>
      <c r="T314" s="633">
        <f>CCBASE!$I$44</f>
        <v/>
      </c>
      <c r="U314" s="633">
        <f>CCBASE!$I$47*2</f>
        <v/>
      </c>
      <c r="V314" s="633">
        <f>CCBASE!$I$46</f>
        <v/>
      </c>
      <c r="W314" s="633">
        <f>CCBASE!$I$43*B314/1000</f>
        <v/>
      </c>
      <c r="X314" s="633" t="n"/>
      <c r="Y314" s="633" t="n"/>
      <c r="Z314" s="633" t="n"/>
      <c r="AA314" s="633" t="n"/>
      <c r="AB314" s="633" t="n"/>
      <c r="AC314" s="633" t="n"/>
      <c r="AD314" s="633">
        <f>CCBASE!$I$38*2</f>
        <v/>
      </c>
    </row>
    <row r="315">
      <c r="A315" s="631" t="inlineStr">
        <is>
          <t>CMWF</t>
        </is>
      </c>
      <c r="B315" s="631" t="n">
        <v>2750</v>
      </c>
      <c r="C315" s="631" t="n">
        <v>2000</v>
      </c>
      <c r="D315" s="631">
        <f>A315&amp;B315&amp;C315</f>
        <v/>
      </c>
      <c r="E315" s="1040">
        <f>SUM(G315:AD315)</f>
        <v/>
      </c>
      <c r="F315" s="632" t="n">
        <v>25.5</v>
      </c>
      <c r="G315" s="633">
        <f>F315*CCBASE!$B$51</f>
        <v/>
      </c>
      <c r="H315" s="633">
        <f>CCBASE!$I$12*B315/1000</f>
        <v/>
      </c>
      <c r="I315" s="633" t="n"/>
      <c r="J315" s="633" t="n"/>
      <c r="K315" s="633" t="n"/>
      <c r="L315" s="633">
        <f>CCBASE!$I$13*B315/1000</f>
        <v/>
      </c>
      <c r="M315" s="633" t="n"/>
      <c r="N315" s="633">
        <f>CCBASE!$I$7*B315/1000</f>
        <v/>
      </c>
      <c r="O315" s="633">
        <f>CCBASE!$I$45*B315/1000</f>
        <v/>
      </c>
      <c r="P315" s="633" t="n"/>
      <c r="Q315" s="633">
        <f>CCBASE!$H$51</f>
        <v/>
      </c>
      <c r="R315" s="633">
        <f>CCBASE!$I$4</f>
        <v/>
      </c>
      <c r="S315" s="633">
        <f>CCBASE!$I$8</f>
        <v/>
      </c>
      <c r="T315" s="633">
        <f>CCBASE!$I$44</f>
        <v/>
      </c>
      <c r="U315" s="633">
        <f>CCBASE!$I$47*2</f>
        <v/>
      </c>
      <c r="V315" s="633">
        <f>CCBASE!$I$46</f>
        <v/>
      </c>
      <c r="W315" s="633">
        <f>CCBASE!$I$43*B315/1000</f>
        <v/>
      </c>
      <c r="X315" s="633" t="n"/>
      <c r="Y315" s="633" t="n"/>
      <c r="Z315" s="633" t="n"/>
      <c r="AA315" s="633" t="n"/>
      <c r="AB315" s="633" t="n"/>
      <c r="AC315" s="633" t="n"/>
      <c r="AD315" s="633">
        <f>CCBASE!$I$38*2</f>
        <v/>
      </c>
    </row>
    <row r="316">
      <c r="A316" s="631" t="inlineStr">
        <is>
          <t>CMWF</t>
        </is>
      </c>
      <c r="B316" s="631" t="n">
        <v>3000</v>
      </c>
      <c r="C316" s="631" t="n">
        <v>2000</v>
      </c>
      <c r="D316" s="631">
        <f>A316&amp;B316&amp;C316</f>
        <v/>
      </c>
      <c r="E316" s="1040">
        <f>SUM(G316:AD316)</f>
        <v/>
      </c>
      <c r="F316" s="632" t="n">
        <v>25.5</v>
      </c>
      <c r="G316" s="633">
        <f>F316*CCBASE!$B$51</f>
        <v/>
      </c>
      <c r="H316" s="633">
        <f>CCBASE!$I$12*B316/1000</f>
        <v/>
      </c>
      <c r="I316" s="633" t="n"/>
      <c r="J316" s="633" t="n"/>
      <c r="K316" s="633" t="n"/>
      <c r="L316" s="633">
        <f>CCBASE!$I$13*B316/1000</f>
        <v/>
      </c>
      <c r="M316" s="633" t="n"/>
      <c r="N316" s="633">
        <f>CCBASE!$I$7*B316/1000</f>
        <v/>
      </c>
      <c r="O316" s="633">
        <f>CCBASE!$I$45*B316/1000</f>
        <v/>
      </c>
      <c r="P316" s="633" t="n"/>
      <c r="Q316" s="633">
        <f>CCBASE!$H$51</f>
        <v/>
      </c>
      <c r="R316" s="633">
        <f>CCBASE!$I$4</f>
        <v/>
      </c>
      <c r="S316" s="633">
        <f>CCBASE!$I$8</f>
        <v/>
      </c>
      <c r="T316" s="633">
        <f>CCBASE!$I$44</f>
        <v/>
      </c>
      <c r="U316" s="633">
        <f>CCBASE!$I$47*2</f>
        <v/>
      </c>
      <c r="V316" s="633">
        <f>CCBASE!$I$46</f>
        <v/>
      </c>
      <c r="W316" s="633">
        <f>CCBASE!$I$43*B316/1000</f>
        <v/>
      </c>
      <c r="X316" s="633" t="n"/>
      <c r="Y316" s="633" t="n"/>
      <c r="Z316" s="633" t="n"/>
      <c r="AA316" s="633" t="n"/>
      <c r="AB316" s="633" t="n"/>
      <c r="AC316" s="633" t="n"/>
      <c r="AD316" s="633">
        <f>CCBASE!$I$38*2</f>
        <v/>
      </c>
    </row>
    <row r="317">
      <c r="A317" s="631" t="inlineStr">
        <is>
          <t>CMWI</t>
        </is>
      </c>
      <c r="B317" s="631" t="n">
        <v>1000</v>
      </c>
      <c r="C317" s="631" t="n">
        <v>1000</v>
      </c>
      <c r="D317" s="631">
        <f>A317&amp;B317&amp;C317</f>
        <v/>
      </c>
      <c r="E317" s="1040">
        <f>SUM(G317:AD317)</f>
        <v/>
      </c>
      <c r="F317" s="632" t="n">
        <v>20</v>
      </c>
      <c r="G317" s="633">
        <f>F317*CCBASE!$B$51</f>
        <v/>
      </c>
      <c r="H317" s="633">
        <f>CCBASE!$I$12*B317/1000</f>
        <v/>
      </c>
      <c r="I317" s="633" t="n"/>
      <c r="J317" s="633" t="n"/>
      <c r="K317" s="633" t="n"/>
      <c r="L317" s="633">
        <f>CCBASE!$I$14*B317/1000</f>
        <v/>
      </c>
      <c r="M317" s="633" t="n"/>
      <c r="N317" s="633" t="n"/>
      <c r="O317" s="633">
        <f>CCBASE!$I$45*B317/1000</f>
        <v/>
      </c>
      <c r="P317" s="633" t="n"/>
      <c r="Q317" s="633">
        <f>CCBASE!$H$51</f>
        <v/>
      </c>
      <c r="R317" s="633">
        <f>CCBASE!$I$4</f>
        <v/>
      </c>
      <c r="S317" s="633">
        <f>CCBASE!$I$8</f>
        <v/>
      </c>
      <c r="T317" s="633">
        <f>CCBASE!$I$44</f>
        <v/>
      </c>
      <c r="U317" s="633" t="n"/>
      <c r="V317" s="633" t="n"/>
      <c r="W317" s="633">
        <f>CCBASE!$I$40*B317/1000</f>
        <v/>
      </c>
      <c r="X317" s="633" t="n"/>
      <c r="Y317" s="633" t="n"/>
      <c r="Z317" s="633" t="n"/>
      <c r="AA317" s="633" t="n"/>
      <c r="AB317" s="633" t="n"/>
      <c r="AC317" s="633" t="n"/>
      <c r="AD317" s="633">
        <f>CCBASE!$I$36*2</f>
        <v/>
      </c>
    </row>
    <row r="318">
      <c r="A318" s="631" t="inlineStr">
        <is>
          <t>CMWI</t>
        </is>
      </c>
      <c r="B318" s="631" t="n">
        <v>1250</v>
      </c>
      <c r="C318" s="631" t="n">
        <v>1000</v>
      </c>
      <c r="D318" s="631">
        <f>A318&amp;B318&amp;C318</f>
        <v/>
      </c>
      <c r="E318" s="1040">
        <f>SUM(G318:AD318)</f>
        <v/>
      </c>
      <c r="F318" s="632" t="n">
        <v>20</v>
      </c>
      <c r="G318" s="633">
        <f>F318*CCBASE!$B$51</f>
        <v/>
      </c>
      <c r="H318" s="633">
        <f>CCBASE!$I$12*B318/1000</f>
        <v/>
      </c>
      <c r="I318" s="633" t="n"/>
      <c r="J318" s="633" t="n"/>
      <c r="K318" s="633" t="n"/>
      <c r="L318" s="633">
        <f>CCBASE!$I$14*B318/1000</f>
        <v/>
      </c>
      <c r="M318" s="633" t="n"/>
      <c r="N318" s="633" t="n"/>
      <c r="O318" s="633">
        <f>CCBASE!$I$45*B318/1000</f>
        <v/>
      </c>
      <c r="P318" s="633" t="n"/>
      <c r="Q318" s="633">
        <f>CCBASE!$H$51</f>
        <v/>
      </c>
      <c r="R318" s="633">
        <f>CCBASE!$I$4</f>
        <v/>
      </c>
      <c r="S318" s="633">
        <f>CCBASE!$I$8</f>
        <v/>
      </c>
      <c r="T318" s="633">
        <f>CCBASE!$I$44</f>
        <v/>
      </c>
      <c r="U318" s="633" t="n"/>
      <c r="V318" s="633" t="n"/>
      <c r="W318" s="633">
        <f>CCBASE!$I$40*B318/1000</f>
        <v/>
      </c>
      <c r="X318" s="633" t="n"/>
      <c r="Y318" s="633" t="n"/>
      <c r="Z318" s="633" t="n"/>
      <c r="AA318" s="633" t="n"/>
      <c r="AB318" s="633" t="n"/>
      <c r="AC318" s="633" t="n"/>
      <c r="AD318" s="633">
        <f>CCBASE!$I$36*2</f>
        <v/>
      </c>
    </row>
    <row r="319">
      <c r="A319" s="631" t="inlineStr">
        <is>
          <t>CMWI</t>
        </is>
      </c>
      <c r="B319" s="631" t="n">
        <v>1500</v>
      </c>
      <c r="C319" s="631" t="n">
        <v>1000</v>
      </c>
      <c r="D319" s="631">
        <f>A319&amp;B319&amp;C319</f>
        <v/>
      </c>
      <c r="E319" s="1040">
        <f>SUM(G319:AD319)</f>
        <v/>
      </c>
      <c r="F319" s="632" t="n">
        <v>20</v>
      </c>
      <c r="G319" s="633">
        <f>F319*CCBASE!$B$51</f>
        <v/>
      </c>
      <c r="H319" s="633">
        <f>CCBASE!$I$12*B319/1000</f>
        <v/>
      </c>
      <c r="I319" s="633" t="n"/>
      <c r="J319" s="633" t="n"/>
      <c r="K319" s="633" t="n"/>
      <c r="L319" s="633">
        <f>CCBASE!$I$14*B319/1000</f>
        <v/>
      </c>
      <c r="M319" s="633" t="n"/>
      <c r="N319" s="633" t="n"/>
      <c r="O319" s="633">
        <f>CCBASE!$I$45*B319/1000</f>
        <v/>
      </c>
      <c r="P319" s="633" t="n"/>
      <c r="Q319" s="633">
        <f>CCBASE!$H$51</f>
        <v/>
      </c>
      <c r="R319" s="633">
        <f>CCBASE!$I$4</f>
        <v/>
      </c>
      <c r="S319" s="633">
        <f>CCBASE!$I$8</f>
        <v/>
      </c>
      <c r="T319" s="633">
        <f>CCBASE!$I$44</f>
        <v/>
      </c>
      <c r="U319" s="633" t="n"/>
      <c r="V319" s="633" t="n"/>
      <c r="W319" s="633">
        <f>CCBASE!$I$40*B319/1000</f>
        <v/>
      </c>
      <c r="X319" s="633" t="n"/>
      <c r="Y319" s="633" t="n"/>
      <c r="Z319" s="633" t="n"/>
      <c r="AA319" s="633" t="n"/>
      <c r="AB319" s="633" t="n"/>
      <c r="AC319" s="633" t="n"/>
      <c r="AD319" s="633">
        <f>CCBASE!$I$36*2</f>
        <v/>
      </c>
    </row>
    <row r="320">
      <c r="A320" s="631" t="inlineStr">
        <is>
          <t>CMWI</t>
        </is>
      </c>
      <c r="B320" s="631" t="n">
        <v>1750</v>
      </c>
      <c r="C320" s="631" t="n">
        <v>1000</v>
      </c>
      <c r="D320" s="631">
        <f>A320&amp;B320&amp;C320</f>
        <v/>
      </c>
      <c r="E320" s="1040">
        <f>SUM(G320:AD320)</f>
        <v/>
      </c>
      <c r="F320" s="632" t="n">
        <v>20</v>
      </c>
      <c r="G320" s="633">
        <f>F320*CCBASE!$B$51</f>
        <v/>
      </c>
      <c r="H320" s="633">
        <f>CCBASE!$I$12*B320/1000</f>
        <v/>
      </c>
      <c r="I320" s="633" t="n"/>
      <c r="J320" s="633" t="n"/>
      <c r="K320" s="633" t="n"/>
      <c r="L320" s="633">
        <f>CCBASE!$I$14*B320/1000</f>
        <v/>
      </c>
      <c r="M320" s="633" t="n"/>
      <c r="N320" s="633" t="n"/>
      <c r="O320" s="633">
        <f>CCBASE!$I$45*B320/1000</f>
        <v/>
      </c>
      <c r="P320" s="633" t="n"/>
      <c r="Q320" s="633">
        <f>CCBASE!$H$51</f>
        <v/>
      </c>
      <c r="R320" s="633">
        <f>CCBASE!$I$4</f>
        <v/>
      </c>
      <c r="S320" s="633">
        <f>CCBASE!$I$8</f>
        <v/>
      </c>
      <c r="T320" s="633">
        <f>CCBASE!$I$44</f>
        <v/>
      </c>
      <c r="U320" s="633" t="n"/>
      <c r="V320" s="633" t="n"/>
      <c r="W320" s="633">
        <f>CCBASE!$I$40*B320/1000</f>
        <v/>
      </c>
      <c r="X320" s="633" t="n"/>
      <c r="Y320" s="633" t="n"/>
      <c r="Z320" s="633" t="n"/>
      <c r="AA320" s="633" t="n"/>
      <c r="AB320" s="633" t="n"/>
      <c r="AC320" s="633" t="n"/>
      <c r="AD320" s="633">
        <f>CCBASE!$I$36*2</f>
        <v/>
      </c>
    </row>
    <row r="321">
      <c r="A321" s="631" t="inlineStr">
        <is>
          <t>CMWI</t>
        </is>
      </c>
      <c r="B321" s="631" t="n">
        <v>2000</v>
      </c>
      <c r="C321" s="631" t="n">
        <v>1000</v>
      </c>
      <c r="D321" s="631">
        <f>A321&amp;B321&amp;C321</f>
        <v/>
      </c>
      <c r="E321" s="1040">
        <f>SUM(G321:AD321)</f>
        <v/>
      </c>
      <c r="F321" s="632" t="n">
        <v>20</v>
      </c>
      <c r="G321" s="633">
        <f>F321*CCBASE!$B$51</f>
        <v/>
      </c>
      <c r="H321" s="633">
        <f>CCBASE!$I$12*B321/1000</f>
        <v/>
      </c>
      <c r="I321" s="633" t="n"/>
      <c r="J321" s="633" t="n"/>
      <c r="K321" s="633" t="n"/>
      <c r="L321" s="633">
        <f>CCBASE!$I$14*B321/1000</f>
        <v/>
      </c>
      <c r="M321" s="633" t="n"/>
      <c r="N321" s="633" t="n"/>
      <c r="O321" s="633">
        <f>CCBASE!$I$45*B321/1000</f>
        <v/>
      </c>
      <c r="P321" s="633" t="n"/>
      <c r="Q321" s="633">
        <f>CCBASE!$H$51</f>
        <v/>
      </c>
      <c r="R321" s="633">
        <f>CCBASE!$I$4</f>
        <v/>
      </c>
      <c r="S321" s="633">
        <f>CCBASE!$I$8</f>
        <v/>
      </c>
      <c r="T321" s="633">
        <f>CCBASE!$I$44</f>
        <v/>
      </c>
      <c r="U321" s="633" t="n"/>
      <c r="V321" s="633" t="n"/>
      <c r="W321" s="633">
        <f>CCBASE!$I$40*B321/1000</f>
        <v/>
      </c>
      <c r="X321" s="633" t="n"/>
      <c r="Y321" s="633" t="n"/>
      <c r="Z321" s="633" t="n"/>
      <c r="AA321" s="633" t="n"/>
      <c r="AB321" s="633" t="n"/>
      <c r="AC321" s="633" t="n"/>
      <c r="AD321" s="633">
        <f>CCBASE!$I$36*2</f>
        <v/>
      </c>
    </row>
    <row r="322">
      <c r="A322" s="631" t="inlineStr">
        <is>
          <t>CMWI</t>
        </is>
      </c>
      <c r="B322" s="631" t="n">
        <v>2250</v>
      </c>
      <c r="C322" s="631" t="n">
        <v>1000</v>
      </c>
      <c r="D322" s="631">
        <f>A322&amp;B322&amp;C322</f>
        <v/>
      </c>
      <c r="E322" s="1040">
        <f>SUM(G322:AD322)</f>
        <v/>
      </c>
      <c r="F322" s="632" t="n">
        <v>21</v>
      </c>
      <c r="G322" s="633">
        <f>F322*CCBASE!$B$51</f>
        <v/>
      </c>
      <c r="H322" s="633">
        <f>CCBASE!$I$12*B322/1000</f>
        <v/>
      </c>
      <c r="I322" s="633" t="n"/>
      <c r="J322" s="633" t="n"/>
      <c r="K322" s="633" t="n"/>
      <c r="L322" s="633">
        <f>CCBASE!$I$14*B322/1000</f>
        <v/>
      </c>
      <c r="M322" s="633" t="n"/>
      <c r="N322" s="633" t="n"/>
      <c r="O322" s="633">
        <f>CCBASE!$I$45*B322/1000</f>
        <v/>
      </c>
      <c r="P322" s="633" t="n"/>
      <c r="Q322" s="633">
        <f>CCBASE!$H$51</f>
        <v/>
      </c>
      <c r="R322" s="633">
        <f>CCBASE!$I$4</f>
        <v/>
      </c>
      <c r="S322" s="633">
        <f>CCBASE!$I$8</f>
        <v/>
      </c>
      <c r="T322" s="633">
        <f>CCBASE!$I$44</f>
        <v/>
      </c>
      <c r="U322" s="633" t="n"/>
      <c r="V322" s="633" t="n"/>
      <c r="W322" s="633">
        <f>CCBASE!$I$40*B322/1000</f>
        <v/>
      </c>
      <c r="X322" s="633" t="n"/>
      <c r="Y322" s="633" t="n"/>
      <c r="Z322" s="633" t="n"/>
      <c r="AA322" s="633" t="n"/>
      <c r="AB322" s="633" t="n"/>
      <c r="AC322" s="633" t="n"/>
      <c r="AD322" s="633">
        <f>CCBASE!$I$36*2</f>
        <v/>
      </c>
    </row>
    <row r="323">
      <c r="A323" s="631" t="inlineStr">
        <is>
          <t>CMWI</t>
        </is>
      </c>
      <c r="B323" s="631" t="n">
        <v>2500</v>
      </c>
      <c r="C323" s="631" t="n">
        <v>1000</v>
      </c>
      <c r="D323" s="631">
        <f>A323&amp;B323&amp;C323</f>
        <v/>
      </c>
      <c r="E323" s="1040">
        <f>SUM(G323:AD323)</f>
        <v/>
      </c>
      <c r="F323" s="632" t="n">
        <v>21</v>
      </c>
      <c r="G323" s="633">
        <f>F323*CCBASE!$B$51</f>
        <v/>
      </c>
      <c r="H323" s="633">
        <f>CCBASE!$I$12*B323/1000</f>
        <v/>
      </c>
      <c r="I323" s="633" t="n"/>
      <c r="J323" s="633" t="n"/>
      <c r="K323" s="633" t="n"/>
      <c r="L323" s="633">
        <f>CCBASE!$I$14*B323/1000</f>
        <v/>
      </c>
      <c r="M323" s="633" t="n"/>
      <c r="N323" s="633" t="n"/>
      <c r="O323" s="633">
        <f>CCBASE!$I$45*B323/1000</f>
        <v/>
      </c>
      <c r="P323" s="633" t="n"/>
      <c r="Q323" s="633">
        <f>CCBASE!$H$51</f>
        <v/>
      </c>
      <c r="R323" s="633">
        <f>CCBASE!$I$4</f>
        <v/>
      </c>
      <c r="S323" s="633">
        <f>CCBASE!$I$8</f>
        <v/>
      </c>
      <c r="T323" s="633">
        <f>CCBASE!$I$44</f>
        <v/>
      </c>
      <c r="U323" s="633" t="n"/>
      <c r="V323" s="633" t="n"/>
      <c r="W323" s="633">
        <f>CCBASE!$I$40*B323/1000</f>
        <v/>
      </c>
      <c r="X323" s="633" t="n"/>
      <c r="Y323" s="633" t="n"/>
      <c r="Z323" s="633" t="n"/>
      <c r="AA323" s="633" t="n"/>
      <c r="AB323" s="633" t="n"/>
      <c r="AC323" s="633" t="n"/>
      <c r="AD323" s="633">
        <f>CCBASE!$I$36*2</f>
        <v/>
      </c>
    </row>
    <row r="324">
      <c r="A324" s="631" t="inlineStr">
        <is>
          <t>CMWI</t>
        </is>
      </c>
      <c r="B324" s="631" t="n">
        <v>2750</v>
      </c>
      <c r="C324" s="631" t="n">
        <v>1000</v>
      </c>
      <c r="D324" s="631">
        <f>A324&amp;B324&amp;C324</f>
        <v/>
      </c>
      <c r="E324" s="1040">
        <f>SUM(G324:AD324)</f>
        <v/>
      </c>
      <c r="F324" s="632" t="n">
        <v>21</v>
      </c>
      <c r="G324" s="633">
        <f>F324*CCBASE!$B$51</f>
        <v/>
      </c>
      <c r="H324" s="633">
        <f>CCBASE!$I$12*B324/1000</f>
        <v/>
      </c>
      <c r="I324" s="633" t="n"/>
      <c r="J324" s="633" t="n"/>
      <c r="K324" s="633" t="n"/>
      <c r="L324" s="633">
        <f>CCBASE!$I$14*B324/1000</f>
        <v/>
      </c>
      <c r="M324" s="633" t="n"/>
      <c r="N324" s="633" t="n"/>
      <c r="O324" s="633">
        <f>CCBASE!$I$45*B324/1000</f>
        <v/>
      </c>
      <c r="P324" s="633" t="n"/>
      <c r="Q324" s="633">
        <f>CCBASE!$H$51</f>
        <v/>
      </c>
      <c r="R324" s="633">
        <f>CCBASE!$I$4</f>
        <v/>
      </c>
      <c r="S324" s="633">
        <f>CCBASE!$I$8</f>
        <v/>
      </c>
      <c r="T324" s="633">
        <f>CCBASE!$I$44</f>
        <v/>
      </c>
      <c r="U324" s="633" t="n"/>
      <c r="V324" s="633" t="n"/>
      <c r="W324" s="633">
        <f>CCBASE!$I$40*B324/1000</f>
        <v/>
      </c>
      <c r="X324" s="633" t="n"/>
      <c r="Y324" s="633" t="n"/>
      <c r="Z324" s="633" t="n"/>
      <c r="AA324" s="633" t="n"/>
      <c r="AB324" s="633" t="n"/>
      <c r="AC324" s="633" t="n"/>
      <c r="AD324" s="633">
        <f>CCBASE!$I$36*2</f>
        <v/>
      </c>
    </row>
    <row r="325">
      <c r="A325" s="631" t="inlineStr">
        <is>
          <t>CMWI</t>
        </is>
      </c>
      <c r="B325" s="631" t="n">
        <v>3000</v>
      </c>
      <c r="C325" s="631" t="n">
        <v>1000</v>
      </c>
      <c r="D325" s="631">
        <f>A325&amp;B325&amp;C325</f>
        <v/>
      </c>
      <c r="E325" s="1040">
        <f>SUM(G325:AD325)</f>
        <v/>
      </c>
      <c r="F325" s="632" t="n">
        <v>21</v>
      </c>
      <c r="G325" s="633">
        <f>F325*CCBASE!$B$51</f>
        <v/>
      </c>
      <c r="H325" s="633">
        <f>CCBASE!$I$12*B325/1000</f>
        <v/>
      </c>
      <c r="I325" s="633" t="n"/>
      <c r="J325" s="633" t="n"/>
      <c r="K325" s="633" t="n"/>
      <c r="L325" s="633">
        <f>CCBASE!$I$14*B325/1000</f>
        <v/>
      </c>
      <c r="M325" s="633" t="n"/>
      <c r="N325" s="633" t="n"/>
      <c r="O325" s="633">
        <f>CCBASE!$I$45*B325/1000</f>
        <v/>
      </c>
      <c r="P325" s="633" t="n"/>
      <c r="Q325" s="633">
        <f>CCBASE!$H$51</f>
        <v/>
      </c>
      <c r="R325" s="633">
        <f>CCBASE!$I$4</f>
        <v/>
      </c>
      <c r="S325" s="633">
        <f>CCBASE!$I$8</f>
        <v/>
      </c>
      <c r="T325" s="633">
        <f>CCBASE!$I$44</f>
        <v/>
      </c>
      <c r="U325" s="633" t="n"/>
      <c r="V325" s="633" t="n"/>
      <c r="W325" s="633">
        <f>CCBASE!$I$40*B325/1000</f>
        <v/>
      </c>
      <c r="X325" s="633" t="n"/>
      <c r="Y325" s="633" t="n"/>
      <c r="Z325" s="633" t="n"/>
      <c r="AA325" s="633" t="n"/>
      <c r="AB325" s="633" t="n"/>
      <c r="AC325" s="633" t="n"/>
      <c r="AD325" s="633">
        <f>CCBASE!$I$36*2</f>
        <v/>
      </c>
    </row>
    <row r="326">
      <c r="A326" s="631" t="inlineStr">
        <is>
          <t>CMWI</t>
        </is>
      </c>
      <c r="B326" s="631" t="n">
        <v>1000</v>
      </c>
      <c r="C326" s="631" t="n">
        <v>1250</v>
      </c>
      <c r="D326" s="631">
        <f>A326&amp;B326&amp;C326</f>
        <v/>
      </c>
      <c r="E326" s="1040">
        <f>SUM(G326:AD326)</f>
        <v/>
      </c>
      <c r="F326" s="632" t="n">
        <v>20</v>
      </c>
      <c r="G326" s="633">
        <f>F326*CCBASE!$B$51</f>
        <v/>
      </c>
      <c r="H326" s="633">
        <f>CCBASE!$I$12*B326/1000</f>
        <v/>
      </c>
      <c r="I326" s="633" t="n"/>
      <c r="J326" s="633" t="n"/>
      <c r="K326" s="633" t="n"/>
      <c r="L326" s="633">
        <f>CCBASE!$I$14*B326/1000</f>
        <v/>
      </c>
      <c r="M326" s="633" t="n"/>
      <c r="N326" s="633" t="n"/>
      <c r="O326" s="633">
        <f>CCBASE!$I$45*B326/1000</f>
        <v/>
      </c>
      <c r="P326" s="633" t="n"/>
      <c r="Q326" s="633">
        <f>CCBASE!$H$51</f>
        <v/>
      </c>
      <c r="R326" s="633">
        <f>CCBASE!$I$4</f>
        <v/>
      </c>
      <c r="S326" s="633">
        <f>CCBASE!$I$8</f>
        <v/>
      </c>
      <c r="T326" s="633">
        <f>CCBASE!$I$44</f>
        <v/>
      </c>
      <c r="U326" s="633" t="n"/>
      <c r="V326" s="633" t="n"/>
      <c r="W326" s="633">
        <f>CCBASE!$I$40*B326/1000</f>
        <v/>
      </c>
      <c r="X326" s="633" t="n"/>
      <c r="Y326" s="633" t="n"/>
      <c r="Z326" s="633" t="n"/>
      <c r="AA326" s="633" t="n"/>
      <c r="AB326" s="633" t="n"/>
      <c r="AC326" s="633" t="n"/>
      <c r="AD326" s="633">
        <f>CCBASE!$I$36*2</f>
        <v/>
      </c>
    </row>
    <row r="327">
      <c r="A327" s="631" t="inlineStr">
        <is>
          <t>CMWI</t>
        </is>
      </c>
      <c r="B327" s="631" t="n">
        <v>1250</v>
      </c>
      <c r="C327" s="631" t="n">
        <v>1250</v>
      </c>
      <c r="D327" s="631">
        <f>A327&amp;B327&amp;C327</f>
        <v/>
      </c>
      <c r="E327" s="1040">
        <f>SUM(G327:AD327)</f>
        <v/>
      </c>
      <c r="F327" s="632" t="n">
        <v>20</v>
      </c>
      <c r="G327" s="633">
        <f>F327*CCBASE!$B$51</f>
        <v/>
      </c>
      <c r="H327" s="633">
        <f>CCBASE!$I$12*B327/1000</f>
        <v/>
      </c>
      <c r="I327" s="633" t="n"/>
      <c r="J327" s="633" t="n"/>
      <c r="K327" s="633" t="n"/>
      <c r="L327" s="633">
        <f>CCBASE!$I$14*B327/1000</f>
        <v/>
      </c>
      <c r="M327" s="633" t="n"/>
      <c r="N327" s="633" t="n"/>
      <c r="O327" s="633">
        <f>CCBASE!$I$45*B327/1000</f>
        <v/>
      </c>
      <c r="P327" s="633" t="n"/>
      <c r="Q327" s="633">
        <f>CCBASE!$H$51</f>
        <v/>
      </c>
      <c r="R327" s="633">
        <f>CCBASE!$I$4</f>
        <v/>
      </c>
      <c r="S327" s="633">
        <f>CCBASE!$I$8</f>
        <v/>
      </c>
      <c r="T327" s="633">
        <f>CCBASE!$I$44</f>
        <v/>
      </c>
      <c r="U327" s="633" t="n"/>
      <c r="V327" s="633" t="n"/>
      <c r="W327" s="633">
        <f>CCBASE!$I$40*B327/1000</f>
        <v/>
      </c>
      <c r="X327" s="633" t="n"/>
      <c r="Y327" s="633" t="n"/>
      <c r="Z327" s="633" t="n"/>
      <c r="AA327" s="633" t="n"/>
      <c r="AB327" s="633" t="n"/>
      <c r="AC327" s="633" t="n"/>
      <c r="AD327" s="633">
        <f>CCBASE!$I$36*2</f>
        <v/>
      </c>
    </row>
    <row r="328">
      <c r="A328" s="631" t="inlineStr">
        <is>
          <t>CMWI</t>
        </is>
      </c>
      <c r="B328" s="631" t="n">
        <v>1500</v>
      </c>
      <c r="C328" s="631" t="n">
        <v>1250</v>
      </c>
      <c r="D328" s="631">
        <f>A328&amp;B328&amp;C328</f>
        <v/>
      </c>
      <c r="E328" s="1040">
        <f>SUM(G328:AD328)</f>
        <v/>
      </c>
      <c r="F328" s="632" t="n">
        <v>20</v>
      </c>
      <c r="G328" s="633">
        <f>F328*CCBASE!$B$51</f>
        <v/>
      </c>
      <c r="H328" s="633">
        <f>CCBASE!$I$12*B328/1000</f>
        <v/>
      </c>
      <c r="I328" s="633" t="n"/>
      <c r="J328" s="633" t="n"/>
      <c r="K328" s="633" t="n"/>
      <c r="L328" s="633">
        <f>CCBASE!$I$14*B328/1000</f>
        <v/>
      </c>
      <c r="M328" s="633" t="n"/>
      <c r="N328" s="633" t="n"/>
      <c r="O328" s="633">
        <f>CCBASE!$I$45*B328/1000</f>
        <v/>
      </c>
      <c r="P328" s="633" t="n"/>
      <c r="Q328" s="633">
        <f>CCBASE!$H$51</f>
        <v/>
      </c>
      <c r="R328" s="633">
        <f>CCBASE!$I$4</f>
        <v/>
      </c>
      <c r="S328" s="633">
        <f>CCBASE!$I$8</f>
        <v/>
      </c>
      <c r="T328" s="633">
        <f>CCBASE!$I$44</f>
        <v/>
      </c>
      <c r="U328" s="633" t="n"/>
      <c r="V328" s="633" t="n"/>
      <c r="W328" s="633">
        <f>CCBASE!$I$40*B328/1000</f>
        <v/>
      </c>
      <c r="X328" s="633" t="n"/>
      <c r="Y328" s="633" t="n"/>
      <c r="Z328" s="633" t="n"/>
      <c r="AA328" s="633" t="n"/>
      <c r="AB328" s="633" t="n"/>
      <c r="AC328" s="633" t="n"/>
      <c r="AD328" s="633">
        <f>CCBASE!$I$36*2</f>
        <v/>
      </c>
    </row>
    <row r="329">
      <c r="A329" s="631" t="inlineStr">
        <is>
          <t>CMWI</t>
        </is>
      </c>
      <c r="B329" s="631" t="n">
        <v>1750</v>
      </c>
      <c r="C329" s="631" t="n">
        <v>1250</v>
      </c>
      <c r="D329" s="631">
        <f>A329&amp;B329&amp;C329</f>
        <v/>
      </c>
      <c r="E329" s="1040">
        <f>SUM(G329:AD329)</f>
        <v/>
      </c>
      <c r="F329" s="632" t="n">
        <v>20</v>
      </c>
      <c r="G329" s="633">
        <f>F329*CCBASE!$B$51</f>
        <v/>
      </c>
      <c r="H329" s="633">
        <f>CCBASE!$I$12*B329/1000</f>
        <v/>
      </c>
      <c r="I329" s="633" t="n"/>
      <c r="J329" s="633" t="n"/>
      <c r="K329" s="633" t="n"/>
      <c r="L329" s="633">
        <f>CCBASE!$I$14*B329/1000</f>
        <v/>
      </c>
      <c r="M329" s="633" t="n"/>
      <c r="N329" s="633" t="n"/>
      <c r="O329" s="633">
        <f>CCBASE!$I$45*B329/1000</f>
        <v/>
      </c>
      <c r="P329" s="633" t="n"/>
      <c r="Q329" s="633">
        <f>CCBASE!$H$51</f>
        <v/>
      </c>
      <c r="R329" s="633">
        <f>CCBASE!$I$4</f>
        <v/>
      </c>
      <c r="S329" s="633">
        <f>CCBASE!$I$8</f>
        <v/>
      </c>
      <c r="T329" s="633">
        <f>CCBASE!$I$44</f>
        <v/>
      </c>
      <c r="U329" s="633" t="n"/>
      <c r="V329" s="633" t="n"/>
      <c r="W329" s="633">
        <f>CCBASE!$I$40*B329/1000</f>
        <v/>
      </c>
      <c r="X329" s="633" t="n"/>
      <c r="Y329" s="633" t="n"/>
      <c r="Z329" s="633" t="n"/>
      <c r="AA329" s="633" t="n"/>
      <c r="AB329" s="633" t="n"/>
      <c r="AC329" s="633" t="n"/>
      <c r="AD329" s="633">
        <f>CCBASE!$I$36*2</f>
        <v/>
      </c>
    </row>
    <row r="330">
      <c r="A330" s="631" t="inlineStr">
        <is>
          <t>CMWI</t>
        </is>
      </c>
      <c r="B330" s="631" t="n">
        <v>2000</v>
      </c>
      <c r="C330" s="631" t="n">
        <v>1250</v>
      </c>
      <c r="D330" s="631">
        <f>A330&amp;B330&amp;C330</f>
        <v/>
      </c>
      <c r="E330" s="1040">
        <f>SUM(G330:AD330)</f>
        <v/>
      </c>
      <c r="F330" s="632" t="n">
        <v>20</v>
      </c>
      <c r="G330" s="633">
        <f>F330*CCBASE!$B$51</f>
        <v/>
      </c>
      <c r="H330" s="633">
        <f>CCBASE!$I$12*B330/1000</f>
        <v/>
      </c>
      <c r="I330" s="633" t="n"/>
      <c r="J330" s="633" t="n"/>
      <c r="K330" s="633" t="n"/>
      <c r="L330" s="633">
        <f>CCBASE!$I$14*B330/1000</f>
        <v/>
      </c>
      <c r="M330" s="633" t="n"/>
      <c r="N330" s="633" t="n"/>
      <c r="O330" s="633">
        <f>CCBASE!$I$45*B330/1000</f>
        <v/>
      </c>
      <c r="P330" s="633" t="n"/>
      <c r="Q330" s="633">
        <f>CCBASE!$H$51</f>
        <v/>
      </c>
      <c r="R330" s="633">
        <f>CCBASE!$I$4</f>
        <v/>
      </c>
      <c r="S330" s="633">
        <f>CCBASE!$I$8</f>
        <v/>
      </c>
      <c r="T330" s="633">
        <f>CCBASE!$I$44</f>
        <v/>
      </c>
      <c r="U330" s="633" t="n"/>
      <c r="V330" s="633" t="n"/>
      <c r="W330" s="633">
        <f>CCBASE!$I$40*B330/1000</f>
        <v/>
      </c>
      <c r="X330" s="633" t="n"/>
      <c r="Y330" s="633" t="n"/>
      <c r="Z330" s="633" t="n"/>
      <c r="AA330" s="633" t="n"/>
      <c r="AB330" s="633" t="n"/>
      <c r="AC330" s="633" t="n"/>
      <c r="AD330" s="633">
        <f>CCBASE!$I$36*2</f>
        <v/>
      </c>
    </row>
    <row r="331">
      <c r="A331" s="631" t="inlineStr">
        <is>
          <t>CMWI</t>
        </is>
      </c>
      <c r="B331" s="631" t="n">
        <v>2250</v>
      </c>
      <c r="C331" s="631" t="n">
        <v>1250</v>
      </c>
      <c r="D331" s="631">
        <f>A331&amp;B331&amp;C331</f>
        <v/>
      </c>
      <c r="E331" s="1040">
        <f>SUM(G331:AD331)</f>
        <v/>
      </c>
      <c r="F331" s="632" t="n">
        <v>21</v>
      </c>
      <c r="G331" s="633">
        <f>F331*CCBASE!$B$51</f>
        <v/>
      </c>
      <c r="H331" s="633">
        <f>CCBASE!$I$12*B331/1000</f>
        <v/>
      </c>
      <c r="I331" s="633" t="n"/>
      <c r="J331" s="633" t="n"/>
      <c r="K331" s="633" t="n"/>
      <c r="L331" s="633">
        <f>CCBASE!$I$14*B331/1000</f>
        <v/>
      </c>
      <c r="M331" s="633" t="n"/>
      <c r="N331" s="633" t="n"/>
      <c r="O331" s="633">
        <f>CCBASE!$I$45*B331/1000</f>
        <v/>
      </c>
      <c r="P331" s="633" t="n"/>
      <c r="Q331" s="633">
        <f>CCBASE!$H$51</f>
        <v/>
      </c>
      <c r="R331" s="633">
        <f>CCBASE!$I$4</f>
        <v/>
      </c>
      <c r="S331" s="633">
        <f>CCBASE!$I$8</f>
        <v/>
      </c>
      <c r="T331" s="633">
        <f>CCBASE!$I$44</f>
        <v/>
      </c>
      <c r="U331" s="633" t="n"/>
      <c r="V331" s="633" t="n"/>
      <c r="W331" s="633">
        <f>CCBASE!$I$40*B331/1000</f>
        <v/>
      </c>
      <c r="X331" s="633" t="n"/>
      <c r="Y331" s="633" t="n"/>
      <c r="Z331" s="633" t="n"/>
      <c r="AA331" s="633" t="n"/>
      <c r="AB331" s="633" t="n"/>
      <c r="AC331" s="633" t="n"/>
      <c r="AD331" s="633">
        <f>CCBASE!$I$36*2</f>
        <v/>
      </c>
    </row>
    <row r="332">
      <c r="A332" s="631" t="inlineStr">
        <is>
          <t>CMWI</t>
        </is>
      </c>
      <c r="B332" s="631" t="n">
        <v>2500</v>
      </c>
      <c r="C332" s="631" t="n">
        <v>1250</v>
      </c>
      <c r="D332" s="631">
        <f>A332&amp;B332&amp;C332</f>
        <v/>
      </c>
      <c r="E332" s="1040">
        <f>SUM(G332:AD332)</f>
        <v/>
      </c>
      <c r="F332" s="632" t="n">
        <v>21</v>
      </c>
      <c r="G332" s="633">
        <f>F332*CCBASE!$B$51</f>
        <v/>
      </c>
      <c r="H332" s="633">
        <f>CCBASE!$I$12*B332/1000</f>
        <v/>
      </c>
      <c r="I332" s="633" t="n"/>
      <c r="J332" s="633" t="n"/>
      <c r="K332" s="633" t="n"/>
      <c r="L332" s="633">
        <f>CCBASE!$I$14*B332/1000</f>
        <v/>
      </c>
      <c r="M332" s="633" t="n"/>
      <c r="N332" s="633" t="n"/>
      <c r="O332" s="633">
        <f>CCBASE!$I$45*B332/1000</f>
        <v/>
      </c>
      <c r="P332" s="633" t="n"/>
      <c r="Q332" s="633">
        <f>CCBASE!$H$51</f>
        <v/>
      </c>
      <c r="R332" s="633">
        <f>CCBASE!$I$4</f>
        <v/>
      </c>
      <c r="S332" s="633">
        <f>CCBASE!$I$8</f>
        <v/>
      </c>
      <c r="T332" s="633">
        <f>CCBASE!$I$44</f>
        <v/>
      </c>
      <c r="U332" s="633" t="n"/>
      <c r="V332" s="633" t="n"/>
      <c r="W332" s="633">
        <f>CCBASE!$I$40*B332/1000</f>
        <v/>
      </c>
      <c r="X332" s="633" t="n"/>
      <c r="Y332" s="633" t="n"/>
      <c r="Z332" s="633" t="n"/>
      <c r="AA332" s="633" t="n"/>
      <c r="AB332" s="633" t="n"/>
      <c r="AC332" s="633" t="n"/>
      <c r="AD332" s="633">
        <f>CCBASE!$I$36*2</f>
        <v/>
      </c>
    </row>
    <row r="333">
      <c r="A333" s="631" t="inlineStr">
        <is>
          <t>CMWI</t>
        </is>
      </c>
      <c r="B333" s="631" t="n">
        <v>2750</v>
      </c>
      <c r="C333" s="631" t="n">
        <v>1250</v>
      </c>
      <c r="D333" s="631">
        <f>A333&amp;B333&amp;C333</f>
        <v/>
      </c>
      <c r="E333" s="1040">
        <f>SUM(G333:AD333)</f>
        <v/>
      </c>
      <c r="F333" s="632" t="n">
        <v>21</v>
      </c>
      <c r="G333" s="633">
        <f>F333*CCBASE!$B$51</f>
        <v/>
      </c>
      <c r="H333" s="633">
        <f>CCBASE!$I$12*B333/1000</f>
        <v/>
      </c>
      <c r="I333" s="633" t="n"/>
      <c r="J333" s="633" t="n"/>
      <c r="K333" s="633" t="n"/>
      <c r="L333" s="633">
        <f>CCBASE!$I$14*B333/1000</f>
        <v/>
      </c>
      <c r="M333" s="633" t="n"/>
      <c r="N333" s="633" t="n"/>
      <c r="O333" s="633">
        <f>CCBASE!$I$45*B333/1000</f>
        <v/>
      </c>
      <c r="P333" s="633" t="n"/>
      <c r="Q333" s="633">
        <f>CCBASE!$H$51</f>
        <v/>
      </c>
      <c r="R333" s="633">
        <f>CCBASE!$I$4</f>
        <v/>
      </c>
      <c r="S333" s="633">
        <f>CCBASE!$I$8</f>
        <v/>
      </c>
      <c r="T333" s="633">
        <f>CCBASE!$I$44</f>
        <v/>
      </c>
      <c r="U333" s="633" t="n"/>
      <c r="V333" s="633" t="n"/>
      <c r="W333" s="633">
        <f>CCBASE!$I$40*B333/1000</f>
        <v/>
      </c>
      <c r="X333" s="633" t="n"/>
      <c r="Y333" s="633" t="n"/>
      <c r="Z333" s="633" t="n"/>
      <c r="AA333" s="633" t="n"/>
      <c r="AB333" s="633" t="n"/>
      <c r="AC333" s="633" t="n"/>
      <c r="AD333" s="633">
        <f>CCBASE!$I$36*2</f>
        <v/>
      </c>
    </row>
    <row r="334">
      <c r="A334" s="631" t="inlineStr">
        <is>
          <t>CMWI</t>
        </is>
      </c>
      <c r="B334" s="631" t="n">
        <v>3000</v>
      </c>
      <c r="C334" s="631" t="n">
        <v>1250</v>
      </c>
      <c r="D334" s="631">
        <f>A334&amp;B334&amp;C334</f>
        <v/>
      </c>
      <c r="E334" s="1040">
        <f>SUM(G334:AD334)</f>
        <v/>
      </c>
      <c r="F334" s="632" t="n">
        <v>21</v>
      </c>
      <c r="G334" s="633">
        <f>F334*CCBASE!$B$51</f>
        <v/>
      </c>
      <c r="H334" s="633">
        <f>CCBASE!$I$12*B334/1000</f>
        <v/>
      </c>
      <c r="I334" s="633" t="n"/>
      <c r="J334" s="633" t="n"/>
      <c r="K334" s="633" t="n"/>
      <c r="L334" s="633">
        <f>CCBASE!$I$14*B334/1000</f>
        <v/>
      </c>
      <c r="M334" s="633" t="n"/>
      <c r="N334" s="633" t="n"/>
      <c r="O334" s="633">
        <f>CCBASE!$I$45*B334/1000</f>
        <v/>
      </c>
      <c r="P334" s="633" t="n"/>
      <c r="Q334" s="633">
        <f>CCBASE!$H$51</f>
        <v/>
      </c>
      <c r="R334" s="633">
        <f>CCBASE!$I$4</f>
        <v/>
      </c>
      <c r="S334" s="633">
        <f>CCBASE!$I$8</f>
        <v/>
      </c>
      <c r="T334" s="633">
        <f>CCBASE!$I$44</f>
        <v/>
      </c>
      <c r="U334" s="633" t="n"/>
      <c r="V334" s="633" t="n"/>
      <c r="W334" s="633">
        <f>CCBASE!$I$40*B334/1000</f>
        <v/>
      </c>
      <c r="X334" s="633" t="n"/>
      <c r="Y334" s="633" t="n"/>
      <c r="Z334" s="633" t="n"/>
      <c r="AA334" s="633" t="n"/>
      <c r="AB334" s="633" t="n"/>
      <c r="AC334" s="633" t="n"/>
      <c r="AD334" s="633">
        <f>CCBASE!$I$36*2</f>
        <v/>
      </c>
    </row>
    <row r="335">
      <c r="A335" s="631" t="inlineStr">
        <is>
          <t>CMWI</t>
        </is>
      </c>
      <c r="B335" s="631" t="n">
        <v>1000</v>
      </c>
      <c r="C335" s="631" t="n">
        <v>1500</v>
      </c>
      <c r="D335" s="631">
        <f>A335&amp;B335&amp;C335</f>
        <v/>
      </c>
      <c r="E335" s="1040">
        <f>SUM(G335:AD335)</f>
        <v/>
      </c>
      <c r="F335" s="632" t="n">
        <v>20</v>
      </c>
      <c r="G335" s="633">
        <f>F335*CCBASE!$B$51</f>
        <v/>
      </c>
      <c r="H335" s="633">
        <f>CCBASE!$I$12*B335/1000</f>
        <v/>
      </c>
      <c r="I335" s="633" t="n"/>
      <c r="J335" s="633" t="n"/>
      <c r="K335" s="633" t="n"/>
      <c r="L335" s="633">
        <f>CCBASE!$I$14*B335/1000</f>
        <v/>
      </c>
      <c r="M335" s="633" t="n"/>
      <c r="N335" s="633" t="n"/>
      <c r="O335" s="633">
        <f>CCBASE!$I$45*B335/1000</f>
        <v/>
      </c>
      <c r="P335" s="633" t="n"/>
      <c r="Q335" s="633">
        <f>CCBASE!$H$51</f>
        <v/>
      </c>
      <c r="R335" s="633">
        <f>CCBASE!$I$4</f>
        <v/>
      </c>
      <c r="S335" s="633">
        <f>CCBASE!$I$8</f>
        <v/>
      </c>
      <c r="T335" s="633">
        <f>CCBASE!$I$44</f>
        <v/>
      </c>
      <c r="U335" s="633" t="n"/>
      <c r="V335" s="633" t="n"/>
      <c r="W335" s="633">
        <f>CCBASE!$I$41*B335/1000</f>
        <v/>
      </c>
      <c r="X335" s="633" t="n"/>
      <c r="Y335" s="633" t="n"/>
      <c r="Z335" s="633" t="n"/>
      <c r="AA335" s="633" t="n"/>
      <c r="AB335" s="633" t="n"/>
      <c r="AC335" s="633" t="n"/>
      <c r="AD335" s="633">
        <f>CCBASE!$I$37*2</f>
        <v/>
      </c>
    </row>
    <row r="336">
      <c r="A336" s="631" t="inlineStr">
        <is>
          <t>CMWI</t>
        </is>
      </c>
      <c r="B336" s="631" t="n">
        <v>1250</v>
      </c>
      <c r="C336" s="631" t="n">
        <v>1500</v>
      </c>
      <c r="D336" s="631">
        <f>A336&amp;B336&amp;C336</f>
        <v/>
      </c>
      <c r="E336" s="1040">
        <f>SUM(G336:AD336)</f>
        <v/>
      </c>
      <c r="F336" s="632" t="n">
        <v>20</v>
      </c>
      <c r="G336" s="633">
        <f>F336*CCBASE!$B$51</f>
        <v/>
      </c>
      <c r="H336" s="633">
        <f>CCBASE!$I$12*B336/1000</f>
        <v/>
      </c>
      <c r="I336" s="633" t="n"/>
      <c r="J336" s="633" t="n"/>
      <c r="K336" s="633" t="n"/>
      <c r="L336" s="633">
        <f>CCBASE!$I$14*B336/1000</f>
        <v/>
      </c>
      <c r="M336" s="633" t="n"/>
      <c r="N336" s="633" t="n"/>
      <c r="O336" s="633">
        <f>CCBASE!$I$45*B336/1000</f>
        <v/>
      </c>
      <c r="P336" s="633" t="n"/>
      <c r="Q336" s="633">
        <f>CCBASE!$H$51</f>
        <v/>
      </c>
      <c r="R336" s="633">
        <f>CCBASE!$I$4</f>
        <v/>
      </c>
      <c r="S336" s="633">
        <f>CCBASE!$I$8</f>
        <v/>
      </c>
      <c r="T336" s="633">
        <f>CCBASE!$I$44</f>
        <v/>
      </c>
      <c r="U336" s="633" t="n"/>
      <c r="V336" s="633" t="n"/>
      <c r="W336" s="633">
        <f>CCBASE!$I$41*B336/1000</f>
        <v/>
      </c>
      <c r="X336" s="633" t="n"/>
      <c r="Y336" s="633" t="n"/>
      <c r="Z336" s="633" t="n"/>
      <c r="AA336" s="633" t="n"/>
      <c r="AB336" s="633" t="n"/>
      <c r="AC336" s="633" t="n"/>
      <c r="AD336" s="633">
        <f>CCBASE!$I$37*2</f>
        <v/>
      </c>
    </row>
    <row r="337">
      <c r="A337" s="631" t="inlineStr">
        <is>
          <t>CMWI</t>
        </is>
      </c>
      <c r="B337" s="631" t="n">
        <v>1500</v>
      </c>
      <c r="C337" s="631" t="n">
        <v>1500</v>
      </c>
      <c r="D337" s="631">
        <f>A337&amp;B337&amp;C337</f>
        <v/>
      </c>
      <c r="E337" s="1040">
        <f>SUM(G337:AD337)</f>
        <v/>
      </c>
      <c r="F337" s="632" t="n">
        <v>20</v>
      </c>
      <c r="G337" s="633">
        <f>F337*CCBASE!$B$51</f>
        <v/>
      </c>
      <c r="H337" s="633">
        <f>CCBASE!$I$12*B337/1000</f>
        <v/>
      </c>
      <c r="I337" s="633" t="n"/>
      <c r="J337" s="633" t="n"/>
      <c r="K337" s="633" t="n"/>
      <c r="L337" s="633">
        <f>CCBASE!$I$14*B337/1000</f>
        <v/>
      </c>
      <c r="M337" s="633" t="n"/>
      <c r="N337" s="633" t="n"/>
      <c r="O337" s="633">
        <f>CCBASE!$I$45*B337/1000</f>
        <v/>
      </c>
      <c r="P337" s="633" t="n"/>
      <c r="Q337" s="633">
        <f>CCBASE!$H$51</f>
        <v/>
      </c>
      <c r="R337" s="633">
        <f>CCBASE!$I$4</f>
        <v/>
      </c>
      <c r="S337" s="633">
        <f>CCBASE!$I$8</f>
        <v/>
      </c>
      <c r="T337" s="633">
        <f>CCBASE!$I$44</f>
        <v/>
      </c>
      <c r="U337" s="633" t="n"/>
      <c r="V337" s="633" t="n"/>
      <c r="W337" s="633">
        <f>CCBASE!$I$41*B337/1000</f>
        <v/>
      </c>
      <c r="X337" s="633" t="n"/>
      <c r="Y337" s="633" t="n"/>
      <c r="Z337" s="633" t="n"/>
      <c r="AA337" s="633" t="n"/>
      <c r="AB337" s="633" t="n"/>
      <c r="AC337" s="633" t="n"/>
      <c r="AD337" s="633">
        <f>CCBASE!$I$37*2</f>
        <v/>
      </c>
    </row>
    <row r="338">
      <c r="A338" s="631" t="inlineStr">
        <is>
          <t>CMWI</t>
        </is>
      </c>
      <c r="B338" s="631" t="n">
        <v>1750</v>
      </c>
      <c r="C338" s="631" t="n">
        <v>1500</v>
      </c>
      <c r="D338" s="631">
        <f>A338&amp;B338&amp;C338</f>
        <v/>
      </c>
      <c r="E338" s="1040">
        <f>SUM(G338:AD338)</f>
        <v/>
      </c>
      <c r="F338" s="632" t="n">
        <v>20</v>
      </c>
      <c r="G338" s="633">
        <f>F338*CCBASE!$B$51</f>
        <v/>
      </c>
      <c r="H338" s="633">
        <f>CCBASE!$I$12*B338/1000</f>
        <v/>
      </c>
      <c r="I338" s="633" t="n"/>
      <c r="J338" s="633" t="n"/>
      <c r="K338" s="633" t="n"/>
      <c r="L338" s="633">
        <f>CCBASE!$I$14*B338/1000</f>
        <v/>
      </c>
      <c r="M338" s="633" t="n"/>
      <c r="N338" s="633" t="n"/>
      <c r="O338" s="633">
        <f>CCBASE!$I$45*B338/1000</f>
        <v/>
      </c>
      <c r="P338" s="633" t="n"/>
      <c r="Q338" s="633">
        <f>CCBASE!$H$51</f>
        <v/>
      </c>
      <c r="R338" s="633">
        <f>CCBASE!$I$4</f>
        <v/>
      </c>
      <c r="S338" s="633">
        <f>CCBASE!$I$8</f>
        <v/>
      </c>
      <c r="T338" s="633">
        <f>CCBASE!$I$44</f>
        <v/>
      </c>
      <c r="U338" s="633" t="n"/>
      <c r="V338" s="633" t="n"/>
      <c r="W338" s="633">
        <f>CCBASE!$I$41*B338/1000</f>
        <v/>
      </c>
      <c r="X338" s="633" t="n"/>
      <c r="Y338" s="633" t="n"/>
      <c r="Z338" s="633" t="n"/>
      <c r="AA338" s="633" t="n"/>
      <c r="AB338" s="633" t="n"/>
      <c r="AC338" s="633" t="n"/>
      <c r="AD338" s="633">
        <f>CCBASE!$I$37*2</f>
        <v/>
      </c>
    </row>
    <row r="339">
      <c r="A339" s="631" t="inlineStr">
        <is>
          <t>CMWI</t>
        </is>
      </c>
      <c r="B339" s="631" t="n">
        <v>2000</v>
      </c>
      <c r="C339" s="631" t="n">
        <v>1500</v>
      </c>
      <c r="D339" s="631">
        <f>A339&amp;B339&amp;C339</f>
        <v/>
      </c>
      <c r="E339" s="1040">
        <f>SUM(G339:AD339)</f>
        <v/>
      </c>
      <c r="F339" s="632" t="n">
        <v>20</v>
      </c>
      <c r="G339" s="633">
        <f>F339*CCBASE!$B$51</f>
        <v/>
      </c>
      <c r="H339" s="633">
        <f>CCBASE!$I$12*B339/1000</f>
        <v/>
      </c>
      <c r="I339" s="633" t="n"/>
      <c r="J339" s="633" t="n"/>
      <c r="K339" s="633" t="n"/>
      <c r="L339" s="633">
        <f>CCBASE!$I$14*B339/1000</f>
        <v/>
      </c>
      <c r="M339" s="633" t="n"/>
      <c r="N339" s="633" t="n"/>
      <c r="O339" s="633">
        <f>CCBASE!$I$45*B339/1000</f>
        <v/>
      </c>
      <c r="P339" s="633" t="n"/>
      <c r="Q339" s="633">
        <f>CCBASE!$H$51</f>
        <v/>
      </c>
      <c r="R339" s="633">
        <f>CCBASE!$I$4</f>
        <v/>
      </c>
      <c r="S339" s="633">
        <f>CCBASE!$I$8</f>
        <v/>
      </c>
      <c r="T339" s="633">
        <f>CCBASE!$I$44</f>
        <v/>
      </c>
      <c r="U339" s="633" t="n"/>
      <c r="V339" s="633" t="n"/>
      <c r="W339" s="633">
        <f>CCBASE!$I$41*B339/1000</f>
        <v/>
      </c>
      <c r="X339" s="633" t="n"/>
      <c r="Y339" s="633" t="n"/>
      <c r="Z339" s="633" t="n"/>
      <c r="AA339" s="633" t="n"/>
      <c r="AB339" s="633" t="n"/>
      <c r="AC339" s="633" t="n"/>
      <c r="AD339" s="633">
        <f>CCBASE!$I$37*2</f>
        <v/>
      </c>
    </row>
    <row r="340">
      <c r="A340" s="631" t="inlineStr">
        <is>
          <t>CMWI</t>
        </is>
      </c>
      <c r="B340" s="631" t="n">
        <v>2250</v>
      </c>
      <c r="C340" s="631" t="n">
        <v>1500</v>
      </c>
      <c r="D340" s="631">
        <f>A340&amp;B340&amp;C340</f>
        <v/>
      </c>
      <c r="E340" s="1040">
        <f>SUM(G340:AD340)</f>
        <v/>
      </c>
      <c r="F340" s="632" t="n">
        <v>21</v>
      </c>
      <c r="G340" s="633">
        <f>F340*CCBASE!$B$51</f>
        <v/>
      </c>
      <c r="H340" s="633">
        <f>CCBASE!$I$12*B340/1000</f>
        <v/>
      </c>
      <c r="I340" s="633" t="n"/>
      <c r="J340" s="633" t="n"/>
      <c r="K340" s="633" t="n"/>
      <c r="L340" s="633">
        <f>CCBASE!$I$14*B340/1000</f>
        <v/>
      </c>
      <c r="M340" s="633" t="n"/>
      <c r="N340" s="633" t="n"/>
      <c r="O340" s="633">
        <f>CCBASE!$I$45*B340/1000</f>
        <v/>
      </c>
      <c r="P340" s="633" t="n"/>
      <c r="Q340" s="633">
        <f>CCBASE!$H$51</f>
        <v/>
      </c>
      <c r="R340" s="633">
        <f>CCBASE!$I$4</f>
        <v/>
      </c>
      <c r="S340" s="633">
        <f>CCBASE!$I$8</f>
        <v/>
      </c>
      <c r="T340" s="633">
        <f>CCBASE!$I$44</f>
        <v/>
      </c>
      <c r="U340" s="633" t="n"/>
      <c r="V340" s="633" t="n"/>
      <c r="W340" s="633">
        <f>CCBASE!$I$41*B340/1000</f>
        <v/>
      </c>
      <c r="X340" s="633" t="n"/>
      <c r="Y340" s="633" t="n"/>
      <c r="Z340" s="633" t="n"/>
      <c r="AA340" s="633" t="n"/>
      <c r="AB340" s="633" t="n"/>
      <c r="AC340" s="633" t="n"/>
      <c r="AD340" s="633">
        <f>CCBASE!$I$37*2</f>
        <v/>
      </c>
    </row>
    <row r="341">
      <c r="A341" s="631" t="inlineStr">
        <is>
          <t>CMWI</t>
        </is>
      </c>
      <c r="B341" s="631" t="n">
        <v>2500</v>
      </c>
      <c r="C341" s="631" t="n">
        <v>1500</v>
      </c>
      <c r="D341" s="631">
        <f>A341&amp;B341&amp;C341</f>
        <v/>
      </c>
      <c r="E341" s="1040">
        <f>SUM(G341:AD341)</f>
        <v/>
      </c>
      <c r="F341" s="632" t="n">
        <v>21</v>
      </c>
      <c r="G341" s="633">
        <f>F341*CCBASE!$B$51</f>
        <v/>
      </c>
      <c r="H341" s="633">
        <f>CCBASE!$I$12*B341/1000</f>
        <v/>
      </c>
      <c r="I341" s="633" t="n"/>
      <c r="J341" s="633" t="n"/>
      <c r="K341" s="633" t="n"/>
      <c r="L341" s="633">
        <f>CCBASE!$I$14*B341/1000</f>
        <v/>
      </c>
      <c r="M341" s="633" t="n"/>
      <c r="N341" s="633" t="n"/>
      <c r="O341" s="633">
        <f>CCBASE!$I$45*B341/1000</f>
        <v/>
      </c>
      <c r="P341" s="633" t="n"/>
      <c r="Q341" s="633">
        <f>CCBASE!$H$51</f>
        <v/>
      </c>
      <c r="R341" s="633">
        <f>CCBASE!$I$4</f>
        <v/>
      </c>
      <c r="S341" s="633">
        <f>CCBASE!$I$8</f>
        <v/>
      </c>
      <c r="T341" s="633">
        <f>CCBASE!$I$44</f>
        <v/>
      </c>
      <c r="U341" s="633" t="n"/>
      <c r="V341" s="633" t="n"/>
      <c r="W341" s="633">
        <f>CCBASE!$I$41*B341/1000</f>
        <v/>
      </c>
      <c r="X341" s="633" t="n"/>
      <c r="Y341" s="633" t="n"/>
      <c r="Z341" s="633" t="n"/>
      <c r="AA341" s="633" t="n"/>
      <c r="AB341" s="633" t="n"/>
      <c r="AC341" s="633" t="n"/>
      <c r="AD341" s="633">
        <f>CCBASE!$I$37*2</f>
        <v/>
      </c>
    </row>
    <row r="342">
      <c r="A342" s="631" t="inlineStr">
        <is>
          <t>CMWI</t>
        </is>
      </c>
      <c r="B342" s="631" t="n">
        <v>2750</v>
      </c>
      <c r="C342" s="631" t="n">
        <v>1500</v>
      </c>
      <c r="D342" s="631">
        <f>A342&amp;B342&amp;C342</f>
        <v/>
      </c>
      <c r="E342" s="1040">
        <f>SUM(G342:AD342)</f>
        <v/>
      </c>
      <c r="F342" s="632" t="n">
        <v>21</v>
      </c>
      <c r="G342" s="633">
        <f>F342*CCBASE!$B$51</f>
        <v/>
      </c>
      <c r="H342" s="633">
        <f>CCBASE!$I$12*B342/1000</f>
        <v/>
      </c>
      <c r="I342" s="633" t="n"/>
      <c r="J342" s="633" t="n"/>
      <c r="K342" s="633" t="n"/>
      <c r="L342" s="633">
        <f>CCBASE!$I$14*B342/1000</f>
        <v/>
      </c>
      <c r="M342" s="633" t="n"/>
      <c r="N342" s="633" t="n"/>
      <c r="O342" s="633">
        <f>CCBASE!$I$45*B342/1000</f>
        <v/>
      </c>
      <c r="P342" s="633" t="n"/>
      <c r="Q342" s="633">
        <f>CCBASE!$H$51</f>
        <v/>
      </c>
      <c r="R342" s="633">
        <f>CCBASE!$I$4</f>
        <v/>
      </c>
      <c r="S342" s="633">
        <f>CCBASE!$I$8</f>
        <v/>
      </c>
      <c r="T342" s="633">
        <f>CCBASE!$I$44</f>
        <v/>
      </c>
      <c r="U342" s="633" t="n"/>
      <c r="V342" s="633" t="n"/>
      <c r="W342" s="633">
        <f>CCBASE!$I$41*B342/1000</f>
        <v/>
      </c>
      <c r="X342" s="633" t="n"/>
      <c r="Y342" s="633" t="n"/>
      <c r="Z342" s="633" t="n"/>
      <c r="AA342" s="633" t="n"/>
      <c r="AB342" s="633" t="n"/>
      <c r="AC342" s="633" t="n"/>
      <c r="AD342" s="633">
        <f>CCBASE!$I$37*2</f>
        <v/>
      </c>
    </row>
    <row r="343">
      <c r="A343" s="631" t="inlineStr">
        <is>
          <t>CMWI</t>
        </is>
      </c>
      <c r="B343" s="631" t="n">
        <v>3000</v>
      </c>
      <c r="C343" s="631" t="n">
        <v>1500</v>
      </c>
      <c r="D343" s="631">
        <f>A343&amp;B343&amp;C343</f>
        <v/>
      </c>
      <c r="E343" s="1040">
        <f>SUM(G343:AD343)</f>
        <v/>
      </c>
      <c r="F343" s="632" t="n">
        <v>21</v>
      </c>
      <c r="G343" s="633">
        <f>F343*CCBASE!$B$51</f>
        <v/>
      </c>
      <c r="H343" s="633">
        <f>CCBASE!$I$12*B343/1000</f>
        <v/>
      </c>
      <c r="I343" s="633" t="n"/>
      <c r="J343" s="633" t="n"/>
      <c r="K343" s="633" t="n"/>
      <c r="L343" s="633">
        <f>CCBASE!$I$14*B343/1000</f>
        <v/>
      </c>
      <c r="M343" s="633" t="n"/>
      <c r="N343" s="633" t="n"/>
      <c r="O343" s="633">
        <f>CCBASE!$I$45*B343/1000</f>
        <v/>
      </c>
      <c r="P343" s="633" t="n"/>
      <c r="Q343" s="633">
        <f>CCBASE!$H$51</f>
        <v/>
      </c>
      <c r="R343" s="633">
        <f>CCBASE!$I$4</f>
        <v/>
      </c>
      <c r="S343" s="633">
        <f>CCBASE!$I$8</f>
        <v/>
      </c>
      <c r="T343" s="633">
        <f>CCBASE!$I$44</f>
        <v/>
      </c>
      <c r="U343" s="633" t="n"/>
      <c r="V343" s="633" t="n"/>
      <c r="W343" s="633">
        <f>CCBASE!$I$41*B343/1000</f>
        <v/>
      </c>
      <c r="X343" s="633" t="n"/>
      <c r="Y343" s="633" t="n"/>
      <c r="Z343" s="633" t="n"/>
      <c r="AA343" s="633" t="n"/>
      <c r="AB343" s="633" t="n"/>
      <c r="AC343" s="633" t="n"/>
      <c r="AD343" s="633">
        <f>CCBASE!$I$37*2</f>
        <v/>
      </c>
    </row>
    <row r="344">
      <c r="A344" s="631" t="inlineStr">
        <is>
          <t>CMWI</t>
        </is>
      </c>
      <c r="B344" s="631" t="n">
        <v>1000</v>
      </c>
      <c r="C344" s="631" t="n">
        <v>1750</v>
      </c>
      <c r="D344" s="631">
        <f>A344&amp;B344&amp;C344</f>
        <v/>
      </c>
      <c r="E344" s="1040">
        <f>SUM(G344:AD344)</f>
        <v/>
      </c>
      <c r="F344" s="632" t="n">
        <v>20</v>
      </c>
      <c r="G344" s="633">
        <f>F344*CCBASE!$B$51</f>
        <v/>
      </c>
      <c r="H344" s="633">
        <f>CCBASE!$I$12*B344/1000</f>
        <v/>
      </c>
      <c r="I344" s="633" t="n"/>
      <c r="J344" s="633" t="n"/>
      <c r="K344" s="633" t="n"/>
      <c r="L344" s="633">
        <f>CCBASE!$I$14*B344/1000</f>
        <v/>
      </c>
      <c r="M344" s="633" t="n"/>
      <c r="N344" s="633" t="n"/>
      <c r="O344" s="633">
        <f>CCBASE!$I$45*B344/1000</f>
        <v/>
      </c>
      <c r="P344" s="633" t="n"/>
      <c r="Q344" s="633">
        <f>CCBASE!$H$51</f>
        <v/>
      </c>
      <c r="R344" s="633">
        <f>CCBASE!$I$4</f>
        <v/>
      </c>
      <c r="S344" s="633">
        <f>CCBASE!$I$8</f>
        <v/>
      </c>
      <c r="T344" s="633">
        <f>CCBASE!$I$44</f>
        <v/>
      </c>
      <c r="U344" s="632" t="n"/>
      <c r="V344" s="632" t="n"/>
      <c r="W344" s="633">
        <f>CCBASE!$I$42*B344/1000</f>
        <v/>
      </c>
      <c r="X344" s="633" t="n"/>
      <c r="Y344" s="633" t="n"/>
      <c r="Z344" s="633" t="n"/>
      <c r="AA344" s="633" t="n"/>
      <c r="AB344" s="633" t="n"/>
      <c r="AC344" s="633" t="n"/>
      <c r="AD344" s="633">
        <f>CCBASE!$I$38*2</f>
        <v/>
      </c>
    </row>
    <row r="345">
      <c r="A345" s="631" t="inlineStr">
        <is>
          <t>CMWI</t>
        </is>
      </c>
      <c r="B345" s="631" t="n">
        <v>1250</v>
      </c>
      <c r="C345" s="631" t="n">
        <v>1750</v>
      </c>
      <c r="D345" s="631">
        <f>A345&amp;B345&amp;C345</f>
        <v/>
      </c>
      <c r="E345" s="1040">
        <f>SUM(G345:AD345)</f>
        <v/>
      </c>
      <c r="F345" s="632" t="n">
        <v>20</v>
      </c>
      <c r="G345" s="633">
        <f>F345*CCBASE!$B$51</f>
        <v/>
      </c>
      <c r="H345" s="633">
        <f>CCBASE!$I$12*B345/1000</f>
        <v/>
      </c>
      <c r="I345" s="633" t="n"/>
      <c r="J345" s="633" t="n"/>
      <c r="K345" s="633" t="n"/>
      <c r="L345" s="633">
        <f>CCBASE!$I$14*B345/1000</f>
        <v/>
      </c>
      <c r="M345" s="633" t="n"/>
      <c r="N345" s="633" t="n"/>
      <c r="O345" s="633">
        <f>CCBASE!$I$45*B345/1000</f>
        <v/>
      </c>
      <c r="P345" s="633" t="n"/>
      <c r="Q345" s="633">
        <f>CCBASE!$H$51</f>
        <v/>
      </c>
      <c r="R345" s="633">
        <f>CCBASE!$I$4</f>
        <v/>
      </c>
      <c r="S345" s="633">
        <f>CCBASE!$I$8</f>
        <v/>
      </c>
      <c r="T345" s="633">
        <f>CCBASE!$I$44</f>
        <v/>
      </c>
      <c r="U345" s="632" t="n"/>
      <c r="V345" s="632" t="n"/>
      <c r="W345" s="633">
        <f>CCBASE!$I$42*B345/1000</f>
        <v/>
      </c>
      <c r="X345" s="633" t="n"/>
      <c r="Y345" s="633" t="n"/>
      <c r="Z345" s="633" t="n"/>
      <c r="AA345" s="633" t="n"/>
      <c r="AB345" s="633" t="n"/>
      <c r="AC345" s="633" t="n"/>
      <c r="AD345" s="633">
        <f>CCBASE!$I$38*2</f>
        <v/>
      </c>
    </row>
    <row r="346">
      <c r="A346" s="631" t="inlineStr">
        <is>
          <t>CMWI</t>
        </is>
      </c>
      <c r="B346" s="631" t="n">
        <v>1500</v>
      </c>
      <c r="C346" s="631" t="n">
        <v>1750</v>
      </c>
      <c r="D346" s="631">
        <f>A346&amp;B346&amp;C346</f>
        <v/>
      </c>
      <c r="E346" s="1040">
        <f>SUM(G346:AD346)</f>
        <v/>
      </c>
      <c r="F346" s="632" t="n">
        <v>20</v>
      </c>
      <c r="G346" s="633">
        <f>F346*CCBASE!$B$51</f>
        <v/>
      </c>
      <c r="H346" s="633">
        <f>CCBASE!$I$12*B346/1000</f>
        <v/>
      </c>
      <c r="I346" s="633" t="n"/>
      <c r="J346" s="633" t="n"/>
      <c r="K346" s="633" t="n"/>
      <c r="L346" s="633">
        <f>CCBASE!$I$14*B346/1000</f>
        <v/>
      </c>
      <c r="M346" s="633" t="n"/>
      <c r="N346" s="633" t="n"/>
      <c r="O346" s="633">
        <f>CCBASE!$I$45*B346/1000</f>
        <v/>
      </c>
      <c r="P346" s="633" t="n"/>
      <c r="Q346" s="633">
        <f>CCBASE!$H$51</f>
        <v/>
      </c>
      <c r="R346" s="633">
        <f>CCBASE!$I$4</f>
        <v/>
      </c>
      <c r="S346" s="633">
        <f>CCBASE!$I$8</f>
        <v/>
      </c>
      <c r="T346" s="633">
        <f>CCBASE!$I$44</f>
        <v/>
      </c>
      <c r="U346" s="632" t="n"/>
      <c r="V346" s="632" t="n"/>
      <c r="W346" s="633">
        <f>CCBASE!$I$42*B346/1000</f>
        <v/>
      </c>
      <c r="X346" s="633" t="n"/>
      <c r="Y346" s="633" t="n"/>
      <c r="Z346" s="633" t="n"/>
      <c r="AA346" s="633" t="n"/>
      <c r="AB346" s="633" t="n"/>
      <c r="AC346" s="633" t="n"/>
      <c r="AD346" s="633">
        <f>CCBASE!$I$38*2</f>
        <v/>
      </c>
    </row>
    <row r="347">
      <c r="A347" s="631" t="inlineStr">
        <is>
          <t>CMWI</t>
        </is>
      </c>
      <c r="B347" s="631" t="n">
        <v>1750</v>
      </c>
      <c r="C347" s="631" t="n">
        <v>1750</v>
      </c>
      <c r="D347" s="631">
        <f>A347&amp;B347&amp;C347</f>
        <v/>
      </c>
      <c r="E347" s="1040">
        <f>SUM(G347:AD347)</f>
        <v/>
      </c>
      <c r="F347" s="632" t="n">
        <v>20</v>
      </c>
      <c r="G347" s="633">
        <f>F347*CCBASE!$B$51</f>
        <v/>
      </c>
      <c r="H347" s="633">
        <f>CCBASE!$I$12*B347/1000</f>
        <v/>
      </c>
      <c r="I347" s="633" t="n"/>
      <c r="J347" s="633" t="n"/>
      <c r="K347" s="633" t="n"/>
      <c r="L347" s="633">
        <f>CCBASE!$I$14*B347/1000</f>
        <v/>
      </c>
      <c r="M347" s="633" t="n"/>
      <c r="N347" s="633" t="n"/>
      <c r="O347" s="633">
        <f>CCBASE!$I$45*B347/1000</f>
        <v/>
      </c>
      <c r="P347" s="633" t="n"/>
      <c r="Q347" s="633">
        <f>CCBASE!$H$51</f>
        <v/>
      </c>
      <c r="R347" s="633">
        <f>CCBASE!$I$4</f>
        <v/>
      </c>
      <c r="S347" s="633">
        <f>CCBASE!$I$8</f>
        <v/>
      </c>
      <c r="T347" s="633">
        <f>CCBASE!$I$44</f>
        <v/>
      </c>
      <c r="U347" s="632" t="n"/>
      <c r="V347" s="632" t="n"/>
      <c r="W347" s="633">
        <f>CCBASE!$I$42*B347/1000</f>
        <v/>
      </c>
      <c r="X347" s="633" t="n"/>
      <c r="Y347" s="633" t="n"/>
      <c r="Z347" s="633" t="n"/>
      <c r="AA347" s="633" t="n"/>
      <c r="AB347" s="633" t="n"/>
      <c r="AC347" s="633" t="n"/>
      <c r="AD347" s="633">
        <f>CCBASE!$I$38*2</f>
        <v/>
      </c>
    </row>
    <row r="348">
      <c r="A348" s="631" t="inlineStr">
        <is>
          <t>CMWI</t>
        </is>
      </c>
      <c r="B348" s="631" t="n">
        <v>2000</v>
      </c>
      <c r="C348" s="631" t="n">
        <v>1750</v>
      </c>
      <c r="D348" s="631">
        <f>A348&amp;B348&amp;C348</f>
        <v/>
      </c>
      <c r="E348" s="1040">
        <f>SUM(G348:AD348)</f>
        <v/>
      </c>
      <c r="F348" s="632" t="n">
        <v>20</v>
      </c>
      <c r="G348" s="633">
        <f>F348*CCBASE!$B$51</f>
        <v/>
      </c>
      <c r="H348" s="633">
        <f>CCBASE!$I$12*B348/1000</f>
        <v/>
      </c>
      <c r="I348" s="633" t="n"/>
      <c r="J348" s="633" t="n"/>
      <c r="K348" s="633" t="n"/>
      <c r="L348" s="633">
        <f>CCBASE!$I$14*B348/1000</f>
        <v/>
      </c>
      <c r="M348" s="633" t="n"/>
      <c r="N348" s="633" t="n"/>
      <c r="O348" s="633">
        <f>CCBASE!$I$45*B348/1000</f>
        <v/>
      </c>
      <c r="P348" s="633" t="n"/>
      <c r="Q348" s="633">
        <f>CCBASE!$H$51</f>
        <v/>
      </c>
      <c r="R348" s="633">
        <f>CCBASE!$I$4</f>
        <v/>
      </c>
      <c r="S348" s="633">
        <f>CCBASE!$I$8</f>
        <v/>
      </c>
      <c r="T348" s="633">
        <f>CCBASE!$I$44</f>
        <v/>
      </c>
      <c r="U348" s="632" t="n"/>
      <c r="V348" s="632" t="n"/>
      <c r="W348" s="633">
        <f>CCBASE!$I$42*B348/1000</f>
        <v/>
      </c>
      <c r="X348" s="633" t="n"/>
      <c r="Y348" s="633" t="n"/>
      <c r="Z348" s="633" t="n"/>
      <c r="AA348" s="633" t="n"/>
      <c r="AB348" s="633" t="n"/>
      <c r="AC348" s="633" t="n"/>
      <c r="AD348" s="633">
        <f>CCBASE!$I$38*2</f>
        <v/>
      </c>
    </row>
    <row r="349">
      <c r="A349" s="631" t="inlineStr">
        <is>
          <t>CMWI</t>
        </is>
      </c>
      <c r="B349" s="631" t="n">
        <v>2250</v>
      </c>
      <c r="C349" s="631" t="n">
        <v>1750</v>
      </c>
      <c r="D349" s="631">
        <f>A349&amp;B349&amp;C349</f>
        <v/>
      </c>
      <c r="E349" s="1040">
        <f>SUM(G349:AD349)</f>
        <v/>
      </c>
      <c r="F349" s="632" t="n">
        <v>21</v>
      </c>
      <c r="G349" s="633">
        <f>F349*CCBASE!$B$51</f>
        <v/>
      </c>
      <c r="H349" s="633">
        <f>CCBASE!$I$12*B349/1000</f>
        <v/>
      </c>
      <c r="I349" s="633" t="n"/>
      <c r="J349" s="633" t="n"/>
      <c r="K349" s="633" t="n"/>
      <c r="L349" s="633">
        <f>CCBASE!$I$14*B349/1000</f>
        <v/>
      </c>
      <c r="M349" s="633" t="n"/>
      <c r="N349" s="633" t="n"/>
      <c r="O349" s="633">
        <f>CCBASE!$I$45*B349/1000</f>
        <v/>
      </c>
      <c r="P349" s="633" t="n"/>
      <c r="Q349" s="633">
        <f>CCBASE!$H$51</f>
        <v/>
      </c>
      <c r="R349" s="633">
        <f>CCBASE!$I$4</f>
        <v/>
      </c>
      <c r="S349" s="633">
        <f>CCBASE!$I$8</f>
        <v/>
      </c>
      <c r="T349" s="633">
        <f>CCBASE!$I$44</f>
        <v/>
      </c>
      <c r="U349" s="632" t="n"/>
      <c r="V349" s="632" t="n"/>
      <c r="W349" s="633">
        <f>CCBASE!$I$42*B349/1000</f>
        <v/>
      </c>
      <c r="X349" s="633" t="n"/>
      <c r="Y349" s="633" t="n"/>
      <c r="Z349" s="633" t="n"/>
      <c r="AA349" s="633" t="n"/>
      <c r="AB349" s="633" t="n"/>
      <c r="AC349" s="633" t="n"/>
      <c r="AD349" s="633">
        <f>CCBASE!$I$38*2</f>
        <v/>
      </c>
    </row>
    <row r="350">
      <c r="A350" s="631" t="inlineStr">
        <is>
          <t>CMWI</t>
        </is>
      </c>
      <c r="B350" s="631" t="n">
        <v>2500</v>
      </c>
      <c r="C350" s="631" t="n">
        <v>1750</v>
      </c>
      <c r="D350" s="631">
        <f>A350&amp;B350&amp;C350</f>
        <v/>
      </c>
      <c r="E350" s="1040">
        <f>SUM(G350:AD350)</f>
        <v/>
      </c>
      <c r="F350" s="632" t="n">
        <v>21</v>
      </c>
      <c r="G350" s="633">
        <f>F350*CCBASE!$B$51</f>
        <v/>
      </c>
      <c r="H350" s="633">
        <f>CCBASE!$I$12*B350/1000</f>
        <v/>
      </c>
      <c r="I350" s="633" t="n"/>
      <c r="J350" s="633" t="n"/>
      <c r="K350" s="633" t="n"/>
      <c r="L350" s="633">
        <f>CCBASE!$I$14*B350/1000</f>
        <v/>
      </c>
      <c r="M350" s="633" t="n"/>
      <c r="N350" s="633" t="n"/>
      <c r="O350" s="633">
        <f>CCBASE!$I$45*B350/1000</f>
        <v/>
      </c>
      <c r="P350" s="633" t="n"/>
      <c r="Q350" s="633">
        <f>CCBASE!$H$51</f>
        <v/>
      </c>
      <c r="R350" s="633">
        <f>CCBASE!$I$4</f>
        <v/>
      </c>
      <c r="S350" s="633">
        <f>CCBASE!$I$8</f>
        <v/>
      </c>
      <c r="T350" s="633">
        <f>CCBASE!$I$44</f>
        <v/>
      </c>
      <c r="U350" s="632" t="n"/>
      <c r="V350" s="632" t="n"/>
      <c r="W350" s="633">
        <f>CCBASE!$I$42*B350/1000</f>
        <v/>
      </c>
      <c r="X350" s="633" t="n"/>
      <c r="Y350" s="633" t="n"/>
      <c r="Z350" s="633" t="n"/>
      <c r="AA350" s="633" t="n"/>
      <c r="AB350" s="633" t="n"/>
      <c r="AC350" s="633" t="n"/>
      <c r="AD350" s="633">
        <f>CCBASE!$I$38*2</f>
        <v/>
      </c>
    </row>
    <row r="351">
      <c r="A351" s="631" t="inlineStr">
        <is>
          <t>CMWI</t>
        </is>
      </c>
      <c r="B351" s="631" t="n">
        <v>2750</v>
      </c>
      <c r="C351" s="631" t="n">
        <v>1750</v>
      </c>
      <c r="D351" s="631">
        <f>A351&amp;B351&amp;C351</f>
        <v/>
      </c>
      <c r="E351" s="1040">
        <f>SUM(G351:AD351)</f>
        <v/>
      </c>
      <c r="F351" s="632" t="n">
        <v>21</v>
      </c>
      <c r="G351" s="633">
        <f>F351*CCBASE!$B$51</f>
        <v/>
      </c>
      <c r="H351" s="633">
        <f>CCBASE!$I$12*B351/1000</f>
        <v/>
      </c>
      <c r="I351" s="633" t="n"/>
      <c r="J351" s="633" t="n"/>
      <c r="K351" s="633" t="n"/>
      <c r="L351" s="633">
        <f>CCBASE!$I$14*B351/1000</f>
        <v/>
      </c>
      <c r="M351" s="633" t="n"/>
      <c r="N351" s="633" t="n"/>
      <c r="O351" s="633">
        <f>CCBASE!$I$45*B351/1000</f>
        <v/>
      </c>
      <c r="P351" s="633" t="n"/>
      <c r="Q351" s="633">
        <f>CCBASE!$H$51</f>
        <v/>
      </c>
      <c r="R351" s="633">
        <f>CCBASE!$I$4</f>
        <v/>
      </c>
      <c r="S351" s="633">
        <f>CCBASE!$I$8</f>
        <v/>
      </c>
      <c r="T351" s="633">
        <f>CCBASE!$I$44</f>
        <v/>
      </c>
      <c r="U351" s="632" t="n"/>
      <c r="V351" s="632" t="n"/>
      <c r="W351" s="633">
        <f>CCBASE!$I$42*B351/1000</f>
        <v/>
      </c>
      <c r="X351" s="633" t="n"/>
      <c r="Y351" s="633" t="n"/>
      <c r="Z351" s="633" t="n"/>
      <c r="AA351" s="633" t="n"/>
      <c r="AB351" s="633" t="n"/>
      <c r="AC351" s="633" t="n"/>
      <c r="AD351" s="633">
        <f>CCBASE!$I$38*2</f>
        <v/>
      </c>
    </row>
    <row r="352">
      <c r="A352" s="631" t="inlineStr">
        <is>
          <t>CMWI</t>
        </is>
      </c>
      <c r="B352" s="631" t="n">
        <v>3000</v>
      </c>
      <c r="C352" s="631" t="n">
        <v>1750</v>
      </c>
      <c r="D352" s="631">
        <f>A352&amp;B352&amp;C352</f>
        <v/>
      </c>
      <c r="E352" s="1040">
        <f>SUM(G352:AD352)</f>
        <v/>
      </c>
      <c r="F352" s="632" t="n">
        <v>21</v>
      </c>
      <c r="G352" s="633">
        <f>F352*CCBASE!$B$51</f>
        <v/>
      </c>
      <c r="H352" s="633">
        <f>CCBASE!$I$12*B352/1000</f>
        <v/>
      </c>
      <c r="I352" s="633" t="n"/>
      <c r="J352" s="633" t="n"/>
      <c r="K352" s="633" t="n"/>
      <c r="L352" s="633">
        <f>CCBASE!$I$14*B352/1000</f>
        <v/>
      </c>
      <c r="M352" s="633" t="n"/>
      <c r="N352" s="633" t="n"/>
      <c r="O352" s="633">
        <f>CCBASE!$I$45*B352/1000</f>
        <v/>
      </c>
      <c r="P352" s="633" t="n"/>
      <c r="Q352" s="633">
        <f>CCBASE!$H$51</f>
        <v/>
      </c>
      <c r="R352" s="633">
        <f>CCBASE!$I$4</f>
        <v/>
      </c>
      <c r="S352" s="633">
        <f>CCBASE!$I$8</f>
        <v/>
      </c>
      <c r="T352" s="633">
        <f>CCBASE!$I$44</f>
        <v/>
      </c>
      <c r="U352" s="632" t="n"/>
      <c r="V352" s="632" t="n"/>
      <c r="W352" s="633">
        <f>CCBASE!$I$42*B352/1000</f>
        <v/>
      </c>
      <c r="X352" s="633" t="n"/>
      <c r="Y352" s="633" t="n"/>
      <c r="Z352" s="633" t="n"/>
      <c r="AA352" s="633" t="n"/>
      <c r="AB352" s="633" t="n"/>
      <c r="AC352" s="633" t="n"/>
      <c r="AD352" s="633">
        <f>CCBASE!$I$38*2</f>
        <v/>
      </c>
    </row>
    <row r="353">
      <c r="A353" s="631" t="inlineStr">
        <is>
          <t>CMWI</t>
        </is>
      </c>
      <c r="B353" s="631" t="n">
        <v>1000</v>
      </c>
      <c r="C353" s="631" t="n">
        <v>2000</v>
      </c>
      <c r="D353" s="631">
        <f>A353&amp;B353&amp;C353</f>
        <v/>
      </c>
      <c r="E353" s="1040">
        <f>SUM(G353:AD353)</f>
        <v/>
      </c>
      <c r="F353" s="632" t="n">
        <v>20</v>
      </c>
      <c r="G353" s="633">
        <f>F353*CCBASE!$B$51</f>
        <v/>
      </c>
      <c r="H353" s="633">
        <f>CCBASE!$I$12*B353/1000</f>
        <v/>
      </c>
      <c r="I353" s="633" t="n"/>
      <c r="J353" s="633" t="n"/>
      <c r="K353" s="633" t="n"/>
      <c r="L353" s="633">
        <f>CCBASE!$I$14*B353/1000</f>
        <v/>
      </c>
      <c r="M353" s="633" t="n"/>
      <c r="N353" s="633" t="n"/>
      <c r="O353" s="633">
        <f>CCBASE!$I$45*B353/1000</f>
        <v/>
      </c>
      <c r="P353" s="633" t="n"/>
      <c r="Q353" s="633">
        <f>CCBASE!$H$51</f>
        <v/>
      </c>
      <c r="R353" s="633">
        <f>CCBASE!$I$4</f>
        <v/>
      </c>
      <c r="S353" s="633">
        <f>CCBASE!$I$8</f>
        <v/>
      </c>
      <c r="T353" s="633">
        <f>CCBASE!$I$44</f>
        <v/>
      </c>
      <c r="U353" s="632" t="n"/>
      <c r="V353" s="632" t="n"/>
      <c r="W353" s="633">
        <f>CCBASE!$I$43*B353/1000</f>
        <v/>
      </c>
      <c r="X353" s="633" t="n"/>
      <c r="Y353" s="633" t="n"/>
      <c r="Z353" s="633" t="n"/>
      <c r="AA353" s="633" t="n"/>
      <c r="AB353" s="633" t="n"/>
      <c r="AC353" s="633" t="n"/>
      <c r="AD353" s="633">
        <f>CCBASE!$I$38*2</f>
        <v/>
      </c>
    </row>
    <row r="354">
      <c r="A354" s="631" t="inlineStr">
        <is>
          <t>CMWI</t>
        </is>
      </c>
      <c r="B354" s="631" t="n">
        <v>1250</v>
      </c>
      <c r="C354" s="631" t="n">
        <v>2000</v>
      </c>
      <c r="D354" s="631">
        <f>A354&amp;B354&amp;C354</f>
        <v/>
      </c>
      <c r="E354" s="1040">
        <f>SUM(G354:AD354)</f>
        <v/>
      </c>
      <c r="F354" s="632" t="n">
        <v>20</v>
      </c>
      <c r="G354" s="633">
        <f>F354*CCBASE!$B$51</f>
        <v/>
      </c>
      <c r="H354" s="633">
        <f>CCBASE!$I$12*B354/1000</f>
        <v/>
      </c>
      <c r="I354" s="633" t="n"/>
      <c r="J354" s="633" t="n"/>
      <c r="K354" s="633" t="n"/>
      <c r="L354" s="633">
        <f>CCBASE!$I$14*B354/1000</f>
        <v/>
      </c>
      <c r="M354" s="633" t="n"/>
      <c r="N354" s="633" t="n"/>
      <c r="O354" s="633">
        <f>CCBASE!$I$45*B354/1000</f>
        <v/>
      </c>
      <c r="P354" s="633" t="n"/>
      <c r="Q354" s="633">
        <f>CCBASE!$H$51</f>
        <v/>
      </c>
      <c r="R354" s="633">
        <f>CCBASE!$I$4</f>
        <v/>
      </c>
      <c r="S354" s="633">
        <f>CCBASE!$I$8</f>
        <v/>
      </c>
      <c r="T354" s="633">
        <f>CCBASE!$I$44</f>
        <v/>
      </c>
      <c r="U354" s="632" t="n"/>
      <c r="V354" s="632" t="n"/>
      <c r="W354" s="633">
        <f>CCBASE!$I$43*B354/1000</f>
        <v/>
      </c>
      <c r="X354" s="633" t="n"/>
      <c r="Y354" s="633" t="n"/>
      <c r="Z354" s="633" t="n"/>
      <c r="AA354" s="633" t="n"/>
      <c r="AB354" s="633" t="n"/>
      <c r="AC354" s="633" t="n"/>
      <c r="AD354" s="633">
        <f>CCBASE!$I$38*2</f>
        <v/>
      </c>
    </row>
    <row r="355">
      <c r="A355" s="631" t="inlineStr">
        <is>
          <t>CMWI</t>
        </is>
      </c>
      <c r="B355" s="631" t="n">
        <v>1500</v>
      </c>
      <c r="C355" s="631" t="n">
        <v>2000</v>
      </c>
      <c r="D355" s="631">
        <f>A355&amp;B355&amp;C355</f>
        <v/>
      </c>
      <c r="E355" s="1040">
        <f>SUM(G355:AD355)</f>
        <v/>
      </c>
      <c r="F355" s="632" t="n">
        <v>20</v>
      </c>
      <c r="G355" s="633">
        <f>F355*CCBASE!$B$51</f>
        <v/>
      </c>
      <c r="H355" s="633">
        <f>CCBASE!$I$12*B355/1000</f>
        <v/>
      </c>
      <c r="I355" s="633" t="n"/>
      <c r="J355" s="633" t="n"/>
      <c r="K355" s="633" t="n"/>
      <c r="L355" s="633">
        <f>CCBASE!$I$14*B355/1000</f>
        <v/>
      </c>
      <c r="M355" s="633" t="n"/>
      <c r="N355" s="633" t="n"/>
      <c r="O355" s="633">
        <f>CCBASE!$I$45*B355/1000</f>
        <v/>
      </c>
      <c r="P355" s="633" t="n"/>
      <c r="Q355" s="633">
        <f>CCBASE!$H$51</f>
        <v/>
      </c>
      <c r="R355" s="633">
        <f>CCBASE!$I$4</f>
        <v/>
      </c>
      <c r="S355" s="633">
        <f>CCBASE!$I$8</f>
        <v/>
      </c>
      <c r="T355" s="633">
        <f>CCBASE!$I$44</f>
        <v/>
      </c>
      <c r="U355" s="632" t="n"/>
      <c r="V355" s="632" t="n"/>
      <c r="W355" s="633">
        <f>CCBASE!$I$43*B355/1000</f>
        <v/>
      </c>
      <c r="X355" s="633" t="n"/>
      <c r="Y355" s="633" t="n"/>
      <c r="Z355" s="633" t="n"/>
      <c r="AA355" s="633" t="n"/>
      <c r="AB355" s="633" t="n"/>
      <c r="AC355" s="633" t="n"/>
      <c r="AD355" s="633">
        <f>CCBASE!$I$38*2</f>
        <v/>
      </c>
    </row>
    <row r="356">
      <c r="A356" s="631" t="inlineStr">
        <is>
          <t>CMWI</t>
        </is>
      </c>
      <c r="B356" s="631" t="n">
        <v>1750</v>
      </c>
      <c r="C356" s="631" t="n">
        <v>2000</v>
      </c>
      <c r="D356" s="631">
        <f>A356&amp;B356&amp;C356</f>
        <v/>
      </c>
      <c r="E356" s="1040">
        <f>SUM(G356:AD356)</f>
        <v/>
      </c>
      <c r="F356" s="632" t="n">
        <v>20</v>
      </c>
      <c r="G356" s="633">
        <f>F356*CCBASE!$B$51</f>
        <v/>
      </c>
      <c r="H356" s="633">
        <f>CCBASE!$I$12*B356/1000</f>
        <v/>
      </c>
      <c r="I356" s="633" t="n"/>
      <c r="J356" s="633" t="n"/>
      <c r="K356" s="633" t="n"/>
      <c r="L356" s="633">
        <f>CCBASE!$I$14*B356/1000</f>
        <v/>
      </c>
      <c r="M356" s="633" t="n"/>
      <c r="N356" s="633" t="n"/>
      <c r="O356" s="633">
        <f>CCBASE!$I$45*B356/1000</f>
        <v/>
      </c>
      <c r="P356" s="633" t="n"/>
      <c r="Q356" s="633">
        <f>CCBASE!$H$51</f>
        <v/>
      </c>
      <c r="R356" s="633">
        <f>CCBASE!$I$4</f>
        <v/>
      </c>
      <c r="S356" s="633">
        <f>CCBASE!$I$8</f>
        <v/>
      </c>
      <c r="T356" s="633">
        <f>CCBASE!$I$44</f>
        <v/>
      </c>
      <c r="U356" s="632" t="n"/>
      <c r="V356" s="632" t="n"/>
      <c r="W356" s="633">
        <f>CCBASE!$I$43*B356/1000</f>
        <v/>
      </c>
      <c r="X356" s="633" t="n"/>
      <c r="Y356" s="633" t="n"/>
      <c r="Z356" s="633" t="n"/>
      <c r="AA356" s="633" t="n"/>
      <c r="AB356" s="633" t="n"/>
      <c r="AC356" s="633" t="n"/>
      <c r="AD356" s="633">
        <f>CCBASE!$I$38*2</f>
        <v/>
      </c>
    </row>
    <row r="357">
      <c r="A357" s="631" t="inlineStr">
        <is>
          <t>CMWI</t>
        </is>
      </c>
      <c r="B357" s="631" t="n">
        <v>2000</v>
      </c>
      <c r="C357" s="631" t="n">
        <v>2000</v>
      </c>
      <c r="D357" s="631">
        <f>A357&amp;B357&amp;C357</f>
        <v/>
      </c>
      <c r="E357" s="1040">
        <f>SUM(G357:AD357)</f>
        <v/>
      </c>
      <c r="F357" s="632" t="n">
        <v>20</v>
      </c>
      <c r="G357" s="633">
        <f>F357*CCBASE!$B$51</f>
        <v/>
      </c>
      <c r="H357" s="633">
        <f>CCBASE!$I$12*B357/1000</f>
        <v/>
      </c>
      <c r="I357" s="633" t="n"/>
      <c r="J357" s="633" t="n"/>
      <c r="K357" s="633" t="n"/>
      <c r="L357" s="633">
        <f>CCBASE!$I$14*B357/1000</f>
        <v/>
      </c>
      <c r="M357" s="633" t="n"/>
      <c r="N357" s="633" t="n"/>
      <c r="O357" s="633">
        <f>CCBASE!$I$45*B357/1000</f>
        <v/>
      </c>
      <c r="P357" s="633" t="n"/>
      <c r="Q357" s="633">
        <f>CCBASE!$H$51</f>
        <v/>
      </c>
      <c r="R357" s="633">
        <f>CCBASE!$I$4</f>
        <v/>
      </c>
      <c r="S357" s="633">
        <f>CCBASE!$I$8</f>
        <v/>
      </c>
      <c r="T357" s="633">
        <f>CCBASE!$I$44</f>
        <v/>
      </c>
      <c r="U357" s="632" t="n"/>
      <c r="V357" s="632" t="n"/>
      <c r="W357" s="633">
        <f>CCBASE!$I$43*B357/1000</f>
        <v/>
      </c>
      <c r="X357" s="633" t="n"/>
      <c r="Y357" s="633" t="n"/>
      <c r="Z357" s="633" t="n"/>
      <c r="AA357" s="633" t="n"/>
      <c r="AB357" s="633" t="n"/>
      <c r="AC357" s="633" t="n"/>
      <c r="AD357" s="633">
        <f>CCBASE!$I$38*2</f>
        <v/>
      </c>
    </row>
    <row r="358">
      <c r="A358" s="631" t="inlineStr">
        <is>
          <t>CMWI</t>
        </is>
      </c>
      <c r="B358" s="631" t="n">
        <v>2250</v>
      </c>
      <c r="C358" s="631" t="n">
        <v>2000</v>
      </c>
      <c r="D358" s="631">
        <f>A358&amp;B358&amp;C358</f>
        <v/>
      </c>
      <c r="E358" s="1040">
        <f>SUM(G358:AD358)</f>
        <v/>
      </c>
      <c r="F358" s="632" t="n">
        <v>21</v>
      </c>
      <c r="G358" s="633">
        <f>F358*CCBASE!$B$51</f>
        <v/>
      </c>
      <c r="H358" s="633">
        <f>CCBASE!$I$12*B358/1000</f>
        <v/>
      </c>
      <c r="I358" s="633" t="n"/>
      <c r="J358" s="633" t="n"/>
      <c r="K358" s="633" t="n"/>
      <c r="L358" s="633">
        <f>CCBASE!$I$14*B358/1000</f>
        <v/>
      </c>
      <c r="M358" s="633" t="n"/>
      <c r="N358" s="633" t="n"/>
      <c r="O358" s="633">
        <f>CCBASE!$I$45*B358/1000</f>
        <v/>
      </c>
      <c r="P358" s="633" t="n"/>
      <c r="Q358" s="633">
        <f>CCBASE!$H$51</f>
        <v/>
      </c>
      <c r="R358" s="633">
        <f>CCBASE!$I$4</f>
        <v/>
      </c>
      <c r="S358" s="633">
        <f>CCBASE!$I$8</f>
        <v/>
      </c>
      <c r="T358" s="633">
        <f>CCBASE!$I$44</f>
        <v/>
      </c>
      <c r="U358" s="632" t="n"/>
      <c r="V358" s="632" t="n"/>
      <c r="W358" s="633">
        <f>CCBASE!$I$43*B358/1000</f>
        <v/>
      </c>
      <c r="X358" s="633" t="n"/>
      <c r="Y358" s="633" t="n"/>
      <c r="Z358" s="633" t="n"/>
      <c r="AA358" s="633" t="n"/>
      <c r="AB358" s="633" t="n"/>
      <c r="AC358" s="633" t="n"/>
      <c r="AD358" s="633">
        <f>CCBASE!$I$38*2</f>
        <v/>
      </c>
    </row>
    <row r="359">
      <c r="A359" s="631" t="inlineStr">
        <is>
          <t>CMWI</t>
        </is>
      </c>
      <c r="B359" s="631" t="n">
        <v>2500</v>
      </c>
      <c r="C359" s="631" t="n">
        <v>2000</v>
      </c>
      <c r="D359" s="631">
        <f>A359&amp;B359&amp;C359</f>
        <v/>
      </c>
      <c r="E359" s="1040">
        <f>SUM(G359:AD359)</f>
        <v/>
      </c>
      <c r="F359" s="632" t="n">
        <v>21</v>
      </c>
      <c r="G359" s="633">
        <f>F359*CCBASE!$B$51</f>
        <v/>
      </c>
      <c r="H359" s="633">
        <f>CCBASE!$I$12*B359/1000</f>
        <v/>
      </c>
      <c r="I359" s="633" t="n"/>
      <c r="J359" s="633" t="n"/>
      <c r="K359" s="633" t="n"/>
      <c r="L359" s="633">
        <f>CCBASE!$I$14*B359/1000</f>
        <v/>
      </c>
      <c r="M359" s="633" t="n"/>
      <c r="N359" s="633" t="n"/>
      <c r="O359" s="633">
        <f>CCBASE!$I$45*B359/1000</f>
        <v/>
      </c>
      <c r="P359" s="633" t="n"/>
      <c r="Q359" s="633">
        <f>CCBASE!$H$51</f>
        <v/>
      </c>
      <c r="R359" s="633">
        <f>CCBASE!$I$4</f>
        <v/>
      </c>
      <c r="S359" s="633">
        <f>CCBASE!$I$8</f>
        <v/>
      </c>
      <c r="T359" s="633">
        <f>CCBASE!$I$44</f>
        <v/>
      </c>
      <c r="U359" s="632" t="n"/>
      <c r="V359" s="632" t="n"/>
      <c r="W359" s="633">
        <f>CCBASE!$I$43*B359/1000</f>
        <v/>
      </c>
      <c r="X359" s="633" t="n"/>
      <c r="Y359" s="633" t="n"/>
      <c r="Z359" s="633" t="n"/>
      <c r="AA359" s="633" t="n"/>
      <c r="AB359" s="633" t="n"/>
      <c r="AC359" s="633" t="n"/>
      <c r="AD359" s="633">
        <f>CCBASE!$I$38*2</f>
        <v/>
      </c>
    </row>
    <row r="360">
      <c r="A360" s="631" t="inlineStr">
        <is>
          <t>CMWI</t>
        </is>
      </c>
      <c r="B360" s="631" t="n">
        <v>2750</v>
      </c>
      <c r="C360" s="631" t="n">
        <v>2000</v>
      </c>
      <c r="D360" s="631">
        <f>A360&amp;B360&amp;C360</f>
        <v/>
      </c>
      <c r="E360" s="1040">
        <f>SUM(G360:AD360)</f>
        <v/>
      </c>
      <c r="F360" s="632" t="n">
        <v>21</v>
      </c>
      <c r="G360" s="633">
        <f>F360*CCBASE!$B$51</f>
        <v/>
      </c>
      <c r="H360" s="633">
        <f>CCBASE!$I$12*B360/1000</f>
        <v/>
      </c>
      <c r="I360" s="633" t="n"/>
      <c r="J360" s="633" t="n"/>
      <c r="K360" s="633" t="n"/>
      <c r="L360" s="633">
        <f>CCBASE!$I$14*B360/1000</f>
        <v/>
      </c>
      <c r="M360" s="633" t="n"/>
      <c r="N360" s="633" t="n"/>
      <c r="O360" s="633">
        <f>CCBASE!$I$45*B360/1000</f>
        <v/>
      </c>
      <c r="P360" s="633" t="n"/>
      <c r="Q360" s="633">
        <f>CCBASE!$H$51</f>
        <v/>
      </c>
      <c r="R360" s="633">
        <f>CCBASE!$I$4</f>
        <v/>
      </c>
      <c r="S360" s="633">
        <f>CCBASE!$I$8</f>
        <v/>
      </c>
      <c r="T360" s="633">
        <f>CCBASE!$I$44</f>
        <v/>
      </c>
      <c r="U360" s="632" t="n"/>
      <c r="V360" s="632" t="n"/>
      <c r="W360" s="633">
        <f>CCBASE!$I$43*B360/1000</f>
        <v/>
      </c>
      <c r="X360" s="633" t="n"/>
      <c r="Y360" s="633" t="n"/>
      <c r="Z360" s="633" t="n"/>
      <c r="AA360" s="633" t="n"/>
      <c r="AB360" s="633" t="n"/>
      <c r="AC360" s="633" t="n"/>
      <c r="AD360" s="633">
        <f>CCBASE!$I$38*2</f>
        <v/>
      </c>
    </row>
    <row r="361">
      <c r="A361" s="631" t="inlineStr">
        <is>
          <t>CMWI</t>
        </is>
      </c>
      <c r="B361" s="631" t="n">
        <v>3000</v>
      </c>
      <c r="C361" s="631" t="n">
        <v>2000</v>
      </c>
      <c r="D361" s="631">
        <f>A361&amp;B361&amp;C361</f>
        <v/>
      </c>
      <c r="E361" s="1040">
        <f>SUM(G361:AD361)</f>
        <v/>
      </c>
      <c r="F361" s="632" t="n">
        <v>21</v>
      </c>
      <c r="G361" s="633">
        <f>F361*CCBASE!$B$51</f>
        <v/>
      </c>
      <c r="H361" s="633">
        <f>CCBASE!$I$12*B361/1000</f>
        <v/>
      </c>
      <c r="I361" s="633" t="n"/>
      <c r="J361" s="633" t="n"/>
      <c r="K361" s="633" t="n"/>
      <c r="L361" s="633">
        <f>CCBASE!$I$14*B361/1000</f>
        <v/>
      </c>
      <c r="M361" s="633" t="n"/>
      <c r="N361" s="633" t="n"/>
      <c r="O361" s="633">
        <f>CCBASE!$I$45*B361/1000</f>
        <v/>
      </c>
      <c r="P361" s="633" t="n"/>
      <c r="Q361" s="633">
        <f>CCBASE!$H$51</f>
        <v/>
      </c>
      <c r="R361" s="633">
        <f>CCBASE!$I$4</f>
        <v/>
      </c>
      <c r="S361" s="633">
        <f>CCBASE!$I$8</f>
        <v/>
      </c>
      <c r="T361" s="633">
        <f>CCBASE!$I$44</f>
        <v/>
      </c>
      <c r="U361" s="632" t="n"/>
      <c r="V361" s="632" t="n"/>
      <c r="W361" s="633">
        <f>CCBASE!$I$43*B361/1000</f>
        <v/>
      </c>
      <c r="X361" s="633" t="n"/>
      <c r="Y361" s="633" t="n"/>
      <c r="Z361" s="633" t="n"/>
      <c r="AA361" s="633" t="n"/>
      <c r="AB361" s="633" t="n"/>
      <c r="AC361" s="633" t="n"/>
      <c r="AD361" s="633">
        <f>CCBASE!$I$38*2</f>
        <v/>
      </c>
    </row>
    <row r="362">
      <c r="A362" s="631" t="inlineStr">
        <is>
          <t>CV-W-MUAP</t>
        </is>
      </c>
      <c r="B362" s="631" t="n">
        <v>1000</v>
      </c>
      <c r="C362" s="631" t="n">
        <v>1000</v>
      </c>
      <c r="D362" s="631">
        <f>A362&amp;B362&amp;C362</f>
        <v/>
      </c>
      <c r="E362" s="1040">
        <f>SUM(G362:AD362)</f>
        <v/>
      </c>
      <c r="F362" s="632" t="n">
        <v>20</v>
      </c>
      <c r="G362" s="633">
        <f>F362*CCBASE!$B$51</f>
        <v/>
      </c>
      <c r="H362" s="633">
        <f>CCBASE!$I$12*B362/1000</f>
        <v/>
      </c>
      <c r="I362" s="633" t="n"/>
      <c r="J362" s="633" t="n"/>
      <c r="K362" s="633" t="n"/>
      <c r="L362" s="633">
        <f>CCBASE!$I$14*B362/1000</f>
        <v/>
      </c>
      <c r="M362" s="633" t="n"/>
      <c r="N362" s="633" t="n"/>
      <c r="O362" s="633">
        <f>CCBASE!$I$45*B362/1000</f>
        <v/>
      </c>
      <c r="P362" s="633" t="n"/>
      <c r="Q362" s="633">
        <f>CCBASE!$H$51</f>
        <v/>
      </c>
      <c r="R362" s="633">
        <f>CCBASE!$I$4</f>
        <v/>
      </c>
      <c r="S362" s="633">
        <f>CCBASE!$I$8</f>
        <v/>
      </c>
      <c r="T362" s="633">
        <f>CCBASE!$I$44</f>
        <v/>
      </c>
      <c r="U362" s="632" t="n"/>
      <c r="V362" s="632" t="n"/>
      <c r="W362" s="633">
        <f>CCBASE!$I$43*B362/1000</f>
        <v/>
      </c>
      <c r="X362" s="633" t="n"/>
      <c r="Y362" s="633" t="n"/>
      <c r="Z362" s="633" t="n"/>
      <c r="AA362" s="633" t="n"/>
      <c r="AB362" s="633" t="n"/>
      <c r="AC362" s="633" t="n"/>
      <c r="AD362" s="633">
        <f>CCBASE!$I$39*2</f>
        <v/>
      </c>
    </row>
    <row r="363">
      <c r="A363" s="631" t="inlineStr">
        <is>
          <t>CV-W-MUAP</t>
        </is>
      </c>
      <c r="B363" s="631" t="n">
        <v>1250</v>
      </c>
      <c r="C363" s="631" t="n">
        <v>1000</v>
      </c>
      <c r="D363" s="631">
        <f>A363&amp;B363&amp;C363</f>
        <v/>
      </c>
      <c r="E363" s="1040">
        <f>SUM(G363:AD363)</f>
        <v/>
      </c>
      <c r="F363" s="632" t="n">
        <v>20</v>
      </c>
      <c r="G363" s="633">
        <f>F363*CCBASE!$B$51</f>
        <v/>
      </c>
      <c r="H363" s="633">
        <f>CCBASE!$I$12*B363/1000</f>
        <v/>
      </c>
      <c r="I363" s="633" t="n"/>
      <c r="J363" s="633" t="n"/>
      <c r="K363" s="633" t="n"/>
      <c r="L363" s="633">
        <f>CCBASE!$I$14*B363/1000</f>
        <v/>
      </c>
      <c r="M363" s="633" t="n"/>
      <c r="N363" s="633" t="n"/>
      <c r="O363" s="633">
        <f>CCBASE!$I$45*B363/1000</f>
        <v/>
      </c>
      <c r="P363" s="633" t="n"/>
      <c r="Q363" s="633">
        <f>CCBASE!$H$51</f>
        <v/>
      </c>
      <c r="R363" s="633">
        <f>CCBASE!$I$4</f>
        <v/>
      </c>
      <c r="S363" s="633">
        <f>CCBASE!$I$8</f>
        <v/>
      </c>
      <c r="T363" s="633">
        <f>CCBASE!$I$44</f>
        <v/>
      </c>
      <c r="U363" s="632" t="n"/>
      <c r="V363" s="632" t="n"/>
      <c r="W363" s="633">
        <f>CCBASE!$I$42*B363/1000</f>
        <v/>
      </c>
      <c r="X363" s="633" t="n"/>
      <c r="Y363" s="633" t="n"/>
      <c r="Z363" s="633" t="n"/>
      <c r="AA363" s="633" t="n"/>
      <c r="AB363" s="633" t="n"/>
      <c r="AC363" s="633" t="n"/>
      <c r="AD363" s="633">
        <f>CCBASE!$I$39*2</f>
        <v/>
      </c>
    </row>
    <row r="364">
      <c r="A364" s="631" t="inlineStr">
        <is>
          <t>CV-W-MUAP</t>
        </is>
      </c>
      <c r="B364" s="631" t="n">
        <v>1500</v>
      </c>
      <c r="C364" s="631" t="n">
        <v>1000</v>
      </c>
      <c r="D364" s="631">
        <f>A364&amp;B364&amp;C364</f>
        <v/>
      </c>
      <c r="E364" s="1040">
        <f>SUM(G364:AD364)</f>
        <v/>
      </c>
      <c r="F364" s="632" t="n">
        <v>20</v>
      </c>
      <c r="G364" s="633">
        <f>F364*CCBASE!$B$51</f>
        <v/>
      </c>
      <c r="H364" s="633">
        <f>CCBASE!$I$12*B364/1000</f>
        <v/>
      </c>
      <c r="I364" s="633" t="n"/>
      <c r="J364" s="633" t="n"/>
      <c r="K364" s="633" t="n"/>
      <c r="L364" s="633">
        <f>CCBASE!$I$14*B364/1000</f>
        <v/>
      </c>
      <c r="M364" s="633" t="n"/>
      <c r="N364" s="633" t="n"/>
      <c r="O364" s="633">
        <f>CCBASE!$I$45*B364/1000</f>
        <v/>
      </c>
      <c r="P364" s="633" t="n"/>
      <c r="Q364" s="633">
        <f>CCBASE!$H$51</f>
        <v/>
      </c>
      <c r="R364" s="633">
        <f>CCBASE!$I$4</f>
        <v/>
      </c>
      <c r="S364" s="633">
        <f>CCBASE!$I$8</f>
        <v/>
      </c>
      <c r="T364" s="633">
        <f>CCBASE!$I$44</f>
        <v/>
      </c>
      <c r="U364" s="632" t="n"/>
      <c r="V364" s="632" t="n"/>
      <c r="W364" s="633">
        <f>CCBASE!$I$42*B364/1000</f>
        <v/>
      </c>
      <c r="X364" s="633" t="n"/>
      <c r="Y364" s="633" t="n"/>
      <c r="Z364" s="633" t="n"/>
      <c r="AA364" s="633" t="n"/>
      <c r="AB364" s="633" t="n"/>
      <c r="AC364" s="633" t="n"/>
      <c r="AD364" s="633">
        <f>CCBASE!$I$39*2</f>
        <v/>
      </c>
    </row>
    <row r="365">
      <c r="A365" s="631" t="inlineStr">
        <is>
          <t>CV-W-MUAP</t>
        </is>
      </c>
      <c r="B365" s="631" t="n">
        <v>1750</v>
      </c>
      <c r="C365" s="631" t="n">
        <v>1000</v>
      </c>
      <c r="D365" s="631">
        <f>A365&amp;B365&amp;C365</f>
        <v/>
      </c>
      <c r="E365" s="1040">
        <f>SUM(G365:AD365)</f>
        <v/>
      </c>
      <c r="F365" s="632" t="n">
        <v>20</v>
      </c>
      <c r="G365" s="633">
        <f>F365*CCBASE!$B$51</f>
        <v/>
      </c>
      <c r="H365" s="633">
        <f>CCBASE!$I$12*B365/1000</f>
        <v/>
      </c>
      <c r="I365" s="633" t="n"/>
      <c r="J365" s="633" t="n"/>
      <c r="K365" s="633" t="n"/>
      <c r="L365" s="633">
        <f>CCBASE!$I$14*B365/1000</f>
        <v/>
      </c>
      <c r="M365" s="633" t="n"/>
      <c r="N365" s="633" t="n"/>
      <c r="O365" s="633">
        <f>CCBASE!$I$45*B365/1000</f>
        <v/>
      </c>
      <c r="P365" s="633" t="n"/>
      <c r="Q365" s="633">
        <f>CCBASE!$H$51</f>
        <v/>
      </c>
      <c r="R365" s="633">
        <f>CCBASE!$I$4</f>
        <v/>
      </c>
      <c r="S365" s="633">
        <f>CCBASE!$I$8</f>
        <v/>
      </c>
      <c r="T365" s="633">
        <f>CCBASE!$I$44</f>
        <v/>
      </c>
      <c r="U365" s="632" t="n"/>
      <c r="V365" s="632" t="n"/>
      <c r="W365" s="633">
        <f>CCBASE!$I$42*B365/1000</f>
        <v/>
      </c>
      <c r="X365" s="633" t="n"/>
      <c r="Y365" s="633" t="n"/>
      <c r="Z365" s="633" t="n"/>
      <c r="AA365" s="633" t="n"/>
      <c r="AB365" s="633" t="n"/>
      <c r="AC365" s="633" t="n"/>
      <c r="AD365" s="633">
        <f>CCBASE!$I$39*2</f>
        <v/>
      </c>
    </row>
    <row r="366">
      <c r="A366" s="631" t="inlineStr">
        <is>
          <t>CV-W-MUAP</t>
        </is>
      </c>
      <c r="B366" s="631" t="n">
        <v>2000</v>
      </c>
      <c r="C366" s="631" t="n">
        <v>1000</v>
      </c>
      <c r="D366" s="631">
        <f>A366&amp;B366&amp;C366</f>
        <v/>
      </c>
      <c r="E366" s="1040">
        <f>SUM(G366:AD366)</f>
        <v/>
      </c>
      <c r="F366" s="632" t="n">
        <v>20</v>
      </c>
      <c r="G366" s="633">
        <f>F366*CCBASE!$B$51</f>
        <v/>
      </c>
      <c r="H366" s="633">
        <f>CCBASE!$I$12*B366/1000</f>
        <v/>
      </c>
      <c r="I366" s="633" t="n"/>
      <c r="J366" s="633" t="n"/>
      <c r="K366" s="633" t="n"/>
      <c r="L366" s="633">
        <f>CCBASE!$I$14*B366/1000</f>
        <v/>
      </c>
      <c r="M366" s="633" t="n"/>
      <c r="N366" s="633" t="n"/>
      <c r="O366" s="633">
        <f>CCBASE!$I$45*B366/1000</f>
        <v/>
      </c>
      <c r="P366" s="633" t="n"/>
      <c r="Q366" s="633">
        <f>CCBASE!$H$51</f>
        <v/>
      </c>
      <c r="R366" s="633">
        <f>CCBASE!$I$4</f>
        <v/>
      </c>
      <c r="S366" s="633">
        <f>CCBASE!$I$8</f>
        <v/>
      </c>
      <c r="T366" s="633">
        <f>CCBASE!$I$44</f>
        <v/>
      </c>
      <c r="U366" s="632" t="n"/>
      <c r="V366" s="632" t="n"/>
      <c r="W366" s="633">
        <f>CCBASE!$I$42*B366/1000</f>
        <v/>
      </c>
      <c r="X366" s="633" t="n"/>
      <c r="Y366" s="633" t="n"/>
      <c r="Z366" s="633" t="n"/>
      <c r="AA366" s="633" t="n"/>
      <c r="AB366" s="633" t="n"/>
      <c r="AC366" s="633" t="n"/>
      <c r="AD366" s="633">
        <f>CCBASE!$I$39*2</f>
        <v/>
      </c>
    </row>
    <row r="367">
      <c r="A367" s="631" t="inlineStr">
        <is>
          <t>CV-W-MUAP</t>
        </is>
      </c>
      <c r="B367" s="631" t="n">
        <v>2250</v>
      </c>
      <c r="C367" s="631" t="n">
        <v>1000</v>
      </c>
      <c r="D367" s="631">
        <f>A367&amp;B367&amp;C367</f>
        <v/>
      </c>
      <c r="E367" s="1040">
        <f>SUM(G367:AD367)</f>
        <v/>
      </c>
      <c r="F367" s="632" t="n">
        <v>21</v>
      </c>
      <c r="G367" s="633">
        <f>F367*CCBASE!$B$51</f>
        <v/>
      </c>
      <c r="H367" s="633">
        <f>CCBASE!$I$12*B367/1000</f>
        <v/>
      </c>
      <c r="I367" s="633" t="n"/>
      <c r="J367" s="633" t="n"/>
      <c r="K367" s="633" t="n"/>
      <c r="L367" s="633">
        <f>CCBASE!$I$14*B367/1000</f>
        <v/>
      </c>
      <c r="M367" s="633" t="n"/>
      <c r="N367" s="633" t="n"/>
      <c r="O367" s="633">
        <f>CCBASE!$I$45*B367/1000</f>
        <v/>
      </c>
      <c r="P367" s="633" t="n"/>
      <c r="Q367" s="633">
        <f>CCBASE!$H$51</f>
        <v/>
      </c>
      <c r="R367" s="633">
        <f>CCBASE!$I$4</f>
        <v/>
      </c>
      <c r="S367" s="633">
        <f>CCBASE!$I$8</f>
        <v/>
      </c>
      <c r="T367" s="633">
        <f>CCBASE!$I$44</f>
        <v/>
      </c>
      <c r="U367" s="632" t="n"/>
      <c r="V367" s="632" t="n"/>
      <c r="W367" s="633">
        <f>CCBASE!$I$42*B367/1000</f>
        <v/>
      </c>
      <c r="X367" s="633" t="n"/>
      <c r="Y367" s="633" t="n"/>
      <c r="Z367" s="633" t="n"/>
      <c r="AA367" s="633" t="n"/>
      <c r="AB367" s="633" t="n"/>
      <c r="AC367" s="633" t="n"/>
      <c r="AD367" s="633">
        <f>CCBASE!$I$39*2</f>
        <v/>
      </c>
    </row>
    <row r="368">
      <c r="A368" s="631" t="inlineStr">
        <is>
          <t>CV-W-MUAP</t>
        </is>
      </c>
      <c r="B368" s="631" t="n">
        <v>2500</v>
      </c>
      <c r="C368" s="631" t="n">
        <v>1000</v>
      </c>
      <c r="D368" s="631">
        <f>A368&amp;B368&amp;C368</f>
        <v/>
      </c>
      <c r="E368" s="1040">
        <f>SUM(G368:AD368)</f>
        <v/>
      </c>
      <c r="F368" s="632" t="n">
        <v>21</v>
      </c>
      <c r="G368" s="633">
        <f>F368*CCBASE!$B$51</f>
        <v/>
      </c>
      <c r="H368" s="633">
        <f>CCBASE!$I$12*B368/1000</f>
        <v/>
      </c>
      <c r="I368" s="633" t="n"/>
      <c r="J368" s="633" t="n"/>
      <c r="K368" s="633" t="n"/>
      <c r="L368" s="633">
        <f>CCBASE!$I$14*B368/1000</f>
        <v/>
      </c>
      <c r="M368" s="633" t="n"/>
      <c r="N368" s="633" t="n"/>
      <c r="O368" s="633">
        <f>CCBASE!$I$45*B368/1000</f>
        <v/>
      </c>
      <c r="P368" s="633" t="n"/>
      <c r="Q368" s="633">
        <f>CCBASE!$H$51</f>
        <v/>
      </c>
      <c r="R368" s="633">
        <f>CCBASE!$I$4</f>
        <v/>
      </c>
      <c r="S368" s="633">
        <f>CCBASE!$I$8</f>
        <v/>
      </c>
      <c r="T368" s="633">
        <f>CCBASE!$I$44</f>
        <v/>
      </c>
      <c r="U368" s="632" t="n"/>
      <c r="V368" s="632" t="n"/>
      <c r="W368" s="633">
        <f>CCBASE!$I$42*B368/1000</f>
        <v/>
      </c>
      <c r="X368" s="633" t="n"/>
      <c r="Y368" s="633" t="n"/>
      <c r="Z368" s="633" t="n"/>
      <c r="AA368" s="633" t="n"/>
      <c r="AB368" s="633" t="n"/>
      <c r="AC368" s="633" t="n"/>
      <c r="AD368" s="633">
        <f>CCBASE!$I$39*2</f>
        <v/>
      </c>
    </row>
    <row r="369">
      <c r="A369" s="631" t="inlineStr">
        <is>
          <t>CV-W-MUAP</t>
        </is>
      </c>
      <c r="B369" s="631" t="n">
        <v>2750</v>
      </c>
      <c r="C369" s="631" t="n">
        <v>1000</v>
      </c>
      <c r="D369" s="631">
        <f>A369&amp;B369&amp;C369</f>
        <v/>
      </c>
      <c r="E369" s="1040">
        <f>SUM(G369:AD369)</f>
        <v/>
      </c>
      <c r="F369" s="632" t="n">
        <v>21</v>
      </c>
      <c r="G369" s="633">
        <f>F369*CCBASE!$B$51</f>
        <v/>
      </c>
      <c r="H369" s="633">
        <f>CCBASE!$I$12*B369/1000</f>
        <v/>
      </c>
      <c r="I369" s="633" t="n"/>
      <c r="J369" s="633" t="n"/>
      <c r="K369" s="633" t="n"/>
      <c r="L369" s="633">
        <f>CCBASE!$I$14*B369/1000</f>
        <v/>
      </c>
      <c r="M369" s="633" t="n"/>
      <c r="N369" s="633" t="n"/>
      <c r="O369" s="633">
        <f>CCBASE!$I$45*B369/1000</f>
        <v/>
      </c>
      <c r="P369" s="633" t="n"/>
      <c r="Q369" s="633">
        <f>CCBASE!$H$51</f>
        <v/>
      </c>
      <c r="R369" s="633">
        <f>CCBASE!$I$4</f>
        <v/>
      </c>
      <c r="S369" s="633">
        <f>CCBASE!$I$8</f>
        <v/>
      </c>
      <c r="T369" s="633">
        <f>CCBASE!$I$44</f>
        <v/>
      </c>
      <c r="U369" s="632" t="n"/>
      <c r="V369" s="632" t="n"/>
      <c r="W369" s="633">
        <f>CCBASE!$I$42*B369/1000</f>
        <v/>
      </c>
      <c r="X369" s="633" t="n"/>
      <c r="Y369" s="633" t="n"/>
      <c r="Z369" s="633" t="n"/>
      <c r="AA369" s="633" t="n"/>
      <c r="AB369" s="633" t="n"/>
      <c r="AC369" s="633" t="n"/>
      <c r="AD369" s="633">
        <f>CCBASE!$I$39*2</f>
        <v/>
      </c>
    </row>
    <row r="370">
      <c r="A370" s="631" t="inlineStr">
        <is>
          <t>CV-W-MUAP</t>
        </is>
      </c>
      <c r="B370" s="631" t="n">
        <v>3000</v>
      </c>
      <c r="C370" s="631" t="n">
        <v>1000</v>
      </c>
      <c r="D370" s="631">
        <f>A370&amp;B370&amp;C370</f>
        <v/>
      </c>
      <c r="E370" s="1040">
        <f>SUM(G370:AD370)</f>
        <v/>
      </c>
      <c r="F370" s="632" t="n">
        <v>21</v>
      </c>
      <c r="G370" s="633">
        <f>F370*CCBASE!$B$51</f>
        <v/>
      </c>
      <c r="H370" s="633">
        <f>CCBASE!$I$12*B370/1000</f>
        <v/>
      </c>
      <c r="I370" s="633" t="n"/>
      <c r="J370" s="633" t="n"/>
      <c r="K370" s="633" t="n"/>
      <c r="L370" s="633">
        <f>CCBASE!$I$14*B370/1000</f>
        <v/>
      </c>
      <c r="M370" s="633" t="n"/>
      <c r="N370" s="633" t="n"/>
      <c r="O370" s="633">
        <f>CCBASE!$I$45*B370/1000</f>
        <v/>
      </c>
      <c r="P370" s="633" t="n"/>
      <c r="Q370" s="633">
        <f>CCBASE!$H$51</f>
        <v/>
      </c>
      <c r="R370" s="633">
        <f>CCBASE!$I$4</f>
        <v/>
      </c>
      <c r="S370" s="633">
        <f>CCBASE!$I$8</f>
        <v/>
      </c>
      <c r="T370" s="633">
        <f>CCBASE!$I$44</f>
        <v/>
      </c>
      <c r="U370" s="632" t="n"/>
      <c r="V370" s="632" t="n"/>
      <c r="W370" s="633">
        <f>CCBASE!$I$42*B370/1000</f>
        <v/>
      </c>
      <c r="X370" s="633" t="n"/>
      <c r="Y370" s="633" t="n"/>
      <c r="Z370" s="633" t="n"/>
      <c r="AA370" s="633" t="n"/>
      <c r="AB370" s="633" t="n"/>
      <c r="AC370" s="633" t="n"/>
      <c r="AD370" s="633">
        <f>CCBASE!$I$39*2</f>
        <v/>
      </c>
    </row>
    <row r="371">
      <c r="A371" s="631" t="inlineStr">
        <is>
          <t>CV-W-MUAP</t>
        </is>
      </c>
      <c r="B371" s="631" t="n">
        <v>1000</v>
      </c>
      <c r="C371" s="631" t="n">
        <v>1250</v>
      </c>
      <c r="D371" s="631">
        <f>A371&amp;B371&amp;C371</f>
        <v/>
      </c>
      <c r="E371" s="1040">
        <f>SUM(G371:AD371)</f>
        <v/>
      </c>
      <c r="F371" s="632" t="n">
        <v>18</v>
      </c>
      <c r="G371" s="633">
        <f>F371*CCBASE!$B$51</f>
        <v/>
      </c>
      <c r="H371" s="633">
        <f>CCBASE!$I$16</f>
        <v/>
      </c>
      <c r="I371" s="633">
        <f>(CCBASE!$I$20)/1000*B371</f>
        <v/>
      </c>
      <c r="J371" s="633" t="n"/>
      <c r="K371" s="633" t="n"/>
      <c r="L371" s="633" t="n"/>
      <c r="M371" s="633">
        <f>CCBASE!$I$6*B371/1000</f>
        <v/>
      </c>
      <c r="N371" s="633">
        <f>CCBASE!$I$7*B371/1000</f>
        <v/>
      </c>
      <c r="O371" s="633">
        <f>CCBASE!$I$45*B371/1000</f>
        <v/>
      </c>
      <c r="P371" s="632" t="n"/>
      <c r="Q371" s="632" t="n"/>
      <c r="R371" s="633">
        <f>CCBASE!$I$4</f>
        <v/>
      </c>
      <c r="S371" s="638">
        <f>CCBASE!$I$8</f>
        <v/>
      </c>
      <c r="T371" s="632" t="n"/>
      <c r="U371" s="638">
        <f>CCBASE!$I$47</f>
        <v/>
      </c>
      <c r="V371" s="632" t="n"/>
      <c r="W371" s="633">
        <f>CCBASE!$I$40*B371/1000</f>
        <v/>
      </c>
      <c r="X371" s="633" t="n"/>
      <c r="Y371" s="633" t="n"/>
      <c r="Z371" s="633" t="n"/>
      <c r="AA371" s="633" t="n"/>
      <c r="AB371" s="633" t="n"/>
      <c r="AC371" s="633" t="n"/>
      <c r="AD371" s="638">
        <f>CCBASE!$I$32*2</f>
        <v/>
      </c>
    </row>
    <row r="372">
      <c r="A372" s="631" t="inlineStr">
        <is>
          <t>CV-W-MUAP</t>
        </is>
      </c>
      <c r="B372" s="631" t="n">
        <v>1250</v>
      </c>
      <c r="C372" s="631" t="n">
        <v>1250</v>
      </c>
      <c r="D372" s="631">
        <f>A372&amp;B372&amp;C372</f>
        <v/>
      </c>
      <c r="E372" s="1040">
        <f>SUM(G372:AD372)</f>
        <v/>
      </c>
      <c r="F372" s="632" t="n">
        <v>18</v>
      </c>
      <c r="G372" s="633">
        <f>F372*CCBASE!$B$51</f>
        <v/>
      </c>
      <c r="H372" s="633">
        <f>CCBASE!$I$16</f>
        <v/>
      </c>
      <c r="I372" s="633">
        <f>(CCBASE!$I$20)/1000*B372</f>
        <v/>
      </c>
      <c r="J372" s="633" t="n"/>
      <c r="K372" s="633" t="n"/>
      <c r="L372" s="633" t="n"/>
      <c r="M372" s="633">
        <f>CCBASE!$I$6*B372/1000</f>
        <v/>
      </c>
      <c r="N372" s="633">
        <f>CCBASE!$I$7*B372/1000</f>
        <v/>
      </c>
      <c r="O372" s="633">
        <f>CCBASE!$I$45*B372/1000</f>
        <v/>
      </c>
      <c r="P372" s="632" t="n"/>
      <c r="Q372" s="632" t="n"/>
      <c r="R372" s="633">
        <f>CCBASE!$I$4</f>
        <v/>
      </c>
      <c r="S372" s="638">
        <f>CCBASE!$I$8</f>
        <v/>
      </c>
      <c r="T372" s="632" t="n"/>
      <c r="U372" s="638">
        <f>CCBASE!$I$47*2</f>
        <v/>
      </c>
      <c r="V372" s="632" t="n"/>
      <c r="W372" s="633">
        <f>CCBASE!$I$40*B372/1000</f>
        <v/>
      </c>
      <c r="X372" s="633" t="n"/>
      <c r="Y372" s="633" t="n"/>
      <c r="Z372" s="633" t="n"/>
      <c r="AA372" s="633" t="n"/>
      <c r="AB372" s="633" t="n"/>
      <c r="AC372" s="633" t="n"/>
      <c r="AD372" s="638">
        <f>CCBASE!$I$32*2</f>
        <v/>
      </c>
    </row>
    <row r="373">
      <c r="A373" s="631" t="inlineStr">
        <is>
          <t>CV-W-MUAP</t>
        </is>
      </c>
      <c r="B373" s="631" t="n">
        <v>1500</v>
      </c>
      <c r="C373" s="631" t="n">
        <v>1250</v>
      </c>
      <c r="D373" s="631">
        <f>A373&amp;B373&amp;C373</f>
        <v/>
      </c>
      <c r="E373" s="1040">
        <f>SUM(G373:AD373)</f>
        <v/>
      </c>
      <c r="F373" s="632" t="n">
        <v>18</v>
      </c>
      <c r="G373" s="633">
        <f>F373*CCBASE!$B$51</f>
        <v/>
      </c>
      <c r="H373" s="633">
        <f>CCBASE!$I$16</f>
        <v/>
      </c>
      <c r="I373" s="633">
        <f>(CCBASE!$I$20)/1000*B373</f>
        <v/>
      </c>
      <c r="J373" s="633" t="n"/>
      <c r="K373" s="633" t="n"/>
      <c r="L373" s="633" t="n"/>
      <c r="M373" s="633">
        <f>CCBASE!$I$6*B373/1000</f>
        <v/>
      </c>
      <c r="N373" s="633">
        <f>CCBASE!$I$7*B373/1000</f>
        <v/>
      </c>
      <c r="O373" s="633">
        <f>CCBASE!$I$45*B373/1000</f>
        <v/>
      </c>
      <c r="P373" s="632" t="n"/>
      <c r="Q373" s="632" t="n"/>
      <c r="R373" s="633">
        <f>CCBASE!$I$4</f>
        <v/>
      </c>
      <c r="S373" s="638">
        <f>CCBASE!$I$8</f>
        <v/>
      </c>
      <c r="T373" s="632" t="n"/>
      <c r="U373" s="638">
        <f>CCBASE!$I$47*2</f>
        <v/>
      </c>
      <c r="V373" s="632" t="n"/>
      <c r="W373" s="633">
        <f>CCBASE!$I$40*B373/1000</f>
        <v/>
      </c>
      <c r="X373" s="633" t="n"/>
      <c r="Y373" s="633" t="n"/>
      <c r="Z373" s="633" t="n"/>
      <c r="AA373" s="633" t="n"/>
      <c r="AB373" s="633" t="n"/>
      <c r="AC373" s="633" t="n"/>
      <c r="AD373" s="638">
        <f>CCBASE!$I$32*2</f>
        <v/>
      </c>
    </row>
    <row r="374">
      <c r="A374" s="631" t="inlineStr">
        <is>
          <t>CV-W-MUAP</t>
        </is>
      </c>
      <c r="B374" s="631" t="n">
        <v>1750</v>
      </c>
      <c r="C374" s="631" t="n">
        <v>1250</v>
      </c>
      <c r="D374" s="631">
        <f>A374&amp;B374&amp;C374</f>
        <v/>
      </c>
      <c r="E374" s="1040">
        <f>SUM(G374:AD374)</f>
        <v/>
      </c>
      <c r="F374" s="632" t="n">
        <v>18</v>
      </c>
      <c r="G374" s="633">
        <f>F374*CCBASE!$B$51</f>
        <v/>
      </c>
      <c r="H374" s="633">
        <f>CCBASE!$I$16</f>
        <v/>
      </c>
      <c r="I374" s="633">
        <f>(CCBASE!$I$20)/1000*B374</f>
        <v/>
      </c>
      <c r="J374" s="633" t="n"/>
      <c r="K374" s="633" t="n"/>
      <c r="L374" s="633" t="n"/>
      <c r="M374" s="633">
        <f>CCBASE!$I$6*B374/1000</f>
        <v/>
      </c>
      <c r="N374" s="633">
        <f>CCBASE!$I$7*B374/1000</f>
        <v/>
      </c>
      <c r="O374" s="633">
        <f>CCBASE!$I$45*B374/1000</f>
        <v/>
      </c>
      <c r="P374" s="632" t="n"/>
      <c r="Q374" s="632" t="n"/>
      <c r="R374" s="633">
        <f>CCBASE!$I$4</f>
        <v/>
      </c>
      <c r="S374" s="638">
        <f>CCBASE!$I$8</f>
        <v/>
      </c>
      <c r="T374" s="632" t="n"/>
      <c r="U374" s="638">
        <f>CCBASE!$I$47*2</f>
        <v/>
      </c>
      <c r="V374" s="632" t="n"/>
      <c r="W374" s="633">
        <f>CCBASE!$I$40*B374/1000</f>
        <v/>
      </c>
      <c r="X374" s="633" t="n"/>
      <c r="Y374" s="633" t="n"/>
      <c r="Z374" s="633" t="n"/>
      <c r="AA374" s="633" t="n"/>
      <c r="AB374" s="633" t="n"/>
      <c r="AC374" s="633" t="n"/>
      <c r="AD374" s="638">
        <f>CCBASE!$I$32*2</f>
        <v/>
      </c>
    </row>
    <row r="375">
      <c r="A375" s="631" t="inlineStr">
        <is>
          <t>CV-W-MUAP</t>
        </is>
      </c>
      <c r="B375" s="631" t="n">
        <v>2000</v>
      </c>
      <c r="C375" s="631" t="n">
        <v>1250</v>
      </c>
      <c r="D375" s="631">
        <f>A375&amp;B375&amp;C375</f>
        <v/>
      </c>
      <c r="E375" s="1040">
        <f>SUM(G375:AD375)</f>
        <v/>
      </c>
      <c r="F375" s="632" t="n">
        <v>18</v>
      </c>
      <c r="G375" s="633">
        <f>F375*CCBASE!$B$51</f>
        <v/>
      </c>
      <c r="H375" s="633">
        <f>CCBASE!$I$16</f>
        <v/>
      </c>
      <c r="I375" s="633">
        <f>(CCBASE!$I$20)/1000*B375</f>
        <v/>
      </c>
      <c r="J375" s="633" t="n"/>
      <c r="K375" s="633" t="n"/>
      <c r="L375" s="633" t="n"/>
      <c r="M375" s="633">
        <f>CCBASE!$I$6*B375/1000</f>
        <v/>
      </c>
      <c r="N375" s="633">
        <f>CCBASE!$I$7*B375/1000</f>
        <v/>
      </c>
      <c r="O375" s="633">
        <f>CCBASE!$I$45*B375/1000</f>
        <v/>
      </c>
      <c r="P375" s="632" t="n"/>
      <c r="Q375" s="632" t="n"/>
      <c r="R375" s="633">
        <f>CCBASE!$I$4</f>
        <v/>
      </c>
      <c r="S375" s="638">
        <f>CCBASE!$I$8</f>
        <v/>
      </c>
      <c r="T375" s="632" t="n"/>
      <c r="U375" s="638">
        <f>CCBASE!$I$47*2</f>
        <v/>
      </c>
      <c r="V375" s="632" t="n"/>
      <c r="W375" s="633">
        <f>CCBASE!$I$40*B375/1000</f>
        <v/>
      </c>
      <c r="X375" s="633" t="n"/>
      <c r="Y375" s="633" t="n"/>
      <c r="Z375" s="633" t="n"/>
      <c r="AA375" s="633" t="n"/>
      <c r="AB375" s="633" t="n"/>
      <c r="AC375" s="633" t="n"/>
      <c r="AD375" s="638">
        <f>CCBASE!$I$32*2</f>
        <v/>
      </c>
    </row>
    <row r="376">
      <c r="A376" s="631" t="inlineStr">
        <is>
          <t>CV-W-MUAP</t>
        </is>
      </c>
      <c r="B376" s="631" t="n">
        <v>2250</v>
      </c>
      <c r="C376" s="631" t="n">
        <v>1250</v>
      </c>
      <c r="D376" s="631">
        <f>A376&amp;B376&amp;C376</f>
        <v/>
      </c>
      <c r="E376" s="1040">
        <f>SUM(G376:AD376)</f>
        <v/>
      </c>
      <c r="F376" s="632" t="n">
        <v>19</v>
      </c>
      <c r="G376" s="633">
        <f>F376*CCBASE!$B$51</f>
        <v/>
      </c>
      <c r="H376" s="633">
        <f>CCBASE!$I$16</f>
        <v/>
      </c>
      <c r="I376" s="633">
        <f>(CCBASE!$I$20)/1000*B376</f>
        <v/>
      </c>
      <c r="J376" s="633" t="n"/>
      <c r="K376" s="633" t="n"/>
      <c r="L376" s="633" t="n"/>
      <c r="M376" s="633">
        <f>CCBASE!$I$6*B376/1000</f>
        <v/>
      </c>
      <c r="N376" s="633">
        <f>CCBASE!$I$7*B376/1000</f>
        <v/>
      </c>
      <c r="O376" s="633">
        <f>CCBASE!$I$45*B376/1000</f>
        <v/>
      </c>
      <c r="P376" s="632" t="n"/>
      <c r="Q376" s="632" t="n"/>
      <c r="R376" s="633">
        <f>CCBASE!$I$4</f>
        <v/>
      </c>
      <c r="S376" s="638">
        <f>CCBASE!$I$8</f>
        <v/>
      </c>
      <c r="T376" s="632" t="n"/>
      <c r="U376" s="638">
        <f>CCBASE!$I$47*2</f>
        <v/>
      </c>
      <c r="V376" s="632" t="n"/>
      <c r="W376" s="633">
        <f>CCBASE!$I$40*B376/1000</f>
        <v/>
      </c>
      <c r="X376" s="633" t="n"/>
      <c r="Y376" s="633" t="n"/>
      <c r="Z376" s="633" t="n"/>
      <c r="AA376" s="633" t="n"/>
      <c r="AB376" s="633" t="n"/>
      <c r="AC376" s="633" t="n"/>
      <c r="AD376" s="638">
        <f>CCBASE!$I$32*2</f>
        <v/>
      </c>
    </row>
    <row r="377">
      <c r="A377" s="631" t="inlineStr">
        <is>
          <t>CV-W-MUAP</t>
        </is>
      </c>
      <c r="B377" s="631" t="n">
        <v>2500</v>
      </c>
      <c r="C377" s="631" t="n">
        <v>1250</v>
      </c>
      <c r="D377" s="631">
        <f>A377&amp;B377&amp;C377</f>
        <v/>
      </c>
      <c r="E377" s="1040">
        <f>SUM(G377:AD377)</f>
        <v/>
      </c>
      <c r="F377" s="632" t="n">
        <v>19</v>
      </c>
      <c r="G377" s="633">
        <f>F377*CCBASE!$B$51</f>
        <v/>
      </c>
      <c r="H377" s="633">
        <f>CCBASE!$I$16</f>
        <v/>
      </c>
      <c r="I377" s="633">
        <f>(CCBASE!$I$20)/1000*B377</f>
        <v/>
      </c>
      <c r="J377" s="633" t="n"/>
      <c r="K377" s="633" t="n"/>
      <c r="L377" s="633" t="n"/>
      <c r="M377" s="633">
        <f>CCBASE!$I$6*B377/1000</f>
        <v/>
      </c>
      <c r="N377" s="633">
        <f>CCBASE!$I$7*B377/1000</f>
        <v/>
      </c>
      <c r="O377" s="633">
        <f>CCBASE!$I$45*B377/1000</f>
        <v/>
      </c>
      <c r="P377" s="632" t="n"/>
      <c r="Q377" s="632" t="n"/>
      <c r="R377" s="633">
        <f>CCBASE!$I$4</f>
        <v/>
      </c>
      <c r="S377" s="638">
        <f>CCBASE!$I$8</f>
        <v/>
      </c>
      <c r="T377" s="632" t="n"/>
      <c r="U377" s="638">
        <f>CCBASE!$I$47*2</f>
        <v/>
      </c>
      <c r="V377" s="632" t="n"/>
      <c r="W377" s="633">
        <f>CCBASE!$I$40*B377/1000</f>
        <v/>
      </c>
      <c r="X377" s="633" t="n"/>
      <c r="Y377" s="633" t="n"/>
      <c r="Z377" s="633" t="n"/>
      <c r="AA377" s="633" t="n"/>
      <c r="AB377" s="633" t="n"/>
      <c r="AC377" s="633" t="n"/>
      <c r="AD377" s="638">
        <f>CCBASE!$I$32*2</f>
        <v/>
      </c>
    </row>
    <row r="378">
      <c r="A378" s="631" t="inlineStr">
        <is>
          <t>CV-W-MUAP</t>
        </is>
      </c>
      <c r="B378" s="631" t="n">
        <v>2750</v>
      </c>
      <c r="C378" s="631" t="n">
        <v>1250</v>
      </c>
      <c r="D378" s="631">
        <f>A378&amp;B378&amp;C378</f>
        <v/>
      </c>
      <c r="E378" s="1040">
        <f>SUM(G378:AD378)</f>
        <v/>
      </c>
      <c r="F378" s="632" t="n">
        <v>19</v>
      </c>
      <c r="G378" s="633">
        <f>F378*CCBASE!$B$51</f>
        <v/>
      </c>
      <c r="H378" s="633">
        <f>CCBASE!$I$16</f>
        <v/>
      </c>
      <c r="I378" s="633">
        <f>(CCBASE!$I$20)/1000*B378</f>
        <v/>
      </c>
      <c r="J378" s="633" t="n"/>
      <c r="K378" s="633" t="n"/>
      <c r="L378" s="633" t="n"/>
      <c r="M378" s="633">
        <f>CCBASE!$I$6*B378/1000</f>
        <v/>
      </c>
      <c r="N378" s="633">
        <f>CCBASE!$I$7*B378/1000</f>
        <v/>
      </c>
      <c r="O378" s="633">
        <f>CCBASE!$I$45*B378/1000</f>
        <v/>
      </c>
      <c r="P378" s="632" t="n"/>
      <c r="Q378" s="632" t="n"/>
      <c r="R378" s="633">
        <f>CCBASE!$I$4</f>
        <v/>
      </c>
      <c r="S378" s="638">
        <f>CCBASE!$I$8</f>
        <v/>
      </c>
      <c r="T378" s="632" t="n"/>
      <c r="U378" s="638">
        <f>CCBASE!$I$47*2</f>
        <v/>
      </c>
      <c r="V378" s="632" t="n"/>
      <c r="W378" s="633">
        <f>CCBASE!$I$40*B378/1000</f>
        <v/>
      </c>
      <c r="X378" s="633" t="n"/>
      <c r="Y378" s="633" t="n"/>
      <c r="Z378" s="633" t="n"/>
      <c r="AA378" s="633" t="n"/>
      <c r="AB378" s="633" t="n"/>
      <c r="AC378" s="633" t="n"/>
      <c r="AD378" s="638">
        <f>CCBASE!$I$32*2</f>
        <v/>
      </c>
    </row>
    <row r="379">
      <c r="A379" s="631" t="inlineStr">
        <is>
          <t>CV-W-MUAP</t>
        </is>
      </c>
      <c r="B379" s="631" t="n">
        <v>3000</v>
      </c>
      <c r="C379" s="631" t="n">
        <v>1250</v>
      </c>
      <c r="D379" s="631">
        <f>A379&amp;B379&amp;C379</f>
        <v/>
      </c>
      <c r="E379" s="1040">
        <f>SUM(G379:AD379)</f>
        <v/>
      </c>
      <c r="F379" s="632" t="n">
        <v>19</v>
      </c>
      <c r="G379" s="633">
        <f>F379*CCBASE!$B$51</f>
        <v/>
      </c>
      <c r="H379" s="633">
        <f>CCBASE!$I$16</f>
        <v/>
      </c>
      <c r="I379" s="633">
        <f>(CCBASE!$I$20)/1000*B379</f>
        <v/>
      </c>
      <c r="J379" s="633" t="n"/>
      <c r="K379" s="633" t="n"/>
      <c r="L379" s="633" t="n"/>
      <c r="M379" s="633">
        <f>CCBASE!$I$6*B379/1000</f>
        <v/>
      </c>
      <c r="N379" s="633">
        <f>CCBASE!$I$7*B379/1000</f>
        <v/>
      </c>
      <c r="O379" s="633">
        <f>CCBASE!$I$45*B379/1000</f>
        <v/>
      </c>
      <c r="P379" s="632" t="n"/>
      <c r="Q379" s="632" t="n"/>
      <c r="R379" s="633">
        <f>CCBASE!$I$4</f>
        <v/>
      </c>
      <c r="S379" s="638">
        <f>CCBASE!$I$8</f>
        <v/>
      </c>
      <c r="T379" s="632" t="n"/>
      <c r="U379" s="638">
        <f>CCBASE!$I$47*2</f>
        <v/>
      </c>
      <c r="V379" s="632" t="n"/>
      <c r="W379" s="633">
        <f>CCBASE!$I$40*B379/1000</f>
        <v/>
      </c>
      <c r="X379" s="633" t="n"/>
      <c r="Y379" s="633" t="n"/>
      <c r="Z379" s="633" t="n"/>
      <c r="AA379" s="633" t="n"/>
      <c r="AB379" s="633" t="n"/>
      <c r="AC379" s="633" t="n"/>
      <c r="AD379" s="638">
        <f>CCBASE!$I$32*2</f>
        <v/>
      </c>
    </row>
    <row r="380">
      <c r="A380" s="631" t="inlineStr">
        <is>
          <t>CV-W-MUAP</t>
        </is>
      </c>
      <c r="B380" s="631" t="n">
        <v>1000</v>
      </c>
      <c r="C380" s="631" t="n">
        <v>1500</v>
      </c>
      <c r="D380" s="631">
        <f>A380&amp;B380&amp;C380</f>
        <v/>
      </c>
      <c r="E380" s="1040">
        <f>SUM(G380:AD380)</f>
        <v/>
      </c>
      <c r="F380" s="632" t="n">
        <v>18</v>
      </c>
      <c r="G380" s="633">
        <f>F380*CCBASE!$B$51</f>
        <v/>
      </c>
      <c r="H380" s="633">
        <f>CCBASE!$I$17</f>
        <v/>
      </c>
      <c r="I380" s="633">
        <f>(CCBASE!$I$20)/1000*B380</f>
        <v/>
      </c>
      <c r="J380" s="633" t="n"/>
      <c r="K380" s="633" t="n"/>
      <c r="L380" s="633" t="n"/>
      <c r="M380" s="633">
        <f>CCBASE!$I$6*B380/1000</f>
        <v/>
      </c>
      <c r="N380" s="633">
        <f>CCBASE!$I$7*B380/1000</f>
        <v/>
      </c>
      <c r="O380" s="633">
        <f>CCBASE!$I$45*B380/1000</f>
        <v/>
      </c>
      <c r="P380" s="632" t="n"/>
      <c r="Q380" s="632" t="n"/>
      <c r="R380" s="633">
        <f>CCBASE!$I$4</f>
        <v/>
      </c>
      <c r="S380" s="638">
        <f>CCBASE!$I$8</f>
        <v/>
      </c>
      <c r="T380" s="632" t="n"/>
      <c r="U380" s="638">
        <f>CCBASE!$I$47</f>
        <v/>
      </c>
      <c r="V380" s="632" t="n"/>
      <c r="W380" s="633">
        <f>CCBASE!$I$41*B380/1000</f>
        <v/>
      </c>
      <c r="X380" s="633" t="n"/>
      <c r="Y380" s="633" t="n"/>
      <c r="Z380" s="633" t="n"/>
      <c r="AA380" s="633" t="n"/>
      <c r="AB380" s="633" t="n"/>
      <c r="AC380" s="633" t="n"/>
      <c r="AD380" s="638">
        <f>CCBASE!$I$33*2</f>
        <v/>
      </c>
    </row>
    <row r="381">
      <c r="A381" s="631" t="inlineStr">
        <is>
          <t>CV-W-MUAP</t>
        </is>
      </c>
      <c r="B381" s="631" t="n">
        <v>1250</v>
      </c>
      <c r="C381" s="631" t="n">
        <v>1500</v>
      </c>
      <c r="D381" s="631">
        <f>A381&amp;B381&amp;C381</f>
        <v/>
      </c>
      <c r="E381" s="1040">
        <f>SUM(G381:AD381)</f>
        <v/>
      </c>
      <c r="F381" s="632" t="n">
        <v>18</v>
      </c>
      <c r="G381" s="633">
        <f>F381*CCBASE!$B$51</f>
        <v/>
      </c>
      <c r="H381" s="633">
        <f>CCBASE!$I$17</f>
        <v/>
      </c>
      <c r="I381" s="633">
        <f>(CCBASE!$I$20)/1000*B381</f>
        <v/>
      </c>
      <c r="J381" s="633" t="n"/>
      <c r="K381" s="633" t="n"/>
      <c r="L381" s="633" t="n"/>
      <c r="M381" s="633">
        <f>CCBASE!$I$6*B381/1000</f>
        <v/>
      </c>
      <c r="N381" s="633">
        <f>CCBASE!$I$7*B381/1000</f>
        <v/>
      </c>
      <c r="O381" s="633">
        <f>CCBASE!$I$45*B381/1000</f>
        <v/>
      </c>
      <c r="P381" s="632" t="n"/>
      <c r="Q381" s="632" t="n"/>
      <c r="R381" s="633">
        <f>CCBASE!$I$4</f>
        <v/>
      </c>
      <c r="S381" s="638">
        <f>CCBASE!$I$8</f>
        <v/>
      </c>
      <c r="T381" s="632" t="n"/>
      <c r="U381" s="638">
        <f>CCBASE!$I$47*2</f>
        <v/>
      </c>
      <c r="V381" s="632" t="n"/>
      <c r="W381" s="633">
        <f>CCBASE!$I$41*B381/1000</f>
        <v/>
      </c>
      <c r="X381" s="633" t="n"/>
      <c r="Y381" s="633" t="n"/>
      <c r="Z381" s="633" t="n"/>
      <c r="AA381" s="633" t="n"/>
      <c r="AB381" s="633" t="n"/>
      <c r="AC381" s="633" t="n"/>
      <c r="AD381" s="638">
        <f>CCBASE!$I$33*2</f>
        <v/>
      </c>
    </row>
    <row r="382">
      <c r="A382" s="631" t="inlineStr">
        <is>
          <t>CV-W-MUAP</t>
        </is>
      </c>
      <c r="B382" s="631" t="n">
        <v>1500</v>
      </c>
      <c r="C382" s="631" t="n">
        <v>1500</v>
      </c>
      <c r="D382" s="631">
        <f>A382&amp;B382&amp;C382</f>
        <v/>
      </c>
      <c r="E382" s="1040">
        <f>SUM(G382:AD382)</f>
        <v/>
      </c>
      <c r="F382" s="632" t="n">
        <v>18</v>
      </c>
      <c r="G382" s="633">
        <f>F382*CCBASE!$B$51</f>
        <v/>
      </c>
      <c r="H382" s="633">
        <f>CCBASE!$I$17</f>
        <v/>
      </c>
      <c r="I382" s="633">
        <f>(CCBASE!$I$20)/1000*B382</f>
        <v/>
      </c>
      <c r="J382" s="633" t="n"/>
      <c r="K382" s="633" t="n"/>
      <c r="L382" s="633" t="n"/>
      <c r="M382" s="633">
        <f>CCBASE!$I$6*B382/1000</f>
        <v/>
      </c>
      <c r="N382" s="633">
        <f>CCBASE!$I$7*B382/1000</f>
        <v/>
      </c>
      <c r="O382" s="633">
        <f>CCBASE!$I$45*B382/1000</f>
        <v/>
      </c>
      <c r="P382" s="632" t="n"/>
      <c r="Q382" s="632" t="n"/>
      <c r="R382" s="633">
        <f>CCBASE!$I$4</f>
        <v/>
      </c>
      <c r="S382" s="638">
        <f>CCBASE!$I$8</f>
        <v/>
      </c>
      <c r="T382" s="632" t="n"/>
      <c r="U382" s="638">
        <f>CCBASE!$I$47*2</f>
        <v/>
      </c>
      <c r="V382" s="632" t="n"/>
      <c r="W382" s="633">
        <f>CCBASE!$I$41*B382/1000</f>
        <v/>
      </c>
      <c r="X382" s="633" t="n"/>
      <c r="Y382" s="633" t="n"/>
      <c r="Z382" s="633" t="n"/>
      <c r="AA382" s="633" t="n"/>
      <c r="AB382" s="633" t="n"/>
      <c r="AC382" s="633" t="n"/>
      <c r="AD382" s="638">
        <f>CCBASE!$I$33*2</f>
        <v/>
      </c>
    </row>
    <row r="383">
      <c r="A383" s="631" t="inlineStr">
        <is>
          <t>CV-W-MUAP</t>
        </is>
      </c>
      <c r="B383" s="631" t="n">
        <v>1750</v>
      </c>
      <c r="C383" s="631" t="n">
        <v>1500</v>
      </c>
      <c r="D383" s="631">
        <f>A383&amp;B383&amp;C383</f>
        <v/>
      </c>
      <c r="E383" s="1040">
        <f>SUM(G383:AD383)</f>
        <v/>
      </c>
      <c r="F383" s="632" t="n">
        <v>18</v>
      </c>
      <c r="G383" s="633">
        <f>F383*CCBASE!$B$51</f>
        <v/>
      </c>
      <c r="H383" s="633">
        <f>CCBASE!$I$17</f>
        <v/>
      </c>
      <c r="I383" s="633">
        <f>(CCBASE!$I$20)/1000*B383</f>
        <v/>
      </c>
      <c r="J383" s="633" t="n"/>
      <c r="K383" s="633" t="n"/>
      <c r="L383" s="633" t="n"/>
      <c r="M383" s="633">
        <f>CCBASE!$I$6*B383/1000</f>
        <v/>
      </c>
      <c r="N383" s="633">
        <f>CCBASE!$I$7*B383/1000</f>
        <v/>
      </c>
      <c r="O383" s="633">
        <f>CCBASE!$I$45*B383/1000</f>
        <v/>
      </c>
      <c r="P383" s="632" t="n"/>
      <c r="Q383" s="632" t="n"/>
      <c r="R383" s="633">
        <f>CCBASE!$I$4</f>
        <v/>
      </c>
      <c r="S383" s="638">
        <f>CCBASE!$I$8</f>
        <v/>
      </c>
      <c r="T383" s="632" t="n"/>
      <c r="U383" s="638">
        <f>CCBASE!$I$47*2</f>
        <v/>
      </c>
      <c r="V383" s="632" t="n"/>
      <c r="W383" s="633">
        <f>CCBASE!$I$41*B383/1000</f>
        <v/>
      </c>
      <c r="X383" s="633" t="n"/>
      <c r="Y383" s="633" t="n"/>
      <c r="Z383" s="633" t="n"/>
      <c r="AA383" s="633" t="n"/>
      <c r="AB383" s="633" t="n"/>
      <c r="AC383" s="633" t="n"/>
      <c r="AD383" s="638">
        <f>CCBASE!$I$33*2</f>
        <v/>
      </c>
    </row>
    <row r="384">
      <c r="A384" s="631" t="inlineStr">
        <is>
          <t>CV-W-MUAP</t>
        </is>
      </c>
      <c r="B384" s="631" t="n">
        <v>2000</v>
      </c>
      <c r="C384" s="631" t="n">
        <v>1500</v>
      </c>
      <c r="D384" s="631">
        <f>A384&amp;B384&amp;C384</f>
        <v/>
      </c>
      <c r="E384" s="1040">
        <f>SUM(G384:AD384)</f>
        <v/>
      </c>
      <c r="F384" s="632" t="n">
        <v>18</v>
      </c>
      <c r="G384" s="633">
        <f>F384*CCBASE!$B$51</f>
        <v/>
      </c>
      <c r="H384" s="633">
        <f>CCBASE!$I$17</f>
        <v/>
      </c>
      <c r="I384" s="633">
        <f>(CCBASE!$I$20)/1000*B384</f>
        <v/>
      </c>
      <c r="J384" s="633" t="n"/>
      <c r="K384" s="633" t="n"/>
      <c r="L384" s="633" t="n"/>
      <c r="M384" s="633">
        <f>CCBASE!$I$6*B384/1000</f>
        <v/>
      </c>
      <c r="N384" s="633">
        <f>CCBASE!$I$7*B384/1000</f>
        <v/>
      </c>
      <c r="O384" s="633">
        <f>CCBASE!$I$45*B384/1000</f>
        <v/>
      </c>
      <c r="P384" s="632" t="n"/>
      <c r="Q384" s="632" t="n"/>
      <c r="R384" s="633">
        <f>CCBASE!$I$4</f>
        <v/>
      </c>
      <c r="S384" s="638">
        <f>CCBASE!$I$8</f>
        <v/>
      </c>
      <c r="T384" s="632" t="n"/>
      <c r="U384" s="638">
        <f>CCBASE!$I$47*2</f>
        <v/>
      </c>
      <c r="V384" s="632" t="n"/>
      <c r="W384" s="633">
        <f>CCBASE!$I$41*B384/1000</f>
        <v/>
      </c>
      <c r="X384" s="633" t="n"/>
      <c r="Y384" s="633" t="n"/>
      <c r="Z384" s="633" t="n"/>
      <c r="AA384" s="633" t="n"/>
      <c r="AB384" s="633" t="n"/>
      <c r="AC384" s="633" t="n"/>
      <c r="AD384" s="638">
        <f>CCBASE!$I$33*2</f>
        <v/>
      </c>
    </row>
    <row r="385">
      <c r="A385" s="631" t="inlineStr">
        <is>
          <t>CV-W-MUAP</t>
        </is>
      </c>
      <c r="B385" s="631" t="n">
        <v>2250</v>
      </c>
      <c r="C385" s="631" t="n">
        <v>1500</v>
      </c>
      <c r="D385" s="631">
        <f>A385&amp;B385&amp;C385</f>
        <v/>
      </c>
      <c r="E385" s="1040">
        <f>SUM(G385:AD385)</f>
        <v/>
      </c>
      <c r="F385" s="632" t="n">
        <v>19</v>
      </c>
      <c r="G385" s="633">
        <f>F385*CCBASE!$B$51</f>
        <v/>
      </c>
      <c r="H385" s="633">
        <f>CCBASE!$I$17</f>
        <v/>
      </c>
      <c r="I385" s="633">
        <f>(CCBASE!$I$20)/1000*B385</f>
        <v/>
      </c>
      <c r="J385" s="633" t="n"/>
      <c r="K385" s="633" t="n"/>
      <c r="L385" s="633" t="n"/>
      <c r="M385" s="633">
        <f>CCBASE!$I$6*B385/1000</f>
        <v/>
      </c>
      <c r="N385" s="633">
        <f>CCBASE!$I$7*B385/1000</f>
        <v/>
      </c>
      <c r="O385" s="633">
        <f>CCBASE!$I$45*B385/1000</f>
        <v/>
      </c>
      <c r="P385" s="632" t="n"/>
      <c r="Q385" s="632" t="n"/>
      <c r="R385" s="633">
        <f>CCBASE!$I$4</f>
        <v/>
      </c>
      <c r="S385" s="638">
        <f>CCBASE!$I$8</f>
        <v/>
      </c>
      <c r="T385" s="632" t="n"/>
      <c r="U385" s="638">
        <f>CCBASE!$I$47*2</f>
        <v/>
      </c>
      <c r="V385" s="632" t="n"/>
      <c r="W385" s="633">
        <f>CCBASE!$I$41*B385/1000</f>
        <v/>
      </c>
      <c r="X385" s="633" t="n"/>
      <c r="Y385" s="633" t="n"/>
      <c r="Z385" s="633" t="n"/>
      <c r="AA385" s="633" t="n"/>
      <c r="AB385" s="633" t="n"/>
      <c r="AC385" s="633" t="n"/>
      <c r="AD385" s="638">
        <f>CCBASE!$I$33*2</f>
        <v/>
      </c>
    </row>
    <row r="386">
      <c r="A386" s="631" t="inlineStr">
        <is>
          <t>CV-W-MUAP</t>
        </is>
      </c>
      <c r="B386" s="631" t="n">
        <v>2500</v>
      </c>
      <c r="C386" s="631" t="n">
        <v>1500</v>
      </c>
      <c r="D386" s="631">
        <f>A386&amp;B386&amp;C386</f>
        <v/>
      </c>
      <c r="E386" s="1040">
        <f>SUM(G386:AD386)</f>
        <v/>
      </c>
      <c r="F386" s="632" t="n">
        <v>19</v>
      </c>
      <c r="G386" s="633">
        <f>F386*CCBASE!$B$51</f>
        <v/>
      </c>
      <c r="H386" s="633">
        <f>CCBASE!$I$17</f>
        <v/>
      </c>
      <c r="I386" s="633">
        <f>(CCBASE!$I$20)/1000*B386</f>
        <v/>
      </c>
      <c r="J386" s="633" t="n"/>
      <c r="K386" s="633" t="n"/>
      <c r="L386" s="633" t="n"/>
      <c r="M386" s="633">
        <f>CCBASE!$I$6*B386/1000</f>
        <v/>
      </c>
      <c r="N386" s="633">
        <f>CCBASE!$I$7*B386/1000</f>
        <v/>
      </c>
      <c r="O386" s="633">
        <f>CCBASE!$I$45*B386/1000</f>
        <v/>
      </c>
      <c r="P386" s="632" t="n"/>
      <c r="Q386" s="632" t="n"/>
      <c r="R386" s="633">
        <f>CCBASE!$I$4</f>
        <v/>
      </c>
      <c r="S386" s="638">
        <f>CCBASE!$I$8</f>
        <v/>
      </c>
      <c r="T386" s="632" t="n"/>
      <c r="U386" s="638">
        <f>CCBASE!$I$47*2</f>
        <v/>
      </c>
      <c r="V386" s="632" t="n"/>
      <c r="W386" s="633">
        <f>CCBASE!$I$41*B386/1000</f>
        <v/>
      </c>
      <c r="X386" s="633" t="n"/>
      <c r="Y386" s="633" t="n"/>
      <c r="Z386" s="633" t="n"/>
      <c r="AA386" s="633" t="n"/>
      <c r="AB386" s="633" t="n"/>
      <c r="AC386" s="633" t="n"/>
      <c r="AD386" s="638">
        <f>CCBASE!$I$33*2</f>
        <v/>
      </c>
    </row>
    <row r="387">
      <c r="A387" s="631" t="inlineStr">
        <is>
          <t>CV-W-MUAP</t>
        </is>
      </c>
      <c r="B387" s="631" t="n">
        <v>2750</v>
      </c>
      <c r="C387" s="631" t="n">
        <v>1500</v>
      </c>
      <c r="D387" s="631">
        <f>A387&amp;B387&amp;C387</f>
        <v/>
      </c>
      <c r="E387" s="1040">
        <f>SUM(G387:AD387)</f>
        <v/>
      </c>
      <c r="F387" s="632" t="n">
        <v>19</v>
      </c>
      <c r="G387" s="633">
        <f>F387*CCBASE!$B$51</f>
        <v/>
      </c>
      <c r="H387" s="633">
        <f>CCBASE!$I$17</f>
        <v/>
      </c>
      <c r="I387" s="633">
        <f>(CCBASE!$I$20)/1000*B387</f>
        <v/>
      </c>
      <c r="J387" s="633" t="n"/>
      <c r="K387" s="633" t="n"/>
      <c r="L387" s="633" t="n"/>
      <c r="M387" s="633">
        <f>CCBASE!$I$6*B387/1000</f>
        <v/>
      </c>
      <c r="N387" s="633">
        <f>CCBASE!$I$7*B387/1000</f>
        <v/>
      </c>
      <c r="O387" s="633">
        <f>CCBASE!$I$45*B387/1000</f>
        <v/>
      </c>
      <c r="P387" s="632" t="n"/>
      <c r="Q387" s="632" t="n"/>
      <c r="R387" s="633">
        <f>CCBASE!$I$4</f>
        <v/>
      </c>
      <c r="S387" s="638">
        <f>CCBASE!$I$8</f>
        <v/>
      </c>
      <c r="T387" s="632" t="n"/>
      <c r="U387" s="638">
        <f>CCBASE!$I$47*2</f>
        <v/>
      </c>
      <c r="V387" s="632" t="n"/>
      <c r="W387" s="633">
        <f>CCBASE!$I$41*B387/1000</f>
        <v/>
      </c>
      <c r="X387" s="633" t="n"/>
      <c r="Y387" s="633" t="n"/>
      <c r="Z387" s="633" t="n"/>
      <c r="AA387" s="633" t="n"/>
      <c r="AB387" s="633" t="n"/>
      <c r="AC387" s="633" t="n"/>
      <c r="AD387" s="638">
        <f>CCBASE!$I$33*2</f>
        <v/>
      </c>
    </row>
    <row r="388">
      <c r="A388" s="631" t="inlineStr">
        <is>
          <t>CV-W-MUAP</t>
        </is>
      </c>
      <c r="B388" s="631" t="n">
        <v>3000</v>
      </c>
      <c r="C388" s="631" t="n">
        <v>1500</v>
      </c>
      <c r="D388" s="631">
        <f>A388&amp;B388&amp;C388</f>
        <v/>
      </c>
      <c r="E388" s="1040">
        <f>SUM(G388:AD388)</f>
        <v/>
      </c>
      <c r="F388" s="632" t="n">
        <v>19</v>
      </c>
      <c r="G388" s="633">
        <f>F388*CCBASE!$B$51</f>
        <v/>
      </c>
      <c r="H388" s="633">
        <f>CCBASE!$I$17</f>
        <v/>
      </c>
      <c r="I388" s="633">
        <f>(CCBASE!$I$20)/1000*B388</f>
        <v/>
      </c>
      <c r="J388" s="633" t="n"/>
      <c r="K388" s="633" t="n"/>
      <c r="L388" s="633" t="n"/>
      <c r="M388" s="633">
        <f>CCBASE!$I$6*B388/1000</f>
        <v/>
      </c>
      <c r="N388" s="633">
        <f>CCBASE!$I$7*B388/1000</f>
        <v/>
      </c>
      <c r="O388" s="633">
        <f>CCBASE!$I$45*B388/1000</f>
        <v/>
      </c>
      <c r="P388" s="632" t="n"/>
      <c r="Q388" s="632" t="n"/>
      <c r="R388" s="633">
        <f>CCBASE!$I$4</f>
        <v/>
      </c>
      <c r="S388" s="638">
        <f>CCBASE!$I$8</f>
        <v/>
      </c>
      <c r="T388" s="632" t="n"/>
      <c r="U388" s="638">
        <f>CCBASE!$I$47*2</f>
        <v/>
      </c>
      <c r="V388" s="632" t="n"/>
      <c r="W388" s="633">
        <f>CCBASE!$I$41*B388/1000</f>
        <v/>
      </c>
      <c r="X388" s="633" t="n"/>
      <c r="Y388" s="633" t="n"/>
      <c r="Z388" s="633" t="n"/>
      <c r="AA388" s="633" t="n"/>
      <c r="AB388" s="633" t="n"/>
      <c r="AC388" s="633" t="n"/>
      <c r="AD388" s="638">
        <f>CCBASE!$I$33*2</f>
        <v/>
      </c>
    </row>
    <row r="389">
      <c r="A389" s="631" t="inlineStr">
        <is>
          <t>CV-W-MUAP</t>
        </is>
      </c>
      <c r="B389" s="631" t="n">
        <v>1000</v>
      </c>
      <c r="C389" s="631" t="n">
        <v>1750</v>
      </c>
      <c r="D389" s="631">
        <f>A389&amp;B389&amp;C389</f>
        <v/>
      </c>
      <c r="E389" s="1040">
        <f>SUM(G389:AD389)</f>
        <v/>
      </c>
      <c r="F389" s="632" t="n">
        <v>18</v>
      </c>
      <c r="G389" s="633">
        <f>F389*CCBASE!$B$51</f>
        <v/>
      </c>
      <c r="H389" s="633">
        <f>CCBASE!$I$18</f>
        <v/>
      </c>
      <c r="I389" s="633">
        <f>(CCBASE!$I$20)/1000*B389</f>
        <v/>
      </c>
      <c r="J389" s="633" t="n"/>
      <c r="K389" s="633" t="n"/>
      <c r="L389" s="633" t="n"/>
      <c r="M389" s="633">
        <f>CCBASE!$I$6*B389/1000</f>
        <v/>
      </c>
      <c r="N389" s="633">
        <f>CCBASE!$I$7*B389/1000</f>
        <v/>
      </c>
      <c r="O389" s="633">
        <f>CCBASE!$I$45*B389/1000</f>
        <v/>
      </c>
      <c r="P389" s="632" t="n"/>
      <c r="Q389" s="632" t="n"/>
      <c r="R389" s="633">
        <f>CCBASE!$I$4</f>
        <v/>
      </c>
      <c r="S389" s="638">
        <f>CCBASE!$I$8</f>
        <v/>
      </c>
      <c r="T389" s="632" t="n"/>
      <c r="U389" s="638">
        <f>CCBASE!$I$47</f>
        <v/>
      </c>
      <c r="V389" s="632" t="n"/>
      <c r="W389" s="633">
        <f>CCBASE!$I$42*B389/1000</f>
        <v/>
      </c>
      <c r="X389" s="633" t="n"/>
      <c r="Y389" s="633" t="n"/>
      <c r="Z389" s="633" t="n"/>
      <c r="AA389" s="633" t="n"/>
      <c r="AB389" s="633" t="n"/>
      <c r="AC389" s="633" t="n"/>
      <c r="AD389" s="638">
        <f>CCBASE!$I$34*2</f>
        <v/>
      </c>
    </row>
    <row r="390">
      <c r="A390" s="631" t="inlineStr">
        <is>
          <t>CV-W-MUAP</t>
        </is>
      </c>
      <c r="B390" s="631" t="n">
        <v>1250</v>
      </c>
      <c r="C390" s="631" t="n">
        <v>1750</v>
      </c>
      <c r="D390" s="631">
        <f>A390&amp;B390&amp;C390</f>
        <v/>
      </c>
      <c r="E390" s="1040">
        <f>SUM(G390:AD390)</f>
        <v/>
      </c>
      <c r="F390" s="632" t="n">
        <v>18</v>
      </c>
      <c r="G390" s="633">
        <f>F390*CCBASE!$B$51</f>
        <v/>
      </c>
      <c r="H390" s="633">
        <f>CCBASE!$I$18</f>
        <v/>
      </c>
      <c r="I390" s="633">
        <f>(CCBASE!$I$20)/1000*B390</f>
        <v/>
      </c>
      <c r="J390" s="633" t="n"/>
      <c r="K390" s="633" t="n"/>
      <c r="L390" s="633" t="n"/>
      <c r="M390" s="633">
        <f>CCBASE!$I$6*B390/1000</f>
        <v/>
      </c>
      <c r="N390" s="633">
        <f>CCBASE!$I$7*B390/1000</f>
        <v/>
      </c>
      <c r="O390" s="633">
        <f>CCBASE!$I$45*B390/1000</f>
        <v/>
      </c>
      <c r="P390" s="632" t="n"/>
      <c r="Q390" s="632" t="n"/>
      <c r="R390" s="633">
        <f>CCBASE!$I$4</f>
        <v/>
      </c>
      <c r="S390" s="638">
        <f>CCBASE!$I$8</f>
        <v/>
      </c>
      <c r="T390" s="632" t="n"/>
      <c r="U390" s="638">
        <f>CCBASE!$I$47*2</f>
        <v/>
      </c>
      <c r="V390" s="632" t="n"/>
      <c r="W390" s="633">
        <f>CCBASE!$I$42*B390/1000</f>
        <v/>
      </c>
      <c r="X390" s="633" t="n"/>
      <c r="Y390" s="633" t="n"/>
      <c r="Z390" s="633" t="n"/>
      <c r="AA390" s="633" t="n"/>
      <c r="AB390" s="633" t="n"/>
      <c r="AC390" s="633" t="n"/>
      <c r="AD390" s="638">
        <f>CCBASE!$I$34*2</f>
        <v/>
      </c>
    </row>
    <row r="391">
      <c r="A391" s="631" t="inlineStr">
        <is>
          <t>CV-W-MUAP</t>
        </is>
      </c>
      <c r="B391" s="631" t="n">
        <v>1500</v>
      </c>
      <c r="C391" s="631" t="n">
        <v>1750</v>
      </c>
      <c r="D391" s="631">
        <f>A391&amp;B391&amp;C391</f>
        <v/>
      </c>
      <c r="E391" s="1040">
        <f>SUM(G391:AD391)</f>
        <v/>
      </c>
      <c r="F391" s="632" t="n">
        <v>18</v>
      </c>
      <c r="G391" s="633">
        <f>F391*CCBASE!$B$51</f>
        <v/>
      </c>
      <c r="H391" s="633">
        <f>CCBASE!$I$18</f>
        <v/>
      </c>
      <c r="I391" s="633">
        <f>(CCBASE!$I$20)/1000*B391</f>
        <v/>
      </c>
      <c r="J391" s="633" t="n"/>
      <c r="K391" s="633" t="n"/>
      <c r="L391" s="633" t="n"/>
      <c r="M391" s="633">
        <f>CCBASE!$I$6*B391/1000</f>
        <v/>
      </c>
      <c r="N391" s="633">
        <f>CCBASE!$I$7*B391/1000</f>
        <v/>
      </c>
      <c r="O391" s="633">
        <f>CCBASE!$I$45*B391/1000</f>
        <v/>
      </c>
      <c r="P391" s="632" t="n"/>
      <c r="Q391" s="632" t="n"/>
      <c r="R391" s="633">
        <f>CCBASE!$I$4</f>
        <v/>
      </c>
      <c r="S391" s="638">
        <f>CCBASE!$I$8</f>
        <v/>
      </c>
      <c r="T391" s="632" t="n"/>
      <c r="U391" s="638">
        <f>CCBASE!$I$47*2</f>
        <v/>
      </c>
      <c r="V391" s="632" t="n"/>
      <c r="W391" s="633">
        <f>CCBASE!$I$42*B391/1000</f>
        <v/>
      </c>
      <c r="X391" s="633" t="n"/>
      <c r="Y391" s="633" t="n"/>
      <c r="Z391" s="633" t="n"/>
      <c r="AA391" s="633" t="n"/>
      <c r="AB391" s="633" t="n"/>
      <c r="AC391" s="633" t="n"/>
      <c r="AD391" s="638">
        <f>CCBASE!$I$34*2</f>
        <v/>
      </c>
    </row>
    <row r="392">
      <c r="A392" s="631" t="inlineStr">
        <is>
          <t>CV-W-MUAP</t>
        </is>
      </c>
      <c r="B392" s="631" t="n">
        <v>1750</v>
      </c>
      <c r="C392" s="631" t="n">
        <v>1750</v>
      </c>
      <c r="D392" s="631">
        <f>A392&amp;B392&amp;C392</f>
        <v/>
      </c>
      <c r="E392" s="1040">
        <f>SUM(G392:AD392)</f>
        <v/>
      </c>
      <c r="F392" s="632" t="n">
        <v>18</v>
      </c>
      <c r="G392" s="633">
        <f>F392*CCBASE!$B$51</f>
        <v/>
      </c>
      <c r="H392" s="633">
        <f>CCBASE!$I$18</f>
        <v/>
      </c>
      <c r="I392" s="633">
        <f>(CCBASE!$I$20)/1000*B392</f>
        <v/>
      </c>
      <c r="J392" s="633" t="n"/>
      <c r="K392" s="633" t="n"/>
      <c r="L392" s="633" t="n"/>
      <c r="M392" s="633">
        <f>CCBASE!$I$6*B392/1000</f>
        <v/>
      </c>
      <c r="N392" s="633">
        <f>CCBASE!$I$7*B392/1000</f>
        <v/>
      </c>
      <c r="O392" s="633">
        <f>CCBASE!$I$45*B392/1000</f>
        <v/>
      </c>
      <c r="P392" s="632" t="n"/>
      <c r="Q392" s="632" t="n"/>
      <c r="R392" s="633">
        <f>CCBASE!$I$4</f>
        <v/>
      </c>
      <c r="S392" s="638">
        <f>CCBASE!$I$8</f>
        <v/>
      </c>
      <c r="T392" s="632" t="n"/>
      <c r="U392" s="638">
        <f>CCBASE!$I$47*2</f>
        <v/>
      </c>
      <c r="V392" s="632" t="n"/>
      <c r="W392" s="633">
        <f>CCBASE!$I$42*B392/1000</f>
        <v/>
      </c>
      <c r="X392" s="633" t="n"/>
      <c r="Y392" s="633" t="n"/>
      <c r="Z392" s="633" t="n"/>
      <c r="AA392" s="633" t="n"/>
      <c r="AB392" s="633" t="n"/>
      <c r="AC392" s="633" t="n"/>
      <c r="AD392" s="638">
        <f>CCBASE!$I$34*2</f>
        <v/>
      </c>
    </row>
    <row r="393">
      <c r="A393" s="631" t="inlineStr">
        <is>
          <t>CV-W-MUAP</t>
        </is>
      </c>
      <c r="B393" s="631" t="n">
        <v>2000</v>
      </c>
      <c r="C393" s="631" t="n">
        <v>1750</v>
      </c>
      <c r="D393" s="631">
        <f>A393&amp;B393&amp;C393</f>
        <v/>
      </c>
      <c r="E393" s="1040">
        <f>SUM(G393:AD393)</f>
        <v/>
      </c>
      <c r="F393" s="632" t="n">
        <v>18</v>
      </c>
      <c r="G393" s="633">
        <f>F393*CCBASE!$B$51</f>
        <v/>
      </c>
      <c r="H393" s="633">
        <f>CCBASE!$I$18</f>
        <v/>
      </c>
      <c r="I393" s="633">
        <f>(CCBASE!$I$20)/1000*B393</f>
        <v/>
      </c>
      <c r="J393" s="633" t="n"/>
      <c r="K393" s="633" t="n"/>
      <c r="L393" s="633" t="n"/>
      <c r="M393" s="633">
        <f>CCBASE!$I$6*B393/1000</f>
        <v/>
      </c>
      <c r="N393" s="633">
        <f>CCBASE!$I$7*B393/1000</f>
        <v/>
      </c>
      <c r="O393" s="633">
        <f>CCBASE!$I$45*B393/1000</f>
        <v/>
      </c>
      <c r="P393" s="632" t="n"/>
      <c r="Q393" s="632" t="n"/>
      <c r="R393" s="633">
        <f>CCBASE!$I$4</f>
        <v/>
      </c>
      <c r="S393" s="638">
        <f>CCBASE!$I$8</f>
        <v/>
      </c>
      <c r="T393" s="632" t="n"/>
      <c r="U393" s="638">
        <f>CCBASE!$I$47*2</f>
        <v/>
      </c>
      <c r="V393" s="632" t="n"/>
      <c r="W393" s="633">
        <f>CCBASE!$I$42*B393/1000</f>
        <v/>
      </c>
      <c r="X393" s="633" t="n"/>
      <c r="Y393" s="633" t="n"/>
      <c r="Z393" s="633" t="n"/>
      <c r="AA393" s="633" t="n"/>
      <c r="AB393" s="633" t="n"/>
      <c r="AC393" s="633" t="n"/>
      <c r="AD393" s="638">
        <f>CCBASE!$I$34*2</f>
        <v/>
      </c>
    </row>
    <row r="394">
      <c r="A394" s="631" t="inlineStr">
        <is>
          <t>CV-W-MUAP</t>
        </is>
      </c>
      <c r="B394" s="631" t="n">
        <v>2250</v>
      </c>
      <c r="C394" s="631" t="n">
        <v>1750</v>
      </c>
      <c r="D394" s="631">
        <f>A394&amp;B394&amp;C394</f>
        <v/>
      </c>
      <c r="E394" s="1040">
        <f>SUM(G394:AD394)</f>
        <v/>
      </c>
      <c r="F394" s="632" t="n">
        <v>19</v>
      </c>
      <c r="G394" s="633">
        <f>F394*CCBASE!$B$51</f>
        <v/>
      </c>
      <c r="H394" s="633">
        <f>CCBASE!$I$18</f>
        <v/>
      </c>
      <c r="I394" s="633">
        <f>(CCBASE!$I$20)/1000*B394</f>
        <v/>
      </c>
      <c r="J394" s="633" t="n"/>
      <c r="K394" s="633" t="n"/>
      <c r="L394" s="633" t="n"/>
      <c r="M394" s="633">
        <f>CCBASE!$I$6*B394/1000</f>
        <v/>
      </c>
      <c r="N394" s="633">
        <f>CCBASE!$I$7*B394/1000</f>
        <v/>
      </c>
      <c r="O394" s="633">
        <f>CCBASE!$I$45*B394/1000</f>
        <v/>
      </c>
      <c r="P394" s="632" t="n"/>
      <c r="Q394" s="632" t="n"/>
      <c r="R394" s="633">
        <f>CCBASE!$I$4</f>
        <v/>
      </c>
      <c r="S394" s="638">
        <f>CCBASE!$I$8</f>
        <v/>
      </c>
      <c r="T394" s="632" t="n"/>
      <c r="U394" s="638">
        <f>CCBASE!$I$47*2</f>
        <v/>
      </c>
      <c r="V394" s="632" t="n"/>
      <c r="W394" s="633">
        <f>CCBASE!$I$42*B394/1000</f>
        <v/>
      </c>
      <c r="X394" s="633" t="n"/>
      <c r="Y394" s="633" t="n"/>
      <c r="Z394" s="633" t="n"/>
      <c r="AA394" s="633" t="n"/>
      <c r="AB394" s="633" t="n"/>
      <c r="AC394" s="633" t="n"/>
      <c r="AD394" s="638">
        <f>CCBASE!$I$34*2</f>
        <v/>
      </c>
    </row>
    <row r="395">
      <c r="A395" s="631" t="inlineStr">
        <is>
          <t>CV-W-MUAP</t>
        </is>
      </c>
      <c r="B395" s="631" t="n">
        <v>2500</v>
      </c>
      <c r="C395" s="631" t="n">
        <v>1750</v>
      </c>
      <c r="D395" s="631">
        <f>A395&amp;B395&amp;C395</f>
        <v/>
      </c>
      <c r="E395" s="1040">
        <f>SUM(G395:AD395)</f>
        <v/>
      </c>
      <c r="F395" s="632" t="n">
        <v>19</v>
      </c>
      <c r="G395" s="633">
        <f>F395*CCBASE!$B$51</f>
        <v/>
      </c>
      <c r="H395" s="633">
        <f>CCBASE!$I$18</f>
        <v/>
      </c>
      <c r="I395" s="633">
        <f>(CCBASE!$I$20)/1000*B395</f>
        <v/>
      </c>
      <c r="J395" s="633" t="n"/>
      <c r="K395" s="633" t="n"/>
      <c r="L395" s="633" t="n"/>
      <c r="M395" s="633">
        <f>CCBASE!$I$6*B395/1000</f>
        <v/>
      </c>
      <c r="N395" s="633">
        <f>CCBASE!$I$7*B395/1000</f>
        <v/>
      </c>
      <c r="O395" s="633">
        <f>CCBASE!$I$45*B395/1000*2</f>
        <v/>
      </c>
      <c r="P395" s="632" t="n"/>
      <c r="Q395" s="632" t="n"/>
      <c r="R395" s="633">
        <f>CCBASE!$I$4</f>
        <v/>
      </c>
      <c r="S395" s="638">
        <f>CCBASE!$I$8</f>
        <v/>
      </c>
      <c r="T395" s="632" t="n"/>
      <c r="U395" s="638">
        <f>CCBASE!$I$47*2</f>
        <v/>
      </c>
      <c r="V395" s="632" t="n"/>
      <c r="W395" s="633">
        <f>CCBASE!$I$42*B395/1000</f>
        <v/>
      </c>
      <c r="X395" s="633" t="n"/>
      <c r="Y395" s="633" t="n"/>
      <c r="Z395" s="633" t="n"/>
      <c r="AA395" s="633" t="n"/>
      <c r="AB395" s="633" t="n"/>
      <c r="AC395" s="633" t="n"/>
      <c r="AD395" s="638">
        <f>CCBASE!$I$34*2</f>
        <v/>
      </c>
    </row>
    <row r="396">
      <c r="A396" s="631" t="inlineStr">
        <is>
          <t>CV-W-MUAP</t>
        </is>
      </c>
      <c r="B396" s="631" t="n">
        <v>2750</v>
      </c>
      <c r="C396" s="631" t="n">
        <v>1750</v>
      </c>
      <c r="D396" s="631">
        <f>A396&amp;B396&amp;C396</f>
        <v/>
      </c>
      <c r="E396" s="1040">
        <f>SUM(G396:AD396)</f>
        <v/>
      </c>
      <c r="F396" s="632" t="n">
        <v>19</v>
      </c>
      <c r="G396" s="633">
        <f>F396*CCBASE!$B$51</f>
        <v/>
      </c>
      <c r="H396" s="633">
        <f>CCBASE!$I$18</f>
        <v/>
      </c>
      <c r="I396" s="633">
        <f>(CCBASE!$I$20)/1000*B396</f>
        <v/>
      </c>
      <c r="J396" s="633" t="n"/>
      <c r="K396" s="633" t="n"/>
      <c r="L396" s="633" t="n"/>
      <c r="M396" s="633">
        <f>CCBASE!$I$6*B396/1000</f>
        <v/>
      </c>
      <c r="N396" s="633">
        <f>CCBASE!$I$7*B396/1000</f>
        <v/>
      </c>
      <c r="O396" s="633">
        <f>CCBASE!$I$45*B396/1000*2</f>
        <v/>
      </c>
      <c r="P396" s="632" t="n"/>
      <c r="Q396" s="632" t="n"/>
      <c r="R396" s="633">
        <f>CCBASE!$I$4</f>
        <v/>
      </c>
      <c r="S396" s="638">
        <f>CCBASE!$I$8</f>
        <v/>
      </c>
      <c r="T396" s="632" t="n"/>
      <c r="U396" s="638">
        <f>CCBASE!$I$47*2</f>
        <v/>
      </c>
      <c r="V396" s="632" t="n"/>
      <c r="W396" s="633">
        <f>CCBASE!$I$42*B396/1000</f>
        <v/>
      </c>
      <c r="X396" s="633" t="n"/>
      <c r="Y396" s="633" t="n"/>
      <c r="Z396" s="633" t="n"/>
      <c r="AA396" s="633" t="n"/>
      <c r="AB396" s="633" t="n"/>
      <c r="AC396" s="633" t="n"/>
      <c r="AD396" s="638">
        <f>CCBASE!$I$34*2</f>
        <v/>
      </c>
    </row>
    <row r="397">
      <c r="A397" s="631" t="inlineStr">
        <is>
          <t>CV-W-MUAP</t>
        </is>
      </c>
      <c r="B397" s="631" t="n">
        <v>3000</v>
      </c>
      <c r="C397" s="631" t="n">
        <v>1750</v>
      </c>
      <c r="D397" s="631">
        <f>A397&amp;B397&amp;C397</f>
        <v/>
      </c>
      <c r="E397" s="1040">
        <f>SUM(G397:AD397)</f>
        <v/>
      </c>
      <c r="F397" s="632" t="n">
        <v>19</v>
      </c>
      <c r="G397" s="633">
        <f>F397*CCBASE!$B$51</f>
        <v/>
      </c>
      <c r="H397" s="633">
        <f>CCBASE!$I$18</f>
        <v/>
      </c>
      <c r="I397" s="633">
        <f>(CCBASE!$I$20)/1000*B397</f>
        <v/>
      </c>
      <c r="J397" s="633" t="n"/>
      <c r="K397" s="633" t="n"/>
      <c r="L397" s="633" t="n"/>
      <c r="M397" s="633">
        <f>CCBASE!$I$6*B397/1000</f>
        <v/>
      </c>
      <c r="N397" s="633">
        <f>CCBASE!$I$7*B397/1000</f>
        <v/>
      </c>
      <c r="O397" s="633">
        <f>CCBASE!$I$45*B397/1000*2</f>
        <v/>
      </c>
      <c r="P397" s="632" t="n"/>
      <c r="Q397" s="632" t="n"/>
      <c r="R397" s="633">
        <f>CCBASE!$I$4</f>
        <v/>
      </c>
      <c r="S397" s="638">
        <f>CCBASE!$I$8</f>
        <v/>
      </c>
      <c r="T397" s="632" t="n"/>
      <c r="U397" s="638">
        <f>CCBASE!$I$47*2</f>
        <v/>
      </c>
      <c r="V397" s="632" t="n"/>
      <c r="W397" s="633">
        <f>CCBASE!$I$42*B397/1000</f>
        <v/>
      </c>
      <c r="X397" s="633" t="n"/>
      <c r="Y397" s="633" t="n"/>
      <c r="Z397" s="633" t="n"/>
      <c r="AA397" s="633" t="n"/>
      <c r="AB397" s="633" t="n"/>
      <c r="AC397" s="633" t="n"/>
      <c r="AD397" s="638">
        <f>CCBASE!$I$34*2</f>
        <v/>
      </c>
    </row>
    <row r="398">
      <c r="A398" s="631" t="inlineStr">
        <is>
          <t>CV-I-MUAP</t>
        </is>
      </c>
      <c r="B398" s="631" t="n">
        <v>1000</v>
      </c>
      <c r="C398" s="631" t="n">
        <v>2500</v>
      </c>
      <c r="D398" s="631">
        <f>A398&amp;B398&amp;C398</f>
        <v/>
      </c>
      <c r="E398" s="1040">
        <f>SUM(G398:AD398)</f>
        <v/>
      </c>
      <c r="F398" s="632" t="n">
        <v>27</v>
      </c>
      <c r="G398" s="633">
        <f>F398*CCBASE!$B$51</f>
        <v/>
      </c>
      <c r="H398" s="633">
        <f>CCBASE!$I$16*2</f>
        <v/>
      </c>
      <c r="I398" s="633">
        <f>(CCBASE!$I$20)/1000*2*B398</f>
        <v/>
      </c>
      <c r="J398" s="633" t="n"/>
      <c r="K398" s="633" t="n"/>
      <c r="L398" s="633" t="n"/>
      <c r="M398" s="633">
        <f>CCBASE!$I$6*B398/1000*2</f>
        <v/>
      </c>
      <c r="N398" s="633">
        <f>CCBASE!$I$7*B398/1000*2</f>
        <v/>
      </c>
      <c r="O398" s="633">
        <f>CCBASE!$I$45*B398/1000*2</f>
        <v/>
      </c>
      <c r="P398" s="632" t="n"/>
      <c r="Q398" s="632" t="n"/>
      <c r="R398" s="633">
        <f>CCBASE!$I$4</f>
        <v/>
      </c>
      <c r="S398" s="638">
        <f>CCBASE!$I$8*2</f>
        <v/>
      </c>
      <c r="T398" s="632" t="n"/>
      <c r="U398" s="638">
        <f>CCBASE!$I$47*2</f>
        <v/>
      </c>
      <c r="V398" s="632" t="n"/>
      <c r="W398" s="638">
        <f>CCBASE!$I$40*B398/1000*2</f>
        <v/>
      </c>
      <c r="X398" s="638" t="n"/>
      <c r="Y398" s="638" t="n"/>
      <c r="Z398" s="638" t="n"/>
      <c r="AA398" s="638" t="n"/>
      <c r="AB398" s="638" t="n"/>
      <c r="AC398" s="638" t="n"/>
      <c r="AD398" s="638">
        <f>CCBASE!$I$32*4</f>
        <v/>
      </c>
    </row>
    <row r="399">
      <c r="A399" s="631" t="inlineStr">
        <is>
          <t>CV-I-MUAP</t>
        </is>
      </c>
      <c r="B399" s="631" t="n">
        <v>1250</v>
      </c>
      <c r="C399" s="631" t="n">
        <v>2500</v>
      </c>
      <c r="D399" s="631">
        <f>A399&amp;B399&amp;C399</f>
        <v/>
      </c>
      <c r="E399" s="1040">
        <f>SUM(G399:AD399)</f>
        <v/>
      </c>
      <c r="F399" s="632" t="n">
        <v>27</v>
      </c>
      <c r="G399" s="633">
        <f>F399*CCBASE!$B$51</f>
        <v/>
      </c>
      <c r="H399" s="633">
        <f>CCBASE!$I$16*2</f>
        <v/>
      </c>
      <c r="I399" s="633">
        <f>(CCBASE!$I$20)/1000*2*B399</f>
        <v/>
      </c>
      <c r="J399" s="633" t="n"/>
      <c r="K399" s="633" t="n"/>
      <c r="L399" s="633" t="n"/>
      <c r="M399" s="633">
        <f>CCBASE!$I$6*B399/1000*2</f>
        <v/>
      </c>
      <c r="N399" s="633">
        <f>CCBASE!$I$7*B399/1000*2</f>
        <v/>
      </c>
      <c r="O399" s="633">
        <f>CCBASE!$I$45*B399/1000*2</f>
        <v/>
      </c>
      <c r="P399" s="632" t="n"/>
      <c r="Q399" s="632" t="n"/>
      <c r="R399" s="633">
        <f>CCBASE!$I$4</f>
        <v/>
      </c>
      <c r="S399" s="638">
        <f>CCBASE!$I$8*2</f>
        <v/>
      </c>
      <c r="T399" s="632" t="n"/>
      <c r="U399" s="633">
        <f>CCBASE!$I$47*4</f>
        <v/>
      </c>
      <c r="V399" s="632" t="n"/>
      <c r="W399" s="638">
        <f>CCBASE!$I$40*B399/1000*2</f>
        <v/>
      </c>
      <c r="X399" s="638" t="n"/>
      <c r="Y399" s="638" t="n"/>
      <c r="Z399" s="638" t="n"/>
      <c r="AA399" s="638" t="n"/>
      <c r="AB399" s="638" t="n"/>
      <c r="AC399" s="638" t="n"/>
      <c r="AD399" s="638">
        <f>CCBASE!$I$32*4</f>
        <v/>
      </c>
    </row>
    <row r="400">
      <c r="A400" s="631" t="inlineStr">
        <is>
          <t>CV-I-MUAP</t>
        </is>
      </c>
      <c r="B400" s="631" t="n">
        <v>1500</v>
      </c>
      <c r="C400" s="631" t="n">
        <v>2500</v>
      </c>
      <c r="D400" s="631">
        <f>A400&amp;B400&amp;C400</f>
        <v/>
      </c>
      <c r="E400" s="1040">
        <f>SUM(G400:AD400)</f>
        <v/>
      </c>
      <c r="F400" s="632" t="n">
        <v>27</v>
      </c>
      <c r="G400" s="633">
        <f>F400*CCBASE!$B$51</f>
        <v/>
      </c>
      <c r="H400" s="633">
        <f>CCBASE!$I$16*2</f>
        <v/>
      </c>
      <c r="I400" s="633">
        <f>(CCBASE!$I$20)/1000*2*B400</f>
        <v/>
      </c>
      <c r="J400" s="633" t="n"/>
      <c r="K400" s="633" t="n"/>
      <c r="L400" s="633" t="n"/>
      <c r="M400" s="633">
        <f>CCBASE!$I$6*B400/1000*2</f>
        <v/>
      </c>
      <c r="N400" s="633">
        <f>CCBASE!$I$7*B400/1000*2</f>
        <v/>
      </c>
      <c r="O400" s="633">
        <f>CCBASE!$I$45*B400/1000*2</f>
        <v/>
      </c>
      <c r="P400" s="632" t="n"/>
      <c r="Q400" s="632" t="n"/>
      <c r="R400" s="633">
        <f>CCBASE!$I$4</f>
        <v/>
      </c>
      <c r="S400" s="638">
        <f>CCBASE!$I$8*2</f>
        <v/>
      </c>
      <c r="T400" s="632" t="n"/>
      <c r="U400" s="633">
        <f>CCBASE!$I$47*4</f>
        <v/>
      </c>
      <c r="V400" s="632" t="n"/>
      <c r="W400" s="638">
        <f>CCBASE!$I$40*B400/1000*2</f>
        <v/>
      </c>
      <c r="X400" s="638" t="n"/>
      <c r="Y400" s="638" t="n"/>
      <c r="Z400" s="638" t="n"/>
      <c r="AA400" s="638" t="n"/>
      <c r="AB400" s="638" t="n"/>
      <c r="AC400" s="638" t="n"/>
      <c r="AD400" s="638">
        <f>CCBASE!$I$32*4</f>
        <v/>
      </c>
    </row>
    <row r="401">
      <c r="A401" s="631" t="inlineStr">
        <is>
          <t>CV-I-MUAP</t>
        </is>
      </c>
      <c r="B401" s="631" t="n">
        <v>1750</v>
      </c>
      <c r="C401" s="631" t="n">
        <v>2500</v>
      </c>
      <c r="D401" s="631">
        <f>A401&amp;B401&amp;C401</f>
        <v/>
      </c>
      <c r="E401" s="1040">
        <f>SUM(G401:AD401)</f>
        <v/>
      </c>
      <c r="F401" s="632" t="n">
        <v>27</v>
      </c>
      <c r="G401" s="633">
        <f>F401*CCBASE!$B$51</f>
        <v/>
      </c>
      <c r="H401" s="633">
        <f>CCBASE!$I$16*2</f>
        <v/>
      </c>
      <c r="I401" s="633">
        <f>(CCBASE!$I$20)/1000*2*B401</f>
        <v/>
      </c>
      <c r="J401" s="633" t="n"/>
      <c r="K401" s="633" t="n"/>
      <c r="L401" s="633" t="n"/>
      <c r="M401" s="633">
        <f>CCBASE!$I$6*B401/1000*2</f>
        <v/>
      </c>
      <c r="N401" s="633">
        <f>CCBASE!$I$7*B401/1000*2</f>
        <v/>
      </c>
      <c r="O401" s="633">
        <f>CCBASE!$I$45*B401/1000*2</f>
        <v/>
      </c>
      <c r="P401" s="632" t="n"/>
      <c r="Q401" s="632" t="n"/>
      <c r="R401" s="633">
        <f>CCBASE!$I$4</f>
        <v/>
      </c>
      <c r="S401" s="638">
        <f>CCBASE!$I$8*2</f>
        <v/>
      </c>
      <c r="T401" s="632" t="n"/>
      <c r="U401" s="633">
        <f>CCBASE!$I$47*4</f>
        <v/>
      </c>
      <c r="V401" s="632" t="n"/>
      <c r="W401" s="638">
        <f>CCBASE!$I$40*B401/1000*2</f>
        <v/>
      </c>
      <c r="X401" s="638" t="n"/>
      <c r="Y401" s="638" t="n"/>
      <c r="Z401" s="638" t="n"/>
      <c r="AA401" s="638" t="n"/>
      <c r="AB401" s="638" t="n"/>
      <c r="AC401" s="638" t="n"/>
      <c r="AD401" s="638">
        <f>CCBASE!$I$32*4</f>
        <v/>
      </c>
    </row>
    <row r="402">
      <c r="A402" s="631" t="inlineStr">
        <is>
          <t>CV-I-MUAP</t>
        </is>
      </c>
      <c r="B402" s="631" t="n">
        <v>2000</v>
      </c>
      <c r="C402" s="631" t="n">
        <v>2500</v>
      </c>
      <c r="D402" s="631">
        <f>A402&amp;B402&amp;C402</f>
        <v/>
      </c>
      <c r="E402" s="1040">
        <f>SUM(G402:AD402)</f>
        <v/>
      </c>
      <c r="F402" s="632" t="n">
        <v>27</v>
      </c>
      <c r="G402" s="633">
        <f>F402*CCBASE!$B$51</f>
        <v/>
      </c>
      <c r="H402" s="633">
        <f>CCBASE!$I$16*2</f>
        <v/>
      </c>
      <c r="I402" s="633">
        <f>(CCBASE!$I$20)/1000*2*B402</f>
        <v/>
      </c>
      <c r="J402" s="633" t="n"/>
      <c r="K402" s="633" t="n"/>
      <c r="L402" s="633" t="n"/>
      <c r="M402" s="633">
        <f>CCBASE!$I$6*B402/1000*2</f>
        <v/>
      </c>
      <c r="N402" s="633">
        <f>CCBASE!$I$7*B402/1000*2</f>
        <v/>
      </c>
      <c r="O402" s="633">
        <f>CCBASE!$I$45*B402/1000*2</f>
        <v/>
      </c>
      <c r="P402" s="632" t="n"/>
      <c r="Q402" s="632" t="n"/>
      <c r="R402" s="633">
        <f>CCBASE!$I$4</f>
        <v/>
      </c>
      <c r="S402" s="638">
        <f>CCBASE!$I$8*2</f>
        <v/>
      </c>
      <c r="T402" s="632" t="n"/>
      <c r="U402" s="633">
        <f>CCBASE!$I$47*4</f>
        <v/>
      </c>
      <c r="V402" s="632" t="n"/>
      <c r="W402" s="638">
        <f>CCBASE!$I$40*B402/1000*2</f>
        <v/>
      </c>
      <c r="X402" s="638" t="n"/>
      <c r="Y402" s="638" t="n"/>
      <c r="Z402" s="638" t="n"/>
      <c r="AA402" s="638" t="n"/>
      <c r="AB402" s="638" t="n"/>
      <c r="AC402" s="638" t="n"/>
      <c r="AD402" s="638">
        <f>CCBASE!$I$32*4</f>
        <v/>
      </c>
    </row>
    <row r="403">
      <c r="A403" s="631" t="inlineStr">
        <is>
          <t>CV-I-MUAP</t>
        </is>
      </c>
      <c r="B403" s="631" t="n">
        <v>2250</v>
      </c>
      <c r="C403" s="631" t="n">
        <v>2500</v>
      </c>
      <c r="D403" s="631">
        <f>A403&amp;B403&amp;C403</f>
        <v/>
      </c>
      <c r="E403" s="1040">
        <f>SUM(G403:AD403)</f>
        <v/>
      </c>
      <c r="F403" s="632" t="n">
        <v>27</v>
      </c>
      <c r="G403" s="633">
        <f>F403*CCBASE!$B$51</f>
        <v/>
      </c>
      <c r="H403" s="633">
        <f>CCBASE!$I$16*2</f>
        <v/>
      </c>
      <c r="I403" s="633">
        <f>(CCBASE!$I$20)/1000*2*B403</f>
        <v/>
      </c>
      <c r="J403" s="633" t="n"/>
      <c r="K403" s="633" t="n"/>
      <c r="L403" s="633" t="n"/>
      <c r="M403" s="633">
        <f>CCBASE!$I$6*B403/1000*2</f>
        <v/>
      </c>
      <c r="N403" s="633">
        <f>CCBASE!$I$7*B403/1000*2</f>
        <v/>
      </c>
      <c r="O403" s="633">
        <f>CCBASE!$I$45*B403/1000*2</f>
        <v/>
      </c>
      <c r="P403" s="632" t="n"/>
      <c r="Q403" s="632" t="n"/>
      <c r="R403" s="633">
        <f>CCBASE!$I$4</f>
        <v/>
      </c>
      <c r="S403" s="638">
        <f>CCBASE!$I$8*2</f>
        <v/>
      </c>
      <c r="T403" s="632" t="n"/>
      <c r="U403" s="633">
        <f>CCBASE!$I$47*4</f>
        <v/>
      </c>
      <c r="V403" s="632" t="n"/>
      <c r="W403" s="638">
        <f>CCBASE!$I$40*B403/1000*2</f>
        <v/>
      </c>
      <c r="X403" s="638" t="n"/>
      <c r="Y403" s="638" t="n"/>
      <c r="Z403" s="638" t="n"/>
      <c r="AA403" s="638" t="n"/>
      <c r="AB403" s="638" t="n"/>
      <c r="AC403" s="638" t="n"/>
      <c r="AD403" s="638">
        <f>CCBASE!$I$32*4</f>
        <v/>
      </c>
    </row>
    <row r="404">
      <c r="A404" s="631" t="inlineStr">
        <is>
          <t>CV-I-MUAP</t>
        </is>
      </c>
      <c r="B404" s="631" t="n">
        <v>2500</v>
      </c>
      <c r="C404" s="631" t="n">
        <v>2500</v>
      </c>
      <c r="D404" s="631">
        <f>A404&amp;B404&amp;C404</f>
        <v/>
      </c>
      <c r="E404" s="1040">
        <f>SUM(G404:AD404)</f>
        <v/>
      </c>
      <c r="F404" s="632" t="n">
        <v>27</v>
      </c>
      <c r="G404" s="633">
        <f>F404*CCBASE!$B$51</f>
        <v/>
      </c>
      <c r="H404" s="633">
        <f>CCBASE!$I$16*2</f>
        <v/>
      </c>
      <c r="I404" s="633">
        <f>(CCBASE!$I$20)/1000*2*B404</f>
        <v/>
      </c>
      <c r="J404" s="633" t="n"/>
      <c r="K404" s="633" t="n"/>
      <c r="L404" s="633" t="n"/>
      <c r="M404" s="633">
        <f>CCBASE!$I$6*B404/1000*2</f>
        <v/>
      </c>
      <c r="N404" s="633">
        <f>CCBASE!$I$7*B404/1000*2</f>
        <v/>
      </c>
      <c r="O404" s="633">
        <f>CCBASE!$I$45*B404/1000*2</f>
        <v/>
      </c>
      <c r="P404" s="632" t="n"/>
      <c r="Q404" s="632" t="n"/>
      <c r="R404" s="633">
        <f>CCBASE!$I$4</f>
        <v/>
      </c>
      <c r="S404" s="638">
        <f>CCBASE!$I$8*2</f>
        <v/>
      </c>
      <c r="T404" s="632" t="n"/>
      <c r="U404" s="633">
        <f>CCBASE!$I$47*4</f>
        <v/>
      </c>
      <c r="V404" s="632" t="n"/>
      <c r="W404" s="638">
        <f>CCBASE!$I$40*B404/1000*2</f>
        <v/>
      </c>
      <c r="X404" s="638" t="n"/>
      <c r="Y404" s="638" t="n"/>
      <c r="Z404" s="638" t="n"/>
      <c r="AA404" s="638" t="n"/>
      <c r="AB404" s="638" t="n"/>
      <c r="AC404" s="638" t="n"/>
      <c r="AD404" s="638">
        <f>CCBASE!$I$32*4</f>
        <v/>
      </c>
    </row>
    <row r="405">
      <c r="A405" s="631" t="inlineStr">
        <is>
          <t>CV-I-MUAP</t>
        </is>
      </c>
      <c r="B405" s="631" t="n">
        <v>2750</v>
      </c>
      <c r="C405" s="631" t="n">
        <v>2500</v>
      </c>
      <c r="D405" s="631">
        <f>A405&amp;B405&amp;C405</f>
        <v/>
      </c>
      <c r="E405" s="1040">
        <f>SUM(G405:AD405)</f>
        <v/>
      </c>
      <c r="F405" s="632" t="n">
        <v>27</v>
      </c>
      <c r="G405" s="633">
        <f>F405*CCBASE!$B$51</f>
        <v/>
      </c>
      <c r="H405" s="633">
        <f>CCBASE!$I$16*2</f>
        <v/>
      </c>
      <c r="I405" s="633">
        <f>(CCBASE!$I$20)/1000*2*B405</f>
        <v/>
      </c>
      <c r="J405" s="633" t="n"/>
      <c r="K405" s="633" t="n"/>
      <c r="L405" s="633" t="n"/>
      <c r="M405" s="633">
        <f>CCBASE!$I$6*B405/1000*2</f>
        <v/>
      </c>
      <c r="N405" s="633">
        <f>CCBASE!$I$7*B405/1000*2</f>
        <v/>
      </c>
      <c r="O405" s="633">
        <f>CCBASE!$I$45*B405/1000*2</f>
        <v/>
      </c>
      <c r="P405" s="632" t="n"/>
      <c r="Q405" s="632" t="n"/>
      <c r="R405" s="633">
        <f>CCBASE!$I$4</f>
        <v/>
      </c>
      <c r="S405" s="638">
        <f>CCBASE!$I$8*2</f>
        <v/>
      </c>
      <c r="T405" s="632" t="n"/>
      <c r="U405" s="633">
        <f>CCBASE!$I$47*4</f>
        <v/>
      </c>
      <c r="V405" s="632" t="n"/>
      <c r="W405" s="638">
        <f>CCBASE!$I$40*B405/1000*2</f>
        <v/>
      </c>
      <c r="X405" s="638" t="n"/>
      <c r="Y405" s="638" t="n"/>
      <c r="Z405" s="638" t="n"/>
      <c r="AA405" s="638" t="n"/>
      <c r="AB405" s="638" t="n"/>
      <c r="AC405" s="638" t="n"/>
      <c r="AD405" s="638">
        <f>CCBASE!$I$32*4</f>
        <v/>
      </c>
    </row>
    <row r="406">
      <c r="A406" s="631" t="inlineStr">
        <is>
          <t>CV-I-MUAP</t>
        </is>
      </c>
      <c r="B406" s="631" t="n">
        <v>3000</v>
      </c>
      <c r="C406" s="631" t="n">
        <v>2500</v>
      </c>
      <c r="D406" s="631">
        <f>A406&amp;B406&amp;C406</f>
        <v/>
      </c>
      <c r="E406" s="1040">
        <f>SUM(G406:AD406)</f>
        <v/>
      </c>
      <c r="F406" s="632" t="n">
        <v>27</v>
      </c>
      <c r="G406" s="633">
        <f>F406*CCBASE!$B$51</f>
        <v/>
      </c>
      <c r="H406" s="633">
        <f>CCBASE!$I$16*2</f>
        <v/>
      </c>
      <c r="I406" s="633">
        <f>(CCBASE!$I$20)/1000*2*B406</f>
        <v/>
      </c>
      <c r="J406" s="633" t="n"/>
      <c r="K406" s="633" t="n"/>
      <c r="L406" s="633" t="n"/>
      <c r="M406" s="633">
        <f>CCBASE!$I$6*B406/1000*2</f>
        <v/>
      </c>
      <c r="N406" s="633">
        <f>CCBASE!$I$7*B406/1000*2</f>
        <v/>
      </c>
      <c r="O406" s="633">
        <f>CCBASE!$I$45*B406/1000*2</f>
        <v/>
      </c>
      <c r="P406" s="632" t="n"/>
      <c r="Q406" s="632" t="n"/>
      <c r="R406" s="633">
        <f>CCBASE!$I$4</f>
        <v/>
      </c>
      <c r="S406" s="638">
        <f>CCBASE!$I$8*2</f>
        <v/>
      </c>
      <c r="T406" s="632" t="n"/>
      <c r="U406" s="633">
        <f>CCBASE!$I$47*4</f>
        <v/>
      </c>
      <c r="V406" s="632" t="n"/>
      <c r="W406" s="638">
        <f>CCBASE!$I$40*B406/1000*2</f>
        <v/>
      </c>
      <c r="X406" s="638" t="n"/>
      <c r="Y406" s="638" t="n"/>
      <c r="Z406" s="638" t="n"/>
      <c r="AA406" s="638" t="n"/>
      <c r="AB406" s="638" t="n"/>
      <c r="AC406" s="638" t="n"/>
      <c r="AD406" s="638">
        <f>CCBASE!$I$32*4</f>
        <v/>
      </c>
    </row>
    <row r="407">
      <c r="A407" s="631" t="inlineStr">
        <is>
          <t>CMW-I-MUAP</t>
        </is>
      </c>
      <c r="B407" s="631" t="n">
        <v>1000</v>
      </c>
      <c r="C407" s="631" t="n">
        <v>2500</v>
      </c>
      <c r="D407" s="631">
        <f>A407&amp;B407&amp;C407</f>
        <v/>
      </c>
      <c r="E407" s="1040">
        <f>SUM(G407:AD407)</f>
        <v/>
      </c>
      <c r="F407" s="632" t="n">
        <v>27</v>
      </c>
      <c r="G407" s="633">
        <f>F407*CCBASE!$B$51</f>
        <v/>
      </c>
      <c r="H407" s="633">
        <f>CCBASE!$I$16*2</f>
        <v/>
      </c>
      <c r="I407" s="633">
        <f>(CCBASE!$I$20)/1000*2*B407</f>
        <v/>
      </c>
      <c r="J407" s="633" t="n"/>
      <c r="K407" s="633" t="n"/>
      <c r="L407" s="633" t="n"/>
      <c r="M407" s="633">
        <f>CCBASE!$I$6*B407/1000*2</f>
        <v/>
      </c>
      <c r="N407" s="633">
        <f>CCBASE!$I$7*B407/1000*2</f>
        <v/>
      </c>
      <c r="O407" s="633">
        <f>CCBASE!$I$45*B407/1000*2</f>
        <v/>
      </c>
      <c r="P407" s="632" t="n"/>
      <c r="Q407" s="632" t="n"/>
      <c r="R407" s="633">
        <f>CCBASE!$I$4</f>
        <v/>
      </c>
      <c r="S407" s="638">
        <f>CCBASE!$I$8*2</f>
        <v/>
      </c>
      <c r="T407" s="632" t="n"/>
      <c r="U407" s="638">
        <f>CCBASE!$I$47*2</f>
        <v/>
      </c>
      <c r="V407" s="632" t="n"/>
      <c r="W407" s="638">
        <f>CCBASE!$I$40*B407/1000*2</f>
        <v/>
      </c>
      <c r="X407" s="638" t="n"/>
      <c r="Y407" s="638" t="n"/>
      <c r="Z407" s="638" t="n"/>
      <c r="AA407" s="638" t="n"/>
      <c r="AB407" s="638" t="n"/>
      <c r="AC407" s="638" t="n"/>
      <c r="AD407" s="638">
        <f>CCBASE!$I$32*4</f>
        <v/>
      </c>
    </row>
    <row r="408">
      <c r="A408" s="631" t="inlineStr">
        <is>
          <t>CMW-I-MUAP</t>
        </is>
      </c>
      <c r="B408" s="631" t="n">
        <v>1250</v>
      </c>
      <c r="C408" s="631" t="n">
        <v>2500</v>
      </c>
      <c r="D408" s="631">
        <f>A408&amp;B408&amp;C408</f>
        <v/>
      </c>
      <c r="E408" s="1040">
        <f>SUM(G408:AD408)</f>
        <v/>
      </c>
      <c r="F408" s="632" t="n">
        <v>27</v>
      </c>
      <c r="G408" s="633">
        <f>F408*CCBASE!$B$51</f>
        <v/>
      </c>
      <c r="H408" s="633">
        <f>CCBASE!$I$16*2</f>
        <v/>
      </c>
      <c r="I408" s="633">
        <f>(CCBASE!$I$20)/1000*2*B408</f>
        <v/>
      </c>
      <c r="J408" s="633" t="n"/>
      <c r="K408" s="633" t="n"/>
      <c r="L408" s="633" t="n"/>
      <c r="M408" s="633">
        <f>CCBASE!$I$6*B408/1000*2</f>
        <v/>
      </c>
      <c r="N408" s="633">
        <f>CCBASE!$I$7*B408/1000*2</f>
        <v/>
      </c>
      <c r="O408" s="633">
        <f>CCBASE!$I$45*B408/1000*2</f>
        <v/>
      </c>
      <c r="P408" s="632" t="n"/>
      <c r="Q408" s="632" t="n"/>
      <c r="R408" s="633">
        <f>CCBASE!$I$4</f>
        <v/>
      </c>
      <c r="S408" s="638">
        <f>CCBASE!$I$8*2</f>
        <v/>
      </c>
      <c r="T408" s="632" t="n"/>
      <c r="U408" s="638">
        <f>CCBASE!$I$47*4</f>
        <v/>
      </c>
      <c r="V408" s="632" t="n"/>
      <c r="W408" s="638">
        <f>CCBASE!$I$40*B408/1000*2</f>
        <v/>
      </c>
      <c r="X408" s="638" t="n"/>
      <c r="Y408" s="638" t="n"/>
      <c r="Z408" s="638" t="n"/>
      <c r="AA408" s="638" t="n"/>
      <c r="AB408" s="638" t="n"/>
      <c r="AC408" s="638" t="n"/>
      <c r="AD408" s="638">
        <f>CCBASE!$I$32*4</f>
        <v/>
      </c>
    </row>
    <row r="409">
      <c r="A409" s="631" t="inlineStr">
        <is>
          <t>CMW-I-MUAP</t>
        </is>
      </c>
      <c r="B409" s="631" t="n">
        <v>1500</v>
      </c>
      <c r="C409" s="631" t="n">
        <v>2500</v>
      </c>
      <c r="D409" s="631">
        <f>A409&amp;B409&amp;C409</f>
        <v/>
      </c>
      <c r="E409" s="1040">
        <f>SUM(G409:AD409)</f>
        <v/>
      </c>
      <c r="F409" s="632" t="n">
        <v>27</v>
      </c>
      <c r="G409" s="633">
        <f>F409*CCBASE!$B$51</f>
        <v/>
      </c>
      <c r="H409" s="633">
        <f>CCBASE!$I$16*2</f>
        <v/>
      </c>
      <c r="I409" s="633">
        <f>(CCBASE!$I$20)/1000*2*B409</f>
        <v/>
      </c>
      <c r="J409" s="633" t="n"/>
      <c r="K409" s="633" t="n"/>
      <c r="L409" s="633" t="n"/>
      <c r="M409" s="633">
        <f>CCBASE!$I$6*B409/1000*2</f>
        <v/>
      </c>
      <c r="N409" s="633">
        <f>CCBASE!$I$7*B409/1000*2</f>
        <v/>
      </c>
      <c r="O409" s="633">
        <f>CCBASE!$I$45*B409/1000*2</f>
        <v/>
      </c>
      <c r="P409" s="632" t="n"/>
      <c r="Q409" s="632" t="n"/>
      <c r="R409" s="633">
        <f>CCBASE!$I$4</f>
        <v/>
      </c>
      <c r="S409" s="638">
        <f>CCBASE!$I$8*2</f>
        <v/>
      </c>
      <c r="T409" s="632" t="n"/>
      <c r="U409" s="638">
        <f>CCBASE!$I$47*4</f>
        <v/>
      </c>
      <c r="V409" s="632" t="n"/>
      <c r="W409" s="638">
        <f>CCBASE!$I$40*B409/1000*2</f>
        <v/>
      </c>
      <c r="X409" s="638" t="n"/>
      <c r="Y409" s="638" t="n"/>
      <c r="Z409" s="638" t="n"/>
      <c r="AA409" s="638" t="n"/>
      <c r="AB409" s="638" t="n"/>
      <c r="AC409" s="638" t="n"/>
      <c r="AD409" s="638">
        <f>CCBASE!$I$32*4</f>
        <v/>
      </c>
    </row>
    <row r="410">
      <c r="A410" s="631" t="inlineStr">
        <is>
          <t>CMW-I-MUAP</t>
        </is>
      </c>
      <c r="B410" s="631" t="n">
        <v>1750</v>
      </c>
      <c r="C410" s="631" t="n">
        <v>2500</v>
      </c>
      <c r="D410" s="631">
        <f>A410&amp;B410&amp;C410</f>
        <v/>
      </c>
      <c r="E410" s="1040">
        <f>SUM(G410:AD410)</f>
        <v/>
      </c>
      <c r="F410" s="632" t="n">
        <v>27</v>
      </c>
      <c r="G410" s="633">
        <f>F410*CCBASE!$B$51</f>
        <v/>
      </c>
      <c r="H410" s="633">
        <f>CCBASE!$I$16*2</f>
        <v/>
      </c>
      <c r="I410" s="633">
        <f>(CCBASE!$I$20)/1000*2*B410</f>
        <v/>
      </c>
      <c r="J410" s="633" t="n"/>
      <c r="K410" s="633" t="n"/>
      <c r="L410" s="633" t="n"/>
      <c r="M410" s="633">
        <f>CCBASE!$I$6*B410/1000*2</f>
        <v/>
      </c>
      <c r="N410" s="633">
        <f>CCBASE!$I$7*B410/1000*2</f>
        <v/>
      </c>
      <c r="O410" s="633">
        <f>CCBASE!$I$45*B410/1000*2</f>
        <v/>
      </c>
      <c r="P410" s="632" t="n"/>
      <c r="Q410" s="632" t="n"/>
      <c r="R410" s="633">
        <f>CCBASE!$I$4</f>
        <v/>
      </c>
      <c r="S410" s="638">
        <f>CCBASE!$I$8*2</f>
        <v/>
      </c>
      <c r="T410" s="632" t="n"/>
      <c r="U410" s="638">
        <f>CCBASE!$I$47*4</f>
        <v/>
      </c>
      <c r="V410" s="632" t="n"/>
      <c r="W410" s="638">
        <f>CCBASE!$I$40*B410/1000*2</f>
        <v/>
      </c>
      <c r="X410" s="638" t="n"/>
      <c r="Y410" s="638" t="n"/>
      <c r="Z410" s="638" t="n"/>
      <c r="AA410" s="638" t="n"/>
      <c r="AB410" s="638" t="n"/>
      <c r="AC410" s="638" t="n"/>
      <c r="AD410" s="638">
        <f>CCBASE!$I$32*4</f>
        <v/>
      </c>
    </row>
    <row r="411">
      <c r="A411" s="631" t="inlineStr">
        <is>
          <t>CMW-I-MUAP</t>
        </is>
      </c>
      <c r="B411" s="631" t="n">
        <v>2000</v>
      </c>
      <c r="C411" s="631" t="n">
        <v>2500</v>
      </c>
      <c r="D411" s="631">
        <f>A411&amp;B411&amp;C411</f>
        <v/>
      </c>
      <c r="E411" s="1040">
        <f>SUM(G411:AD411)</f>
        <v/>
      </c>
      <c r="F411" s="632" t="n">
        <v>27</v>
      </c>
      <c r="G411" s="633">
        <f>F411*CCBASE!$B$51</f>
        <v/>
      </c>
      <c r="H411" s="633">
        <f>CCBASE!$I$16*2</f>
        <v/>
      </c>
      <c r="I411" s="633">
        <f>(CCBASE!$I$20)/1000*2*B411</f>
        <v/>
      </c>
      <c r="J411" s="633" t="n"/>
      <c r="K411" s="633" t="n"/>
      <c r="L411" s="633" t="n"/>
      <c r="M411" s="633">
        <f>CCBASE!$I$6*B411/1000*2</f>
        <v/>
      </c>
      <c r="N411" s="633">
        <f>CCBASE!$I$7*B411/1000*2</f>
        <v/>
      </c>
      <c r="O411" s="633">
        <f>CCBASE!$I$45*B411/1000*2</f>
        <v/>
      </c>
      <c r="P411" s="632" t="n"/>
      <c r="Q411" s="632" t="n"/>
      <c r="R411" s="633">
        <f>CCBASE!$I$4</f>
        <v/>
      </c>
      <c r="S411" s="638">
        <f>CCBASE!$I$8*2</f>
        <v/>
      </c>
      <c r="T411" s="632" t="n"/>
      <c r="U411" s="638">
        <f>CCBASE!$I$47*4</f>
        <v/>
      </c>
      <c r="V411" s="632" t="n"/>
      <c r="W411" s="638">
        <f>CCBASE!$I$40*B411/1000*2</f>
        <v/>
      </c>
      <c r="X411" s="638" t="n"/>
      <c r="Y411" s="638" t="n"/>
      <c r="Z411" s="638" t="n"/>
      <c r="AA411" s="638" t="n"/>
      <c r="AB411" s="638" t="n"/>
      <c r="AC411" s="638" t="n"/>
      <c r="AD411" s="638">
        <f>CCBASE!$I$32*4</f>
        <v/>
      </c>
    </row>
    <row r="412">
      <c r="A412" s="631" t="inlineStr">
        <is>
          <t>CMW-I-MUAP</t>
        </is>
      </c>
      <c r="B412" s="631" t="n">
        <v>2250</v>
      </c>
      <c r="C412" s="631" t="n">
        <v>2500</v>
      </c>
      <c r="D412" s="631">
        <f>A412&amp;B412&amp;C412</f>
        <v/>
      </c>
      <c r="E412" s="1040">
        <f>SUM(G412:AD412)</f>
        <v/>
      </c>
      <c r="F412" s="632" t="n">
        <v>27</v>
      </c>
      <c r="G412" s="633">
        <f>F412*CCBASE!$B$51</f>
        <v/>
      </c>
      <c r="H412" s="633">
        <f>CCBASE!$I$16*2</f>
        <v/>
      </c>
      <c r="I412" s="633">
        <f>(CCBASE!$I$20)/1000*2*B412</f>
        <v/>
      </c>
      <c r="J412" s="633" t="n"/>
      <c r="K412" s="633" t="n"/>
      <c r="L412" s="633" t="n"/>
      <c r="M412" s="633">
        <f>CCBASE!$I$6*B412/1000*2</f>
        <v/>
      </c>
      <c r="N412" s="633">
        <f>CCBASE!$I$7*B412/1000*2</f>
        <v/>
      </c>
      <c r="O412" s="633">
        <f>CCBASE!$I$45*B412/1000*2</f>
        <v/>
      </c>
      <c r="P412" s="632" t="n"/>
      <c r="Q412" s="632" t="n"/>
      <c r="R412" s="633">
        <f>CCBASE!$I$4</f>
        <v/>
      </c>
      <c r="S412" s="638">
        <f>CCBASE!$I$8*2</f>
        <v/>
      </c>
      <c r="T412" s="632" t="n"/>
      <c r="U412" s="638">
        <f>CCBASE!$I$47*4</f>
        <v/>
      </c>
      <c r="V412" s="632" t="n"/>
      <c r="W412" s="638">
        <f>CCBASE!$I$40*B412/1000*2</f>
        <v/>
      </c>
      <c r="X412" s="638" t="n"/>
      <c r="Y412" s="638" t="n"/>
      <c r="Z412" s="638" t="n"/>
      <c r="AA412" s="638" t="n"/>
      <c r="AB412" s="638" t="n"/>
      <c r="AC412" s="638" t="n"/>
      <c r="AD412" s="638">
        <f>CCBASE!$I$32*4</f>
        <v/>
      </c>
    </row>
    <row r="413">
      <c r="A413" s="631" t="inlineStr">
        <is>
          <t>CMW-I-MUAP</t>
        </is>
      </c>
      <c r="B413" s="631" t="n">
        <v>2500</v>
      </c>
      <c r="C413" s="631" t="n">
        <v>2500</v>
      </c>
      <c r="D413" s="631">
        <f>A413&amp;B413&amp;C413</f>
        <v/>
      </c>
      <c r="E413" s="1040">
        <f>SUM(G413:AD413)</f>
        <v/>
      </c>
      <c r="F413" s="632" t="n">
        <v>27</v>
      </c>
      <c r="G413" s="633">
        <f>F413*CCBASE!$B$51</f>
        <v/>
      </c>
      <c r="H413" s="633">
        <f>CCBASE!$I$16*2</f>
        <v/>
      </c>
      <c r="I413" s="633">
        <f>(CCBASE!$I$20)/1000*2*B413</f>
        <v/>
      </c>
      <c r="J413" s="633" t="n"/>
      <c r="K413" s="633" t="n"/>
      <c r="L413" s="633" t="n"/>
      <c r="M413" s="633">
        <f>CCBASE!$I$6*B413/1000*2</f>
        <v/>
      </c>
      <c r="N413" s="633">
        <f>CCBASE!$I$7*B413/1000*2</f>
        <v/>
      </c>
      <c r="O413" s="633">
        <f>CCBASE!$I$45*B413/1000*2</f>
        <v/>
      </c>
      <c r="P413" s="632" t="n"/>
      <c r="Q413" s="632" t="n"/>
      <c r="R413" s="633">
        <f>CCBASE!$I$4</f>
        <v/>
      </c>
      <c r="S413" s="638">
        <f>CCBASE!$I$8*2</f>
        <v/>
      </c>
      <c r="T413" s="632" t="n"/>
      <c r="U413" s="638">
        <f>CCBASE!$I$47*4</f>
        <v/>
      </c>
      <c r="V413" s="632" t="n"/>
      <c r="W413" s="638">
        <f>CCBASE!$I$40*B413/1000*2</f>
        <v/>
      </c>
      <c r="X413" s="638" t="n"/>
      <c r="Y413" s="638" t="n"/>
      <c r="Z413" s="638" t="n"/>
      <c r="AA413" s="638" t="n"/>
      <c r="AB413" s="638" t="n"/>
      <c r="AC413" s="638" t="n"/>
      <c r="AD413" s="638">
        <f>CCBASE!$I$32*4</f>
        <v/>
      </c>
    </row>
    <row r="414">
      <c r="A414" s="631" t="inlineStr">
        <is>
          <t>CMW-I-MUAP</t>
        </is>
      </c>
      <c r="B414" s="631" t="n">
        <v>2750</v>
      </c>
      <c r="C414" s="631" t="n">
        <v>2500</v>
      </c>
      <c r="D414" s="631">
        <f>A414&amp;B414&amp;C414</f>
        <v/>
      </c>
      <c r="E414" s="1040">
        <f>SUM(G414:AD414)</f>
        <v/>
      </c>
      <c r="F414" s="632" t="n">
        <v>27</v>
      </c>
      <c r="G414" s="633">
        <f>F414*CCBASE!$B$51</f>
        <v/>
      </c>
      <c r="H414" s="633">
        <f>CCBASE!$I$16*2</f>
        <v/>
      </c>
      <c r="I414" s="633">
        <f>(CCBASE!$I$20)/1000*2*B414</f>
        <v/>
      </c>
      <c r="J414" s="633" t="n"/>
      <c r="K414" s="633" t="n"/>
      <c r="L414" s="633" t="n"/>
      <c r="M414" s="633">
        <f>CCBASE!$I$6*B414/1000*2</f>
        <v/>
      </c>
      <c r="N414" s="633">
        <f>CCBASE!$I$7*B414/1000*2</f>
        <v/>
      </c>
      <c r="O414" s="633">
        <f>CCBASE!$I$45*B414/1000*2</f>
        <v/>
      </c>
      <c r="P414" s="632" t="n"/>
      <c r="Q414" s="632" t="n"/>
      <c r="R414" s="633">
        <f>CCBASE!$I$4</f>
        <v/>
      </c>
      <c r="S414" s="638">
        <f>CCBASE!$I$8*2</f>
        <v/>
      </c>
      <c r="T414" s="632" t="n"/>
      <c r="U414" s="638">
        <f>CCBASE!$I$47*4</f>
        <v/>
      </c>
      <c r="V414" s="632" t="n"/>
      <c r="W414" s="638">
        <f>CCBASE!$I$40*B414/1000*2</f>
        <v/>
      </c>
      <c r="X414" s="638" t="n"/>
      <c r="Y414" s="638" t="n"/>
      <c r="Z414" s="638" t="n"/>
      <c r="AA414" s="638" t="n"/>
      <c r="AB414" s="638" t="n"/>
      <c r="AC414" s="638" t="n"/>
      <c r="AD414" s="638">
        <f>CCBASE!$I$32*4</f>
        <v/>
      </c>
    </row>
    <row r="415">
      <c r="A415" s="631" t="inlineStr">
        <is>
          <t>CMW-I-MUAP</t>
        </is>
      </c>
      <c r="B415" s="631" t="n">
        <v>3000</v>
      </c>
      <c r="C415" s="631" t="n">
        <v>2500</v>
      </c>
      <c r="D415" s="631">
        <f>A415&amp;B415&amp;C415</f>
        <v/>
      </c>
      <c r="E415" s="1040">
        <f>SUM(G415:AD415)</f>
        <v/>
      </c>
      <c r="F415" s="632" t="n">
        <v>27</v>
      </c>
      <c r="G415" s="633">
        <f>F415*CCBASE!$B$51</f>
        <v/>
      </c>
      <c r="H415" s="633">
        <f>CCBASE!$I$16*2</f>
        <v/>
      </c>
      <c r="I415" s="633">
        <f>(CCBASE!$I$20)/1000*2*B415</f>
        <v/>
      </c>
      <c r="J415" s="633" t="n"/>
      <c r="K415" s="633" t="n"/>
      <c r="L415" s="633" t="n"/>
      <c r="M415" s="633">
        <f>CCBASE!$I$6*B415/1000*2</f>
        <v/>
      </c>
      <c r="N415" s="633">
        <f>CCBASE!$I$7*B415/1000*2</f>
        <v/>
      </c>
      <c r="O415" s="633">
        <f>CCBASE!$I$45*B415/1000*2</f>
        <v/>
      </c>
      <c r="P415" s="632" t="n"/>
      <c r="Q415" s="632" t="n"/>
      <c r="R415" s="633">
        <f>CCBASE!$I$4</f>
        <v/>
      </c>
      <c r="S415" s="638">
        <f>CCBASE!$I$8*2</f>
        <v/>
      </c>
      <c r="T415" s="632" t="n"/>
      <c r="U415" s="638">
        <f>CCBASE!$I$47*4</f>
        <v/>
      </c>
      <c r="V415" s="632" t="n"/>
      <c r="W415" s="638">
        <f>CCBASE!$I$40*B415/1000*2</f>
        <v/>
      </c>
      <c r="X415" s="638" t="n"/>
      <c r="Y415" s="638" t="n"/>
      <c r="Z415" s="638" t="n"/>
      <c r="AA415" s="638" t="n"/>
      <c r="AB415" s="638" t="n"/>
      <c r="AC415" s="638" t="n"/>
      <c r="AD415" s="638">
        <f>CCBASE!$I$32*4</f>
        <v/>
      </c>
    </row>
    <row r="416">
      <c r="A416" s="631" t="inlineStr">
        <is>
          <t>KVI-LL</t>
        </is>
      </c>
      <c r="B416" s="631" t="n">
        <v>1000</v>
      </c>
      <c r="C416" s="631" t="n">
        <v>1000</v>
      </c>
      <c r="D416" s="631">
        <f>$A416&amp;B416&amp;C416</f>
        <v/>
      </c>
      <c r="E416" s="1040">
        <f>SUM(G416:AD416)</f>
        <v/>
      </c>
      <c r="F416" s="632" t="n"/>
      <c r="G416" s="633">
        <f>F416*CCBASE!$B$51</f>
        <v/>
      </c>
      <c r="H416" s="633" t="n"/>
      <c r="I416" s="633" t="n"/>
      <c r="J416" s="633" t="n"/>
      <c r="K416" s="633" t="n"/>
      <c r="L416" s="632" t="n"/>
      <c r="M416" s="633" t="n"/>
      <c r="N416" s="633" t="n"/>
      <c r="O416" s="633" t="n"/>
      <c r="P416" s="633" t="n"/>
      <c r="Q416" s="633" t="n"/>
      <c r="R416" s="633" t="n"/>
      <c r="S416" s="633" t="n"/>
      <c r="T416" s="632" t="n"/>
      <c r="U416" s="633" t="n"/>
      <c r="V416" s="633" t="n"/>
      <c r="W416" s="633" t="n"/>
      <c r="X416" s="633" t="n"/>
      <c r="Y416" s="633" t="n"/>
      <c r="Z416" s="633" t="n"/>
      <c r="AA416" s="633" t="n"/>
      <c r="AB416" s="633" t="n"/>
      <c r="AC416" s="633" t="n"/>
      <c r="AD416" s="633" t="n"/>
      <c r="AI416" s="635" t="n"/>
      <c r="AJ416" s="635" t="n"/>
      <c r="AK416" s="636" t="n"/>
      <c r="AL416" s="636" t="n"/>
      <c r="AM416" s="636" t="n"/>
      <c r="AN416" s="636" t="n"/>
      <c r="AO416" s="636" t="n"/>
      <c r="AP416" s="636" t="n"/>
      <c r="AQ416" s="636" t="n"/>
      <c r="AR416" s="636" t="n"/>
      <c r="AS416" s="636" t="n"/>
    </row>
    <row r="417">
      <c r="A417" s="631" t="inlineStr">
        <is>
          <t>KVI-LL</t>
        </is>
      </c>
      <c r="B417" s="631" t="n">
        <v>1250</v>
      </c>
      <c r="C417" s="631" t="n">
        <v>1000</v>
      </c>
      <c r="D417" s="631">
        <f>$A417&amp;B417&amp;C417</f>
        <v/>
      </c>
      <c r="E417" s="1040">
        <f>SUM(G417:AD417)</f>
        <v/>
      </c>
      <c r="F417" s="632" t="n"/>
      <c r="G417" s="633">
        <f>F417*CCBASE!$B$51</f>
        <v/>
      </c>
      <c r="H417" s="633" t="n"/>
      <c r="I417" s="633" t="n"/>
      <c r="J417" s="633" t="n"/>
      <c r="K417" s="633" t="n"/>
      <c r="L417" s="632" t="n"/>
      <c r="M417" s="633" t="n"/>
      <c r="N417" s="633" t="n"/>
      <c r="O417" s="633" t="n"/>
      <c r="P417" s="633" t="n"/>
      <c r="Q417" s="633" t="n"/>
      <c r="R417" s="633" t="n"/>
      <c r="S417" s="633" t="n"/>
      <c r="T417" s="632" t="n"/>
      <c r="U417" s="633" t="n"/>
      <c r="V417" s="633" t="n"/>
      <c r="W417" s="633" t="n"/>
      <c r="X417" s="633" t="n"/>
      <c r="Y417" s="633" t="n"/>
      <c r="Z417" s="633" t="n"/>
      <c r="AA417" s="633" t="n"/>
      <c r="AB417" s="633" t="n"/>
      <c r="AC417" s="633" t="n"/>
      <c r="AD417" s="633" t="n"/>
      <c r="AI417" s="635" t="n"/>
      <c r="AJ417" s="635" t="n"/>
      <c r="AK417" s="636" t="n"/>
      <c r="AL417" s="636" t="n"/>
      <c r="AM417" s="636" t="n"/>
      <c r="AN417" s="636" t="n"/>
      <c r="AO417" s="636" t="n"/>
      <c r="AP417" s="636" t="n"/>
      <c r="AQ417" s="636" t="n"/>
      <c r="AR417" s="636" t="n"/>
      <c r="AS417" s="636" t="n"/>
    </row>
    <row r="418">
      <c r="A418" s="631" t="inlineStr">
        <is>
          <t>KVI-LL</t>
        </is>
      </c>
      <c r="B418" s="631" t="n">
        <v>1500</v>
      </c>
      <c r="C418" s="631" t="n">
        <v>1000</v>
      </c>
      <c r="D418" s="631">
        <f>$A418&amp;B418&amp;C418</f>
        <v/>
      </c>
      <c r="E418" s="1040">
        <f>SUM(G418:AD418)</f>
        <v/>
      </c>
      <c r="F418" s="632" t="n"/>
      <c r="G418" s="633">
        <f>F418*CCBASE!$B$51</f>
        <v/>
      </c>
      <c r="H418" s="633" t="n"/>
      <c r="I418" s="633" t="n"/>
      <c r="J418" s="633" t="n"/>
      <c r="K418" s="633" t="n"/>
      <c r="L418" s="632" t="n"/>
      <c r="M418" s="633" t="n"/>
      <c r="N418" s="633" t="n"/>
      <c r="O418" s="633" t="n"/>
      <c r="P418" s="633" t="n"/>
      <c r="Q418" s="633" t="n"/>
      <c r="R418" s="633" t="n"/>
      <c r="S418" s="633" t="n"/>
      <c r="T418" s="632" t="n"/>
      <c r="U418" s="633" t="n"/>
      <c r="V418" s="633" t="n"/>
      <c r="W418" s="633" t="n"/>
      <c r="X418" s="633" t="n"/>
      <c r="Y418" s="633" t="n"/>
      <c r="Z418" s="633" t="n"/>
      <c r="AA418" s="633" t="n"/>
      <c r="AB418" s="633" t="n"/>
      <c r="AC418" s="633" t="n"/>
      <c r="AD418" s="633" t="n"/>
      <c r="AI418" s="635" t="n"/>
      <c r="AJ418" s="635" t="n"/>
      <c r="AK418" s="636" t="n"/>
      <c r="AL418" s="636" t="n"/>
      <c r="AM418" s="636" t="n"/>
      <c r="AN418" s="636" t="n"/>
      <c r="AO418" s="636" t="n"/>
      <c r="AP418" s="636" t="n"/>
      <c r="AQ418" s="636" t="n"/>
      <c r="AR418" s="636" t="n"/>
      <c r="AS418" s="636" t="n"/>
    </row>
    <row r="419">
      <c r="A419" s="631" t="inlineStr">
        <is>
          <t>KVI-LL</t>
        </is>
      </c>
      <c r="B419" s="631" t="n">
        <v>1750</v>
      </c>
      <c r="C419" s="631" t="n">
        <v>1000</v>
      </c>
      <c r="D419" s="631">
        <f>$A419&amp;B419&amp;C419</f>
        <v/>
      </c>
      <c r="E419" s="1040">
        <f>SUM(G419:AD419)</f>
        <v/>
      </c>
      <c r="F419" s="632" t="n"/>
      <c r="G419" s="633">
        <f>F419*CCBASE!$B$51</f>
        <v/>
      </c>
      <c r="H419" s="633" t="n"/>
      <c r="I419" s="633" t="n"/>
      <c r="J419" s="633" t="n"/>
      <c r="K419" s="633" t="n"/>
      <c r="L419" s="632" t="n"/>
      <c r="M419" s="633" t="n"/>
      <c r="N419" s="633" t="n"/>
      <c r="O419" s="633" t="n"/>
      <c r="P419" s="633" t="n"/>
      <c r="Q419" s="633" t="n"/>
      <c r="R419" s="633" t="n"/>
      <c r="S419" s="633" t="n"/>
      <c r="T419" s="632" t="n"/>
      <c r="U419" s="633" t="n"/>
      <c r="V419" s="633" t="n"/>
      <c r="W419" s="633" t="n"/>
      <c r="X419" s="633" t="n"/>
      <c r="Y419" s="633" t="n"/>
      <c r="Z419" s="633" t="n"/>
      <c r="AA419" s="633" t="n"/>
      <c r="AB419" s="633" t="n"/>
      <c r="AC419" s="633" t="n"/>
      <c r="AD419" s="633" t="n"/>
      <c r="AI419" s="635" t="n"/>
      <c r="AJ419" s="635" t="n"/>
      <c r="AN419" s="636" t="n"/>
      <c r="AO419" s="636" t="n"/>
      <c r="AP419" s="636" t="n"/>
      <c r="AQ419" s="636" t="n"/>
      <c r="AR419" s="636" t="n"/>
      <c r="AS419" s="636" t="n"/>
    </row>
    <row r="420">
      <c r="A420" s="631" t="inlineStr">
        <is>
          <t>KVI-LL</t>
        </is>
      </c>
      <c r="B420" s="631" t="n">
        <v>2000</v>
      </c>
      <c r="C420" s="631" t="n">
        <v>1000</v>
      </c>
      <c r="D420" s="631">
        <f>$A420&amp;B420&amp;C420</f>
        <v/>
      </c>
      <c r="E420" s="1040">
        <f>SUM(G420:AD420)</f>
        <v/>
      </c>
      <c r="F420" s="632" t="n"/>
      <c r="G420" s="633">
        <f>F420*CCBASE!$B$51</f>
        <v/>
      </c>
      <c r="H420" s="633" t="n"/>
      <c r="I420" s="633" t="n"/>
      <c r="J420" s="633" t="n"/>
      <c r="K420" s="633" t="n"/>
      <c r="L420" s="632" t="n"/>
      <c r="M420" s="633" t="n"/>
      <c r="N420" s="633" t="n"/>
      <c r="O420" s="633" t="n"/>
      <c r="P420" s="633" t="n"/>
      <c r="Q420" s="633" t="n"/>
      <c r="R420" s="633" t="n"/>
      <c r="S420" s="633" t="n"/>
      <c r="T420" s="632" t="n"/>
      <c r="U420" s="633" t="n"/>
      <c r="V420" s="633" t="n"/>
      <c r="W420" s="633" t="n"/>
      <c r="X420" s="633" t="n"/>
      <c r="Y420" s="633" t="n"/>
      <c r="Z420" s="633" t="n"/>
      <c r="AA420" s="633" t="n"/>
      <c r="AB420" s="633" t="n"/>
      <c r="AC420" s="633" t="n"/>
      <c r="AD420" s="633" t="n"/>
      <c r="AI420" s="635" t="n"/>
      <c r="AJ420" s="635" t="n"/>
      <c r="AN420" s="636" t="n"/>
      <c r="AO420" s="636" t="n"/>
      <c r="AP420" s="636" t="n"/>
      <c r="AQ420" s="636" t="n"/>
      <c r="AR420" s="636" t="n"/>
      <c r="AS420" s="636" t="n"/>
    </row>
    <row r="421">
      <c r="A421" s="631" t="inlineStr">
        <is>
          <t>KVI-LL</t>
        </is>
      </c>
      <c r="B421" s="631" t="n">
        <v>2250</v>
      </c>
      <c r="C421" s="631" t="n">
        <v>1000</v>
      </c>
      <c r="D421" s="631">
        <f>$A421&amp;B421&amp;C421</f>
        <v/>
      </c>
      <c r="E421" s="1040">
        <f>SUM(G421:AD421)</f>
        <v/>
      </c>
      <c r="F421" s="632" t="n"/>
      <c r="G421" s="633">
        <f>F421*CCBASE!$B$51</f>
        <v/>
      </c>
      <c r="H421" s="633" t="n"/>
      <c r="I421" s="633" t="n"/>
      <c r="J421" s="633" t="n"/>
      <c r="K421" s="633" t="n"/>
      <c r="L421" s="632" t="n"/>
      <c r="M421" s="633" t="n"/>
      <c r="N421" s="633" t="n"/>
      <c r="O421" s="633" t="n"/>
      <c r="P421" s="633" t="n"/>
      <c r="Q421" s="633" t="n"/>
      <c r="R421" s="633" t="n"/>
      <c r="S421" s="633" t="n"/>
      <c r="T421" s="632" t="n"/>
      <c r="U421" s="633" t="n"/>
      <c r="V421" s="633" t="n"/>
      <c r="W421" s="633" t="n"/>
      <c r="X421" s="633" t="n"/>
      <c r="Y421" s="633" t="n"/>
      <c r="Z421" s="633" t="n"/>
      <c r="AA421" s="633" t="n"/>
      <c r="AB421" s="633" t="n"/>
      <c r="AC421" s="633" t="n"/>
      <c r="AD421" s="633" t="n"/>
      <c r="AI421" s="635" t="n"/>
      <c r="AJ421" s="635" t="n"/>
      <c r="AN421" s="636" t="n"/>
      <c r="AO421" s="636" t="n"/>
      <c r="AP421" s="636" t="n"/>
      <c r="AQ421" s="636" t="n"/>
      <c r="AR421" s="636" t="n"/>
      <c r="AS421" s="636" t="n"/>
    </row>
    <row r="422">
      <c r="A422" s="631" t="inlineStr">
        <is>
          <t>KVI-LL</t>
        </is>
      </c>
      <c r="B422" s="631" t="n">
        <v>2500</v>
      </c>
      <c r="C422" s="631" t="n">
        <v>1000</v>
      </c>
      <c r="D422" s="631">
        <f>$A422&amp;B422&amp;C422</f>
        <v/>
      </c>
      <c r="E422" s="1040">
        <f>SUM(G422:AD422)</f>
        <v/>
      </c>
      <c r="F422" s="632" t="n"/>
      <c r="G422" s="633">
        <f>F422*CCBASE!$B$51</f>
        <v/>
      </c>
      <c r="H422" s="633" t="n"/>
      <c r="I422" s="633" t="n"/>
      <c r="J422" s="633" t="n"/>
      <c r="K422" s="633" t="n"/>
      <c r="L422" s="632" t="n"/>
      <c r="M422" s="633" t="n"/>
      <c r="N422" s="633" t="n"/>
      <c r="O422" s="633" t="n"/>
      <c r="P422" s="633" t="n"/>
      <c r="Q422" s="633" t="n"/>
      <c r="R422" s="633" t="n"/>
      <c r="S422" s="633" t="n"/>
      <c r="T422" s="632" t="n"/>
      <c r="U422" s="633" t="n"/>
      <c r="V422" s="633" t="n"/>
      <c r="W422" s="633" t="n"/>
      <c r="X422" s="633" t="n"/>
      <c r="Y422" s="633" t="n"/>
      <c r="Z422" s="633" t="n"/>
      <c r="AA422" s="633" t="n"/>
      <c r="AB422" s="633" t="n"/>
      <c r="AC422" s="633" t="n"/>
      <c r="AD422" s="633" t="n"/>
      <c r="AI422" s="635" t="n"/>
      <c r="AJ422" s="635" t="n"/>
      <c r="AN422" s="636" t="n"/>
      <c r="AO422" s="636" t="n"/>
      <c r="AP422" s="636" t="n"/>
      <c r="AQ422" s="636" t="n"/>
      <c r="AR422" s="636" t="n"/>
      <c r="AS422" s="636" t="n"/>
    </row>
    <row r="423">
      <c r="A423" s="631" t="inlineStr">
        <is>
          <t>KVI-LL</t>
        </is>
      </c>
      <c r="B423" s="631" t="n">
        <v>2750</v>
      </c>
      <c r="C423" s="631" t="n">
        <v>1000</v>
      </c>
      <c r="D423" s="631">
        <f>$A423&amp;B423&amp;C423</f>
        <v/>
      </c>
      <c r="E423" s="1040">
        <f>SUM(G423:AD423)</f>
        <v/>
      </c>
      <c r="F423" s="632" t="n"/>
      <c r="G423" s="633">
        <f>F423*CCBASE!$B$51</f>
        <v/>
      </c>
      <c r="H423" s="633" t="n"/>
      <c r="I423" s="633" t="n"/>
      <c r="J423" s="633" t="n"/>
      <c r="K423" s="633" t="n"/>
      <c r="L423" s="632" t="n"/>
      <c r="M423" s="633" t="n"/>
      <c r="N423" s="633" t="n"/>
      <c r="O423" s="633" t="n"/>
      <c r="P423" s="633" t="n"/>
      <c r="Q423" s="633" t="n"/>
      <c r="R423" s="633" t="n"/>
      <c r="S423" s="633" t="n"/>
      <c r="T423" s="632" t="n"/>
      <c r="U423" s="633" t="n"/>
      <c r="V423" s="633" t="n"/>
      <c r="W423" s="633" t="n"/>
      <c r="X423" s="633" t="n"/>
      <c r="Y423" s="633" t="n"/>
      <c r="Z423" s="633" t="n"/>
      <c r="AA423" s="633" t="n"/>
      <c r="AB423" s="633" t="n"/>
      <c r="AC423" s="633" t="n"/>
      <c r="AD423" s="633" t="n"/>
      <c r="AI423" s="635" t="n"/>
      <c r="AJ423" s="635" t="n"/>
      <c r="AN423" s="636" t="n"/>
      <c r="AO423" s="636" t="n"/>
      <c r="AP423" s="636" t="n"/>
      <c r="AQ423" s="636" t="n"/>
      <c r="AR423" s="636" t="n"/>
      <c r="AS423" s="636" t="n"/>
    </row>
    <row r="424">
      <c r="A424" s="631" t="inlineStr">
        <is>
          <t>KVI-LL</t>
        </is>
      </c>
      <c r="B424" s="631" t="n">
        <v>3000</v>
      </c>
      <c r="C424" s="631" t="n">
        <v>1000</v>
      </c>
      <c r="D424" s="631">
        <f>$A424&amp;B424&amp;C424</f>
        <v/>
      </c>
      <c r="E424" s="1040">
        <f>SUM(G424:AD424)</f>
        <v/>
      </c>
      <c r="F424" s="632" t="n"/>
      <c r="G424" s="633">
        <f>F424*CCBASE!$B$51</f>
        <v/>
      </c>
      <c r="H424" s="633" t="n"/>
      <c r="I424" s="633" t="n"/>
      <c r="J424" s="633" t="n"/>
      <c r="K424" s="633" t="n"/>
      <c r="L424" s="632" t="n"/>
      <c r="M424" s="633" t="n"/>
      <c r="N424" s="633" t="n"/>
      <c r="O424" s="633" t="n"/>
      <c r="P424" s="633" t="n"/>
      <c r="Q424" s="633" t="n"/>
      <c r="R424" s="633" t="n"/>
      <c r="S424" s="633" t="n"/>
      <c r="T424" s="632" t="n"/>
      <c r="U424" s="633" t="n"/>
      <c r="V424" s="633" t="n"/>
      <c r="W424" s="633" t="n"/>
      <c r="X424" s="633" t="n"/>
      <c r="Y424" s="633" t="n"/>
      <c r="Z424" s="633" t="n"/>
      <c r="AA424" s="633" t="n"/>
      <c r="AB424" s="633" t="n"/>
      <c r="AC424" s="633" t="n"/>
      <c r="AD424" s="633" t="n"/>
      <c r="AI424" s="635" t="n"/>
      <c r="AJ424" s="635" t="n"/>
      <c r="AN424" s="636" t="n"/>
      <c r="AO424" s="636" t="n"/>
      <c r="AP424" s="636" t="n"/>
      <c r="AQ424" s="636" t="n"/>
      <c r="AR424" s="636" t="n"/>
      <c r="AS424" s="636" t="n"/>
    </row>
    <row r="425">
      <c r="A425" s="631" t="inlineStr">
        <is>
          <t>UVI-LL</t>
        </is>
      </c>
      <c r="B425" s="631" t="n">
        <v>1000</v>
      </c>
      <c r="C425" s="631" t="n">
        <v>1000</v>
      </c>
      <c r="D425" s="631">
        <f>$A425&amp;B425&amp;C425</f>
        <v/>
      </c>
      <c r="E425" s="1040">
        <f>SUM(G425:AD425)</f>
        <v/>
      </c>
      <c r="F425" s="632" t="n"/>
      <c r="G425" s="633">
        <f>F425*CCBASE!$B$51</f>
        <v/>
      </c>
      <c r="H425" s="633" t="n"/>
      <c r="I425" s="633" t="n"/>
      <c r="J425" s="633" t="n"/>
      <c r="K425" s="633" t="n"/>
      <c r="L425" s="632" t="n"/>
      <c r="M425" s="633" t="n"/>
      <c r="N425" s="633" t="n"/>
      <c r="O425" s="633" t="n"/>
      <c r="P425" s="633" t="n"/>
      <c r="Q425" s="633" t="n"/>
      <c r="R425" s="633" t="n"/>
      <c r="S425" s="633" t="n"/>
      <c r="T425" s="632" t="n"/>
      <c r="U425" s="633" t="n"/>
      <c r="V425" s="633" t="n"/>
      <c r="W425" s="633" t="n"/>
      <c r="X425" s="633" t="n"/>
      <c r="Y425" s="633" t="n"/>
      <c r="Z425" s="633" t="n"/>
      <c r="AA425" s="633" t="n"/>
      <c r="AB425" s="633" t="n"/>
      <c r="AC425" s="633" t="n"/>
      <c r="AD425" s="633" t="n"/>
      <c r="AI425" s="635" t="n"/>
      <c r="AJ425" s="635" t="n"/>
      <c r="AK425" s="636" t="n"/>
      <c r="AL425" s="636" t="n"/>
      <c r="AM425" s="636" t="n"/>
      <c r="AN425" s="636" t="n"/>
      <c r="AO425" s="636" t="n"/>
      <c r="AP425" s="636" t="n"/>
      <c r="AQ425" s="636" t="n"/>
      <c r="AR425" s="636" t="n"/>
      <c r="AS425" s="636" t="n"/>
    </row>
    <row r="426">
      <c r="A426" s="631" t="inlineStr">
        <is>
          <t>UVI-LL</t>
        </is>
      </c>
      <c r="B426" s="631" t="n">
        <v>1250</v>
      </c>
      <c r="C426" s="631" t="n">
        <v>1000</v>
      </c>
      <c r="D426" s="631">
        <f>$A426&amp;B426&amp;C426</f>
        <v/>
      </c>
      <c r="E426" s="1040">
        <f>SUM(G426:AD426)</f>
        <v/>
      </c>
      <c r="F426" s="632" t="n"/>
      <c r="G426" s="633">
        <f>F426*CCBASE!$B$51</f>
        <v/>
      </c>
      <c r="H426" s="633" t="n"/>
      <c r="I426" s="633" t="n"/>
      <c r="J426" s="633" t="n"/>
      <c r="K426" s="633" t="n"/>
      <c r="L426" s="632" t="n"/>
      <c r="M426" s="633" t="n"/>
      <c r="N426" s="633" t="n"/>
      <c r="O426" s="633" t="n"/>
      <c r="P426" s="633" t="n"/>
      <c r="Q426" s="633" t="n"/>
      <c r="R426" s="633" t="n"/>
      <c r="S426" s="633" t="n"/>
      <c r="T426" s="632" t="n"/>
      <c r="U426" s="633" t="n"/>
      <c r="V426" s="633" t="n"/>
      <c r="W426" s="633" t="n"/>
      <c r="X426" s="633" t="n"/>
      <c r="Y426" s="633" t="n"/>
      <c r="Z426" s="633" t="n"/>
      <c r="AA426" s="633" t="n"/>
      <c r="AB426" s="633" t="n"/>
      <c r="AC426" s="633" t="n"/>
      <c r="AD426" s="633" t="n"/>
      <c r="AI426" s="635" t="n"/>
      <c r="AJ426" s="635" t="n"/>
      <c r="AK426" s="636" t="n"/>
      <c r="AL426" s="636" t="n"/>
      <c r="AM426" s="636" t="n"/>
      <c r="AN426" s="636" t="n"/>
      <c r="AO426" s="636" t="n"/>
      <c r="AP426" s="636" t="n"/>
      <c r="AQ426" s="636" t="n"/>
      <c r="AR426" s="636" t="n"/>
      <c r="AS426" s="636" t="n"/>
    </row>
    <row r="427">
      <c r="A427" s="631" t="inlineStr">
        <is>
          <t>UVI-LL</t>
        </is>
      </c>
      <c r="B427" s="631" t="n">
        <v>1500</v>
      </c>
      <c r="C427" s="631" t="n">
        <v>1000</v>
      </c>
      <c r="D427" s="631">
        <f>$A427&amp;B427&amp;C427</f>
        <v/>
      </c>
      <c r="E427" s="1040">
        <f>SUM(G427:AD427)</f>
        <v/>
      </c>
      <c r="F427" s="632" t="n"/>
      <c r="G427" s="633">
        <f>F427*CCBASE!$B$51</f>
        <v/>
      </c>
      <c r="H427" s="633" t="n"/>
      <c r="I427" s="633" t="n"/>
      <c r="J427" s="633" t="n"/>
      <c r="K427" s="633" t="n"/>
      <c r="L427" s="632" t="n"/>
      <c r="M427" s="633" t="n"/>
      <c r="N427" s="633" t="n"/>
      <c r="O427" s="633" t="n"/>
      <c r="P427" s="633" t="n"/>
      <c r="Q427" s="633" t="n"/>
      <c r="R427" s="633" t="n"/>
      <c r="S427" s="633" t="n"/>
      <c r="T427" s="632" t="n"/>
      <c r="U427" s="633" t="n"/>
      <c r="V427" s="633" t="n"/>
      <c r="W427" s="633" t="n"/>
      <c r="X427" s="633" t="n"/>
      <c r="Y427" s="633" t="n"/>
      <c r="Z427" s="633" t="n"/>
      <c r="AA427" s="633" t="n"/>
      <c r="AB427" s="633" t="n"/>
      <c r="AC427" s="633" t="n"/>
      <c r="AD427" s="633" t="n"/>
      <c r="AI427" s="635" t="n"/>
      <c r="AJ427" s="635" t="n"/>
      <c r="AK427" s="636" t="n"/>
      <c r="AL427" s="636" t="n"/>
      <c r="AM427" s="636" t="n"/>
      <c r="AN427" s="636" t="n"/>
      <c r="AO427" s="636" t="n"/>
      <c r="AP427" s="636" t="n"/>
      <c r="AQ427" s="636" t="n"/>
      <c r="AR427" s="636" t="n"/>
      <c r="AS427" s="636" t="n"/>
    </row>
    <row r="428">
      <c r="A428" s="631" t="inlineStr">
        <is>
          <t>UVI-LL</t>
        </is>
      </c>
      <c r="B428" s="631" t="n">
        <v>1750</v>
      </c>
      <c r="C428" s="631" t="n">
        <v>1000</v>
      </c>
      <c r="D428" s="631">
        <f>$A428&amp;B428&amp;C428</f>
        <v/>
      </c>
      <c r="E428" s="1040">
        <f>SUM(G428:AD428)</f>
        <v/>
      </c>
      <c r="F428" s="632" t="n"/>
      <c r="G428" s="633">
        <f>F428*CCBASE!$B$51</f>
        <v/>
      </c>
      <c r="H428" s="633" t="n"/>
      <c r="I428" s="633" t="n"/>
      <c r="J428" s="633" t="n"/>
      <c r="K428" s="633" t="n"/>
      <c r="L428" s="632" t="n"/>
      <c r="M428" s="633" t="n"/>
      <c r="N428" s="633" t="n"/>
      <c r="O428" s="633" t="n"/>
      <c r="P428" s="633" t="n"/>
      <c r="Q428" s="633" t="n"/>
      <c r="R428" s="633" t="n"/>
      <c r="S428" s="633" t="n"/>
      <c r="T428" s="632" t="n"/>
      <c r="U428" s="633" t="n"/>
      <c r="V428" s="633" t="n"/>
      <c r="W428" s="633" t="n"/>
      <c r="X428" s="633" t="n"/>
      <c r="Y428" s="633" t="n"/>
      <c r="Z428" s="633" t="n"/>
      <c r="AA428" s="633" t="n"/>
      <c r="AB428" s="633" t="n"/>
      <c r="AC428" s="633" t="n"/>
      <c r="AD428" s="633" t="n"/>
      <c r="AI428" s="635" t="n"/>
      <c r="AJ428" s="635" t="n"/>
      <c r="AN428" s="636" t="n"/>
      <c r="AO428" s="636" t="n"/>
      <c r="AP428" s="636" t="n"/>
      <c r="AQ428" s="636" t="n"/>
      <c r="AR428" s="636" t="n"/>
      <c r="AS428" s="636" t="n"/>
    </row>
    <row r="429">
      <c r="A429" s="631" t="inlineStr">
        <is>
          <t>UVI-LL</t>
        </is>
      </c>
      <c r="B429" s="631" t="n">
        <v>2000</v>
      </c>
      <c r="C429" s="631" t="n">
        <v>1000</v>
      </c>
      <c r="D429" s="631">
        <f>$A429&amp;B429&amp;C429</f>
        <v/>
      </c>
      <c r="E429" s="1040">
        <f>SUM(G429:AD429)</f>
        <v/>
      </c>
      <c r="F429" s="632" t="n"/>
      <c r="G429" s="633">
        <f>F429*CCBASE!$B$51</f>
        <v/>
      </c>
      <c r="H429" s="633" t="n"/>
      <c r="I429" s="633" t="n"/>
      <c r="J429" s="633" t="n"/>
      <c r="K429" s="633" t="n"/>
      <c r="L429" s="632" t="n"/>
      <c r="M429" s="633" t="n"/>
      <c r="N429" s="633" t="n"/>
      <c r="O429" s="633" t="n"/>
      <c r="P429" s="633" t="n"/>
      <c r="Q429" s="633" t="n"/>
      <c r="R429" s="633" t="n"/>
      <c r="S429" s="633" t="n"/>
      <c r="T429" s="632" t="n"/>
      <c r="U429" s="633" t="n"/>
      <c r="V429" s="633" t="n"/>
      <c r="W429" s="633" t="n"/>
      <c r="X429" s="633" t="n"/>
      <c r="Y429" s="633" t="n"/>
      <c r="Z429" s="633" t="n"/>
      <c r="AA429" s="633" t="n"/>
      <c r="AB429" s="633" t="n"/>
      <c r="AC429" s="633" t="n"/>
      <c r="AD429" s="633" t="n"/>
      <c r="AI429" s="635" t="n"/>
      <c r="AJ429" s="635" t="n"/>
      <c r="AN429" s="636" t="n"/>
      <c r="AO429" s="636" t="n"/>
      <c r="AP429" s="636" t="n"/>
      <c r="AQ429" s="636" t="n"/>
      <c r="AR429" s="636" t="n"/>
      <c r="AS429" s="636" t="n"/>
    </row>
    <row r="430">
      <c r="A430" s="631" t="inlineStr">
        <is>
          <t>UVI-LL</t>
        </is>
      </c>
      <c r="B430" s="631" t="n">
        <v>2250</v>
      </c>
      <c r="C430" s="631" t="n">
        <v>1000</v>
      </c>
      <c r="D430" s="631">
        <f>$A430&amp;B430&amp;C430</f>
        <v/>
      </c>
      <c r="E430" s="1040">
        <f>SUM(G430:AD430)</f>
        <v/>
      </c>
      <c r="F430" s="632" t="n"/>
      <c r="G430" s="633">
        <f>F430*CCBASE!$B$51</f>
        <v/>
      </c>
      <c r="H430" s="633" t="n"/>
      <c r="I430" s="633" t="n"/>
      <c r="J430" s="633" t="n"/>
      <c r="K430" s="633" t="n"/>
      <c r="L430" s="632" t="n"/>
      <c r="M430" s="633" t="n"/>
      <c r="N430" s="633" t="n"/>
      <c r="O430" s="633" t="n"/>
      <c r="P430" s="633" t="n"/>
      <c r="Q430" s="633" t="n"/>
      <c r="R430" s="633" t="n"/>
      <c r="S430" s="633" t="n"/>
      <c r="T430" s="632" t="n"/>
      <c r="U430" s="633" t="n"/>
      <c r="V430" s="633" t="n"/>
      <c r="W430" s="633" t="n"/>
      <c r="X430" s="633" t="n"/>
      <c r="Y430" s="633" t="n"/>
      <c r="Z430" s="633" t="n"/>
      <c r="AA430" s="633" t="n"/>
      <c r="AB430" s="633" t="n"/>
      <c r="AC430" s="633" t="n"/>
      <c r="AD430" s="633" t="n"/>
      <c r="AI430" s="635" t="n"/>
      <c r="AJ430" s="635" t="n"/>
      <c r="AN430" s="636" t="n"/>
      <c r="AO430" s="636" t="n"/>
      <c r="AP430" s="636" t="n"/>
      <c r="AQ430" s="636" t="n"/>
      <c r="AR430" s="636" t="n"/>
      <c r="AS430" s="636" t="n"/>
    </row>
    <row r="431">
      <c r="A431" s="631" t="inlineStr">
        <is>
          <t>UVI-LL</t>
        </is>
      </c>
      <c r="B431" s="631" t="n">
        <v>2500</v>
      </c>
      <c r="C431" s="631" t="n">
        <v>1000</v>
      </c>
      <c r="D431" s="631">
        <f>$A431&amp;B431&amp;C431</f>
        <v/>
      </c>
      <c r="E431" s="1040">
        <f>SUM(G431:AD431)</f>
        <v/>
      </c>
      <c r="F431" s="632" t="n"/>
      <c r="G431" s="633">
        <f>F431*CCBASE!$B$51</f>
        <v/>
      </c>
      <c r="H431" s="633" t="n"/>
      <c r="I431" s="633" t="n"/>
      <c r="J431" s="633" t="n"/>
      <c r="K431" s="633" t="n"/>
      <c r="L431" s="632" t="n"/>
      <c r="M431" s="633" t="n"/>
      <c r="N431" s="633" t="n"/>
      <c r="O431" s="633" t="n"/>
      <c r="P431" s="633" t="n"/>
      <c r="Q431" s="633" t="n"/>
      <c r="R431" s="633" t="n"/>
      <c r="S431" s="633" t="n"/>
      <c r="T431" s="632" t="n"/>
      <c r="U431" s="633" t="n"/>
      <c r="V431" s="633" t="n"/>
      <c r="W431" s="633" t="n"/>
      <c r="X431" s="633" t="n"/>
      <c r="Y431" s="633" t="n"/>
      <c r="Z431" s="633" t="n"/>
      <c r="AA431" s="633" t="n"/>
      <c r="AB431" s="633" t="n"/>
      <c r="AC431" s="633" t="n"/>
      <c r="AD431" s="633" t="n"/>
      <c r="AI431" s="635" t="n"/>
      <c r="AJ431" s="635" t="n"/>
      <c r="AN431" s="636" t="n"/>
      <c r="AO431" s="636" t="n"/>
      <c r="AP431" s="636" t="n"/>
      <c r="AQ431" s="636" t="n"/>
      <c r="AR431" s="636" t="n"/>
      <c r="AS431" s="636" t="n"/>
    </row>
    <row r="432">
      <c r="A432" s="631" t="inlineStr">
        <is>
          <t>UVI-LL</t>
        </is>
      </c>
      <c r="B432" s="631" t="n">
        <v>2750</v>
      </c>
      <c r="C432" s="631" t="n">
        <v>1000</v>
      </c>
      <c r="D432" s="631">
        <f>$A432&amp;B432&amp;C432</f>
        <v/>
      </c>
      <c r="E432" s="1040">
        <f>SUM(G432:AD432)</f>
        <v/>
      </c>
      <c r="F432" s="632" t="n"/>
      <c r="G432" s="633">
        <f>F432*CCBASE!$B$51</f>
        <v/>
      </c>
      <c r="H432" s="633" t="n"/>
      <c r="I432" s="633" t="n"/>
      <c r="J432" s="633" t="n"/>
      <c r="K432" s="633" t="n"/>
      <c r="L432" s="632" t="n"/>
      <c r="M432" s="633" t="n"/>
      <c r="N432" s="633" t="n"/>
      <c r="O432" s="633" t="n"/>
      <c r="P432" s="633" t="n"/>
      <c r="Q432" s="633" t="n"/>
      <c r="R432" s="633" t="n"/>
      <c r="S432" s="633" t="n"/>
      <c r="T432" s="632" t="n"/>
      <c r="U432" s="633" t="n"/>
      <c r="V432" s="633" t="n"/>
      <c r="W432" s="633" t="n"/>
      <c r="X432" s="633" t="n"/>
      <c r="Y432" s="633" t="n"/>
      <c r="Z432" s="633" t="n"/>
      <c r="AA432" s="633" t="n"/>
      <c r="AB432" s="633" t="n"/>
      <c r="AC432" s="633" t="n"/>
      <c r="AD432" s="633" t="n"/>
      <c r="AI432" s="635" t="n"/>
      <c r="AJ432" s="635" t="n"/>
      <c r="AN432" s="636" t="n"/>
      <c r="AO432" s="636" t="n"/>
      <c r="AP432" s="636" t="n"/>
      <c r="AQ432" s="636" t="n"/>
      <c r="AR432" s="636" t="n"/>
      <c r="AS432" s="636" t="n"/>
    </row>
    <row r="433">
      <c r="A433" s="631" t="inlineStr">
        <is>
          <t>UVI-LL</t>
        </is>
      </c>
      <c r="B433" s="631" t="n">
        <v>3000</v>
      </c>
      <c r="C433" s="631" t="n">
        <v>1000</v>
      </c>
      <c r="D433" s="631">
        <f>$A433&amp;B433&amp;C433</f>
        <v/>
      </c>
      <c r="E433" s="1040">
        <f>SUM(G433:AD433)</f>
        <v/>
      </c>
      <c r="F433" s="632" t="n"/>
      <c r="G433" s="633">
        <f>F433*CCBASE!$B$51</f>
        <v/>
      </c>
      <c r="H433" s="633" t="n"/>
      <c r="I433" s="633" t="n"/>
      <c r="J433" s="633" t="n"/>
      <c r="K433" s="633" t="n"/>
      <c r="L433" s="632" t="n"/>
      <c r="M433" s="633" t="n"/>
      <c r="N433" s="633" t="n"/>
      <c r="O433" s="633" t="n"/>
      <c r="P433" s="633" t="n"/>
      <c r="Q433" s="633" t="n"/>
      <c r="R433" s="633" t="n"/>
      <c r="S433" s="633" t="n"/>
      <c r="T433" s="632" t="n"/>
      <c r="U433" s="633" t="n"/>
      <c r="V433" s="633" t="n"/>
      <c r="W433" s="633" t="n"/>
      <c r="X433" s="633" t="n"/>
      <c r="Y433" s="633" t="n"/>
      <c r="Z433" s="633" t="n"/>
      <c r="AA433" s="633" t="n"/>
      <c r="AB433" s="633" t="n"/>
      <c r="AC433" s="633" t="n"/>
      <c r="AD433" s="633" t="n"/>
      <c r="AI433" s="635" t="n"/>
      <c r="AJ433" s="635" t="n"/>
      <c r="AN433" s="636" t="n"/>
      <c r="AO433" s="636" t="n"/>
      <c r="AP433" s="636" t="n"/>
      <c r="AQ433" s="636" t="n"/>
      <c r="AR433" s="636" t="n"/>
      <c r="AS433" s="636" t="n"/>
    </row>
    <row r="434">
      <c r="A434" s="631" t="inlineStr">
        <is>
          <t>CXW</t>
        </is>
      </c>
      <c r="B434" s="631" t="n">
        <v>1000</v>
      </c>
      <c r="C434" s="631" t="n">
        <v>1000</v>
      </c>
      <c r="D434" s="640">
        <f>$A434&amp;B434&amp;C434</f>
        <v/>
      </c>
      <c r="E434" s="1040">
        <f>SUM(G434:AD434)</f>
        <v/>
      </c>
      <c r="F434" s="632" t="n">
        <v>7</v>
      </c>
      <c r="G434" s="633">
        <f>F434*CCBASE!$B$51</f>
        <v/>
      </c>
      <c r="H434" s="633" t="n"/>
      <c r="I434" s="633" t="n"/>
      <c r="J434" s="633" t="n"/>
      <c r="K434" s="633">
        <f>CCBASE!$I$21*B434/1000</f>
        <v/>
      </c>
      <c r="L434" s="633" t="n"/>
      <c r="M434" s="633" t="n"/>
      <c r="N434" s="633" t="n"/>
      <c r="O434" s="633" t="n"/>
      <c r="P434" s="632" t="n"/>
      <c r="Q434" s="632" t="n"/>
      <c r="R434" s="632" t="n"/>
      <c r="S434" s="632" t="n"/>
      <c r="T434" s="632" t="n"/>
      <c r="U434" s="633" t="n"/>
      <c r="V434" s="632" t="n"/>
      <c r="W434" s="632" t="n"/>
      <c r="X434" s="632" t="n"/>
      <c r="Y434" s="632" t="n"/>
      <c r="Z434" s="632" t="n"/>
      <c r="AA434" s="632" t="n"/>
      <c r="AB434" s="632" t="n"/>
      <c r="AC434" s="632" t="n"/>
      <c r="AD434" s="632" t="n"/>
    </row>
    <row r="435">
      <c r="A435" s="631" t="inlineStr">
        <is>
          <t>CXW</t>
        </is>
      </c>
      <c r="B435" s="631" t="n">
        <v>1250</v>
      </c>
      <c r="C435" s="631" t="n">
        <v>1000</v>
      </c>
      <c r="D435" s="640">
        <f>$A435&amp;B435&amp;C435</f>
        <v/>
      </c>
      <c r="E435" s="1040">
        <f>SUM(G435:AD435)</f>
        <v/>
      </c>
      <c r="F435" s="632" t="n">
        <v>7</v>
      </c>
      <c r="G435" s="633">
        <f>F435*CCBASE!$B$51</f>
        <v/>
      </c>
      <c r="H435" s="633" t="n"/>
      <c r="I435" s="633" t="n"/>
      <c r="J435" s="633" t="n"/>
      <c r="K435" s="633">
        <f>CCBASE!$I$21*B435/1000</f>
        <v/>
      </c>
      <c r="L435" s="633" t="n"/>
      <c r="M435" s="633" t="n"/>
      <c r="N435" s="633" t="n"/>
      <c r="O435" s="633" t="n"/>
      <c r="P435" s="632" t="n"/>
      <c r="Q435" s="632" t="n"/>
      <c r="R435" s="632" t="n"/>
      <c r="S435" s="632" t="n"/>
      <c r="T435" s="632" t="n"/>
      <c r="U435" s="633" t="n"/>
      <c r="V435" s="632" t="n"/>
      <c r="W435" s="632" t="n"/>
      <c r="X435" s="632" t="n"/>
      <c r="Y435" s="632" t="n"/>
      <c r="Z435" s="632" t="n"/>
      <c r="AA435" s="632" t="n"/>
      <c r="AB435" s="632" t="n"/>
      <c r="AC435" s="632" t="n"/>
      <c r="AD435" s="632" t="n"/>
    </row>
    <row r="436">
      <c r="A436" s="631" t="inlineStr">
        <is>
          <t>CXW</t>
        </is>
      </c>
      <c r="B436" s="631" t="n">
        <v>1500</v>
      </c>
      <c r="C436" s="631" t="n">
        <v>1000</v>
      </c>
      <c r="D436" s="640">
        <f>$A436&amp;B436&amp;C436</f>
        <v/>
      </c>
      <c r="E436" s="1040">
        <f>SUM(G436:AD436)</f>
        <v/>
      </c>
      <c r="F436" s="632" t="n">
        <v>7</v>
      </c>
      <c r="G436" s="633">
        <f>F436*CCBASE!$B$51</f>
        <v/>
      </c>
      <c r="H436" s="633" t="n"/>
      <c r="I436" s="633" t="n"/>
      <c r="J436" s="633" t="n"/>
      <c r="K436" s="633">
        <f>CCBASE!$I$21*B436/1000</f>
        <v/>
      </c>
      <c r="L436" s="633" t="n"/>
      <c r="M436" s="633" t="n"/>
      <c r="N436" s="633" t="n"/>
      <c r="O436" s="633" t="n"/>
      <c r="P436" s="632" t="n"/>
      <c r="Q436" s="632" t="n"/>
      <c r="R436" s="632" t="n"/>
      <c r="S436" s="632" t="n"/>
      <c r="T436" s="632" t="n"/>
      <c r="U436" s="633" t="n"/>
      <c r="V436" s="632" t="n"/>
      <c r="W436" s="632" t="n"/>
      <c r="X436" s="632" t="n"/>
      <c r="Y436" s="632" t="n"/>
      <c r="Z436" s="632" t="n"/>
      <c r="AA436" s="632" t="n"/>
      <c r="AB436" s="632" t="n"/>
      <c r="AC436" s="632" t="n"/>
      <c r="AD436" s="632" t="n"/>
    </row>
    <row r="437">
      <c r="A437" s="631" t="inlineStr">
        <is>
          <t>CXW</t>
        </is>
      </c>
      <c r="B437" s="631" t="n">
        <v>1750</v>
      </c>
      <c r="C437" s="631" t="n">
        <v>1000</v>
      </c>
      <c r="D437" s="640">
        <f>$A437&amp;B437&amp;C437</f>
        <v/>
      </c>
      <c r="E437" s="1040">
        <f>SUM(G437:AD437)</f>
        <v/>
      </c>
      <c r="F437" s="632" t="n">
        <v>8</v>
      </c>
      <c r="G437" s="633">
        <f>F437*CCBASE!$B$51</f>
        <v/>
      </c>
      <c r="H437" s="633" t="n"/>
      <c r="I437" s="633" t="n"/>
      <c r="J437" s="633" t="n"/>
      <c r="K437" s="633">
        <f>CCBASE!$I$21*B437/1000</f>
        <v/>
      </c>
      <c r="L437" s="633" t="n"/>
      <c r="M437" s="633" t="n"/>
      <c r="N437" s="633" t="n"/>
      <c r="O437" s="633" t="n"/>
      <c r="P437" s="632" t="n"/>
      <c r="Q437" s="632" t="n"/>
      <c r="R437" s="632" t="n"/>
      <c r="S437" s="632" t="n"/>
      <c r="T437" s="632" t="n"/>
      <c r="U437" s="633" t="n"/>
      <c r="V437" s="632" t="n"/>
      <c r="W437" s="632" t="n"/>
      <c r="X437" s="632" t="n"/>
      <c r="Y437" s="632" t="n"/>
      <c r="Z437" s="632" t="n"/>
      <c r="AA437" s="632" t="n"/>
      <c r="AB437" s="632" t="n"/>
      <c r="AC437" s="632" t="n"/>
      <c r="AD437" s="632" t="n"/>
    </row>
    <row r="438">
      <c r="A438" s="631" t="inlineStr">
        <is>
          <t>CXW</t>
        </is>
      </c>
      <c r="B438" s="631" t="n">
        <v>2000</v>
      </c>
      <c r="C438" s="631" t="n">
        <v>1000</v>
      </c>
      <c r="D438" s="640">
        <f>$A438&amp;B438&amp;C438</f>
        <v/>
      </c>
      <c r="E438" s="1040">
        <f>SUM(G438:AD438)</f>
        <v/>
      </c>
      <c r="F438" s="632" t="n">
        <v>8</v>
      </c>
      <c r="G438" s="633">
        <f>F438*CCBASE!$B$51</f>
        <v/>
      </c>
      <c r="H438" s="633" t="n"/>
      <c r="I438" s="633" t="n"/>
      <c r="J438" s="633" t="n"/>
      <c r="K438" s="633">
        <f>CCBASE!$I$21*B438/1000</f>
        <v/>
      </c>
      <c r="L438" s="633" t="n"/>
      <c r="M438" s="633" t="n"/>
      <c r="N438" s="633" t="n"/>
      <c r="O438" s="633" t="n"/>
      <c r="P438" s="632" t="n"/>
      <c r="Q438" s="632" t="n"/>
      <c r="R438" s="632" t="n"/>
      <c r="S438" s="632" t="n"/>
      <c r="T438" s="632" t="n"/>
      <c r="U438" s="633" t="n"/>
      <c r="V438" s="632" t="n"/>
      <c r="W438" s="632" t="n"/>
      <c r="X438" s="632" t="n"/>
      <c r="Y438" s="632" t="n"/>
      <c r="Z438" s="632" t="n"/>
      <c r="AA438" s="632" t="n"/>
      <c r="AB438" s="632" t="n"/>
      <c r="AC438" s="632" t="n"/>
      <c r="AD438" s="632" t="n"/>
    </row>
    <row r="439">
      <c r="A439" s="631" t="inlineStr">
        <is>
          <t>CXW</t>
        </is>
      </c>
      <c r="B439" s="631" t="n">
        <v>2250</v>
      </c>
      <c r="C439" s="631" t="n">
        <v>1000</v>
      </c>
      <c r="D439" s="640">
        <f>$A439&amp;B439&amp;C439</f>
        <v/>
      </c>
      <c r="E439" s="1040">
        <f>SUM(G439:AD439)</f>
        <v/>
      </c>
      <c r="F439" s="632" t="n">
        <v>8</v>
      </c>
      <c r="G439" s="633">
        <f>F439*CCBASE!$B$51</f>
        <v/>
      </c>
      <c r="H439" s="633" t="n"/>
      <c r="I439" s="633" t="n"/>
      <c r="J439" s="633" t="n"/>
      <c r="K439" s="633">
        <f>CCBASE!$I$21*B439/1000</f>
        <v/>
      </c>
      <c r="L439" s="633" t="n"/>
      <c r="M439" s="633" t="n"/>
      <c r="N439" s="633" t="n"/>
      <c r="O439" s="633" t="n"/>
      <c r="P439" s="632" t="n"/>
      <c r="Q439" s="632" t="n"/>
      <c r="R439" s="632" t="n"/>
      <c r="S439" s="632" t="n"/>
      <c r="T439" s="632" t="n"/>
      <c r="U439" s="633" t="n"/>
      <c r="V439" s="632" t="n"/>
      <c r="W439" s="632" t="n"/>
      <c r="X439" s="632" t="n"/>
      <c r="Y439" s="632" t="n"/>
      <c r="Z439" s="632" t="n"/>
      <c r="AA439" s="632" t="n"/>
      <c r="AB439" s="632" t="n"/>
      <c r="AC439" s="632" t="n"/>
      <c r="AD439" s="632" t="n"/>
    </row>
    <row r="440">
      <c r="A440" s="631" t="inlineStr">
        <is>
          <t>CXW</t>
        </is>
      </c>
      <c r="B440" s="631" t="n">
        <v>2500</v>
      </c>
      <c r="C440" s="631" t="n">
        <v>1000</v>
      </c>
      <c r="D440" s="640">
        <f>$A440&amp;B440&amp;C440</f>
        <v/>
      </c>
      <c r="E440" s="1040">
        <f>SUM(G440:AD440)</f>
        <v/>
      </c>
      <c r="F440" s="632" t="n">
        <v>8</v>
      </c>
      <c r="G440" s="633">
        <f>F440*CCBASE!$B$51</f>
        <v/>
      </c>
      <c r="H440" s="633" t="n"/>
      <c r="I440" s="633" t="n"/>
      <c r="J440" s="633" t="n"/>
      <c r="K440" s="633">
        <f>CCBASE!$I$21*B440/1000</f>
        <v/>
      </c>
      <c r="L440" s="633" t="n"/>
      <c r="M440" s="633" t="n"/>
      <c r="N440" s="633" t="n"/>
      <c r="O440" s="633" t="n"/>
      <c r="P440" s="632" t="n"/>
      <c r="Q440" s="632" t="n"/>
      <c r="R440" s="632" t="n"/>
      <c r="S440" s="632" t="n"/>
      <c r="T440" s="632" t="n"/>
      <c r="U440" s="633" t="n"/>
      <c r="V440" s="632" t="n"/>
      <c r="W440" s="632" t="n"/>
      <c r="X440" s="632" t="n"/>
      <c r="Y440" s="632" t="n"/>
      <c r="Z440" s="632" t="n"/>
      <c r="AA440" s="632" t="n"/>
      <c r="AB440" s="632" t="n"/>
      <c r="AC440" s="632" t="n"/>
      <c r="AD440" s="632" t="n"/>
    </row>
    <row r="441">
      <c r="A441" s="631" t="inlineStr">
        <is>
          <t>CXW</t>
        </is>
      </c>
      <c r="B441" s="631" t="n">
        <v>2750</v>
      </c>
      <c r="C441" s="631" t="n">
        <v>1000</v>
      </c>
      <c r="D441" s="640">
        <f>$A441&amp;B441&amp;C441</f>
        <v/>
      </c>
      <c r="E441" s="1040">
        <f>SUM(G441:AD441)</f>
        <v/>
      </c>
      <c r="F441" s="632" t="n">
        <v>8</v>
      </c>
      <c r="G441" s="633">
        <f>F441*CCBASE!$B$51</f>
        <v/>
      </c>
      <c r="H441" s="633" t="n"/>
      <c r="I441" s="633" t="n"/>
      <c r="J441" s="633" t="n"/>
      <c r="K441" s="633">
        <f>CCBASE!$I$21*B441/1000</f>
        <v/>
      </c>
      <c r="L441" s="633" t="n"/>
      <c r="M441" s="633" t="n"/>
      <c r="N441" s="633" t="n"/>
      <c r="O441" s="633" t="n"/>
      <c r="P441" s="632" t="n"/>
      <c r="Q441" s="632" t="n"/>
      <c r="R441" s="632" t="n"/>
      <c r="S441" s="632" t="n"/>
      <c r="T441" s="632" t="n"/>
      <c r="U441" s="633" t="n"/>
      <c r="V441" s="632" t="n"/>
      <c r="W441" s="632" t="n"/>
      <c r="X441" s="632" t="n"/>
      <c r="Y441" s="632" t="n"/>
      <c r="Z441" s="632" t="n"/>
      <c r="AA441" s="632" t="n"/>
      <c r="AB441" s="632" t="n"/>
      <c r="AC441" s="632" t="n"/>
      <c r="AD441" s="632" t="n"/>
    </row>
    <row r="442">
      <c r="A442" s="631" t="inlineStr">
        <is>
          <t>CXW</t>
        </is>
      </c>
      <c r="B442" s="631" t="n">
        <v>3000</v>
      </c>
      <c r="C442" s="631" t="n">
        <v>1000</v>
      </c>
      <c r="D442" s="640">
        <f>$A442&amp;B442&amp;C442</f>
        <v/>
      </c>
      <c r="E442" s="1040">
        <f>SUM(G442:AD442)</f>
        <v/>
      </c>
      <c r="F442" s="632" t="n">
        <v>8</v>
      </c>
      <c r="G442" s="633">
        <f>F442*CCBASE!$B$51</f>
        <v/>
      </c>
      <c r="H442" s="633" t="n"/>
      <c r="I442" s="633" t="n"/>
      <c r="J442" s="633" t="n"/>
      <c r="K442" s="633">
        <f>CCBASE!$I$21*B442/1000</f>
        <v/>
      </c>
      <c r="L442" s="633" t="n"/>
      <c r="M442" s="633" t="n"/>
      <c r="N442" s="633" t="n"/>
      <c r="O442" s="633" t="n"/>
      <c r="P442" s="632" t="n"/>
      <c r="Q442" s="632" t="n"/>
      <c r="R442" s="632" t="n"/>
      <c r="S442" s="632" t="n"/>
      <c r="T442" s="632" t="n"/>
      <c r="U442" s="633" t="n"/>
      <c r="V442" s="632" t="n"/>
      <c r="W442" s="632" t="n"/>
      <c r="X442" s="632" t="n"/>
      <c r="Y442" s="632" t="n"/>
      <c r="Z442" s="632" t="n"/>
      <c r="AA442" s="632" t="n"/>
      <c r="AB442" s="632" t="n"/>
      <c r="AC442" s="632" t="n"/>
      <c r="AD442" s="632" t="n"/>
    </row>
    <row r="443">
      <c r="A443" s="631" t="inlineStr">
        <is>
          <t>CXW</t>
        </is>
      </c>
      <c r="B443" s="631" t="n">
        <v>1000</v>
      </c>
      <c r="C443" s="631" t="n">
        <v>1250</v>
      </c>
      <c r="D443" s="640">
        <f>$A443&amp;B443&amp;C443</f>
        <v/>
      </c>
      <c r="E443" s="1040">
        <f>SUM(G443:AD443)</f>
        <v/>
      </c>
      <c r="F443" s="632" t="n">
        <v>7</v>
      </c>
      <c r="G443" s="633">
        <f>F443*CCBASE!$B$51</f>
        <v/>
      </c>
      <c r="H443" s="633" t="n"/>
      <c r="I443" s="633" t="n"/>
      <c r="J443" s="633" t="n"/>
      <c r="K443" s="633">
        <f>CCBASE!$I$22*B443/1000</f>
        <v/>
      </c>
      <c r="L443" s="633" t="n"/>
      <c r="M443" s="633" t="n"/>
      <c r="N443" s="633" t="n"/>
      <c r="O443" s="633" t="n"/>
      <c r="P443" s="632" t="n"/>
      <c r="Q443" s="632" t="n"/>
      <c r="R443" s="632" t="n"/>
      <c r="S443" s="632" t="n"/>
      <c r="T443" s="632" t="n"/>
      <c r="U443" s="633" t="n"/>
      <c r="V443" s="632" t="n"/>
      <c r="W443" s="632" t="n"/>
      <c r="X443" s="632" t="n"/>
      <c r="Y443" s="632" t="n"/>
      <c r="Z443" s="632" t="n"/>
      <c r="AA443" s="632" t="n"/>
      <c r="AB443" s="632" t="n"/>
      <c r="AC443" s="632" t="n"/>
      <c r="AD443" s="632" t="n"/>
    </row>
    <row r="444">
      <c r="A444" s="631" t="inlineStr">
        <is>
          <t>CXW</t>
        </is>
      </c>
      <c r="B444" s="631" t="n">
        <v>1250</v>
      </c>
      <c r="C444" s="631" t="n">
        <v>1250</v>
      </c>
      <c r="D444" s="640">
        <f>$A444&amp;B444&amp;C444</f>
        <v/>
      </c>
      <c r="E444" s="1040">
        <f>SUM(G444:AD444)</f>
        <v/>
      </c>
      <c r="F444" s="632" t="n">
        <v>7</v>
      </c>
      <c r="G444" s="633">
        <f>F444*CCBASE!$B$51</f>
        <v/>
      </c>
      <c r="H444" s="633" t="n"/>
      <c r="I444" s="633" t="n"/>
      <c r="J444" s="633" t="n"/>
      <c r="K444" s="633">
        <f>CCBASE!$I$22*B444/1000</f>
        <v/>
      </c>
      <c r="L444" s="633" t="n"/>
      <c r="M444" s="633" t="n"/>
      <c r="N444" s="633" t="n"/>
      <c r="O444" s="633" t="n"/>
      <c r="P444" s="632" t="n"/>
      <c r="Q444" s="632" t="n"/>
      <c r="R444" s="632" t="n"/>
      <c r="S444" s="632" t="n"/>
      <c r="T444" s="632" t="n"/>
      <c r="U444" s="633" t="n"/>
      <c r="V444" s="632" t="n"/>
      <c r="W444" s="632" t="n"/>
      <c r="X444" s="632" t="n"/>
      <c r="Y444" s="632" t="n"/>
      <c r="Z444" s="632" t="n"/>
      <c r="AA444" s="632" t="n"/>
      <c r="AB444" s="632" t="n"/>
      <c r="AC444" s="632" t="n"/>
      <c r="AD444" s="632" t="n"/>
    </row>
    <row r="445">
      <c r="A445" s="631" t="inlineStr">
        <is>
          <t>CXW</t>
        </is>
      </c>
      <c r="B445" s="631" t="n">
        <v>1500</v>
      </c>
      <c r="C445" s="631" t="n">
        <v>1250</v>
      </c>
      <c r="D445" s="640">
        <f>$A445&amp;B445&amp;C445</f>
        <v/>
      </c>
      <c r="E445" s="1040">
        <f>SUM(G445:AD445)</f>
        <v/>
      </c>
      <c r="F445" s="632" t="n">
        <v>7</v>
      </c>
      <c r="G445" s="633">
        <f>F445*CCBASE!$B$51</f>
        <v/>
      </c>
      <c r="H445" s="633" t="n"/>
      <c r="I445" s="633" t="n"/>
      <c r="J445" s="633" t="n"/>
      <c r="K445" s="633">
        <f>CCBASE!$I$22*B445/1000</f>
        <v/>
      </c>
      <c r="L445" s="633" t="n"/>
      <c r="M445" s="633" t="n"/>
      <c r="N445" s="633" t="n"/>
      <c r="O445" s="633" t="n"/>
      <c r="P445" s="632" t="n"/>
      <c r="Q445" s="632" t="n"/>
      <c r="R445" s="632" t="n"/>
      <c r="S445" s="632" t="n"/>
      <c r="T445" s="632" t="n"/>
      <c r="U445" s="633" t="n"/>
      <c r="V445" s="632" t="n"/>
      <c r="W445" s="632" t="n"/>
      <c r="X445" s="632" t="n"/>
      <c r="Y445" s="632" t="n"/>
      <c r="Z445" s="632" t="n"/>
      <c r="AA445" s="632" t="n"/>
      <c r="AB445" s="632" t="n"/>
      <c r="AC445" s="632" t="n"/>
      <c r="AD445" s="632" t="n"/>
    </row>
    <row r="446">
      <c r="A446" s="631" t="inlineStr">
        <is>
          <t>CXW</t>
        </is>
      </c>
      <c r="B446" s="631" t="n">
        <v>1750</v>
      </c>
      <c r="C446" s="631" t="n">
        <v>1250</v>
      </c>
      <c r="D446" s="640">
        <f>$A446&amp;B446&amp;C446</f>
        <v/>
      </c>
      <c r="E446" s="1040">
        <f>SUM(G446:AD446)</f>
        <v/>
      </c>
      <c r="F446" s="632" t="n">
        <v>8</v>
      </c>
      <c r="G446" s="633">
        <f>F446*CCBASE!$B$51</f>
        <v/>
      </c>
      <c r="H446" s="633" t="n"/>
      <c r="I446" s="633" t="n"/>
      <c r="J446" s="633" t="n"/>
      <c r="K446" s="633">
        <f>CCBASE!$I$22*B446/1000</f>
        <v/>
      </c>
      <c r="L446" s="633" t="n"/>
      <c r="M446" s="633" t="n"/>
      <c r="N446" s="633" t="n"/>
      <c r="O446" s="633" t="n"/>
      <c r="P446" s="632" t="n"/>
      <c r="Q446" s="632" t="n"/>
      <c r="R446" s="632" t="n"/>
      <c r="S446" s="632" t="n"/>
      <c r="T446" s="632" t="n"/>
      <c r="U446" s="633" t="n"/>
      <c r="V446" s="632" t="n"/>
      <c r="W446" s="632" t="n"/>
      <c r="X446" s="632" t="n"/>
      <c r="Y446" s="632" t="n"/>
      <c r="Z446" s="632" t="n"/>
      <c r="AA446" s="632" t="n"/>
      <c r="AB446" s="632" t="n"/>
      <c r="AC446" s="632" t="n"/>
      <c r="AD446" s="632" t="n"/>
    </row>
    <row r="447">
      <c r="A447" s="631" t="inlineStr">
        <is>
          <t>CXW</t>
        </is>
      </c>
      <c r="B447" s="631" t="n">
        <v>2000</v>
      </c>
      <c r="C447" s="631" t="n">
        <v>1250</v>
      </c>
      <c r="D447" s="640">
        <f>$A447&amp;B447&amp;C447</f>
        <v/>
      </c>
      <c r="E447" s="1040">
        <f>SUM(G447:AD447)</f>
        <v/>
      </c>
      <c r="F447" s="632" t="n">
        <v>8</v>
      </c>
      <c r="G447" s="633">
        <f>F447*CCBASE!$B$51</f>
        <v/>
      </c>
      <c r="H447" s="633" t="n"/>
      <c r="I447" s="633" t="n"/>
      <c r="J447" s="633" t="n"/>
      <c r="K447" s="633">
        <f>CCBASE!$I$22*B447/1000</f>
        <v/>
      </c>
      <c r="L447" s="633" t="n"/>
      <c r="M447" s="633" t="n"/>
      <c r="N447" s="633" t="n"/>
      <c r="O447" s="633" t="n"/>
      <c r="P447" s="632" t="n"/>
      <c r="Q447" s="632" t="n"/>
      <c r="R447" s="632" t="n"/>
      <c r="S447" s="632" t="n"/>
      <c r="T447" s="632" t="n"/>
      <c r="U447" s="633" t="n"/>
      <c r="V447" s="632" t="n"/>
      <c r="W447" s="632" t="n"/>
      <c r="X447" s="632" t="n"/>
      <c r="Y447" s="632" t="n"/>
      <c r="Z447" s="632" t="n"/>
      <c r="AA447" s="632" t="n"/>
      <c r="AB447" s="632" t="n"/>
      <c r="AC447" s="632" t="n"/>
      <c r="AD447" s="632" t="n"/>
    </row>
    <row r="448">
      <c r="A448" s="631" t="inlineStr">
        <is>
          <t>CXW</t>
        </is>
      </c>
      <c r="B448" s="631" t="n">
        <v>2250</v>
      </c>
      <c r="C448" s="631" t="n">
        <v>1250</v>
      </c>
      <c r="D448" s="640">
        <f>$A448&amp;B448&amp;C448</f>
        <v/>
      </c>
      <c r="E448" s="1040">
        <f>SUM(G448:AD448)</f>
        <v/>
      </c>
      <c r="F448" s="632" t="n">
        <v>8</v>
      </c>
      <c r="G448" s="633">
        <f>F448*CCBASE!$B$51</f>
        <v/>
      </c>
      <c r="H448" s="633" t="n"/>
      <c r="I448" s="633" t="n"/>
      <c r="J448" s="633" t="n"/>
      <c r="K448" s="633">
        <f>CCBASE!$I$22*B448/1000</f>
        <v/>
      </c>
      <c r="L448" s="633" t="n"/>
      <c r="M448" s="633" t="n"/>
      <c r="N448" s="633" t="n"/>
      <c r="O448" s="633" t="n"/>
      <c r="P448" s="632" t="n"/>
      <c r="Q448" s="632" t="n"/>
      <c r="R448" s="632" t="n"/>
      <c r="S448" s="632" t="n"/>
      <c r="T448" s="632" t="n"/>
      <c r="U448" s="633" t="n"/>
      <c r="V448" s="632" t="n"/>
      <c r="W448" s="632" t="n"/>
      <c r="X448" s="632" t="n"/>
      <c r="Y448" s="632" t="n"/>
      <c r="Z448" s="632" t="n"/>
      <c r="AA448" s="632" t="n"/>
      <c r="AB448" s="632" t="n"/>
      <c r="AC448" s="632" t="n"/>
      <c r="AD448" s="632" t="n"/>
    </row>
    <row r="449">
      <c r="A449" s="631" t="inlineStr">
        <is>
          <t>CXW</t>
        </is>
      </c>
      <c r="B449" s="631" t="n">
        <v>2500</v>
      </c>
      <c r="C449" s="631" t="n">
        <v>1250</v>
      </c>
      <c r="D449" s="640">
        <f>$A449&amp;B449&amp;C449</f>
        <v/>
      </c>
      <c r="E449" s="1040">
        <f>SUM(G449:AD449)</f>
        <v/>
      </c>
      <c r="F449" s="632" t="n">
        <v>8</v>
      </c>
      <c r="G449" s="633">
        <f>F449*CCBASE!$B$51</f>
        <v/>
      </c>
      <c r="H449" s="633" t="n"/>
      <c r="I449" s="633" t="n"/>
      <c r="J449" s="633" t="n"/>
      <c r="K449" s="633">
        <f>CCBASE!$I$22*B449/1000</f>
        <v/>
      </c>
      <c r="L449" s="633" t="n"/>
      <c r="M449" s="633" t="n"/>
      <c r="N449" s="633" t="n"/>
      <c r="O449" s="633" t="n"/>
      <c r="P449" s="632" t="n"/>
      <c r="Q449" s="632" t="n"/>
      <c r="R449" s="632" t="n"/>
      <c r="S449" s="632" t="n"/>
      <c r="T449" s="632" t="n"/>
      <c r="U449" s="633" t="n"/>
      <c r="V449" s="632" t="n"/>
      <c r="W449" s="632" t="n"/>
      <c r="X449" s="632" t="n"/>
      <c r="Y449" s="632" t="n"/>
      <c r="Z449" s="632" t="n"/>
      <c r="AA449" s="632" t="n"/>
      <c r="AB449" s="632" t="n"/>
      <c r="AC449" s="632" t="n"/>
      <c r="AD449" s="632" t="n"/>
    </row>
    <row r="450">
      <c r="A450" s="631" t="inlineStr">
        <is>
          <t>CXW</t>
        </is>
      </c>
      <c r="B450" s="631" t="n">
        <v>2750</v>
      </c>
      <c r="C450" s="631" t="n">
        <v>1250</v>
      </c>
      <c r="D450" s="640">
        <f>$A450&amp;B450&amp;C450</f>
        <v/>
      </c>
      <c r="E450" s="1040">
        <f>SUM(G450:AD450)</f>
        <v/>
      </c>
      <c r="F450" s="632" t="n">
        <v>8</v>
      </c>
      <c r="G450" s="633">
        <f>F450*CCBASE!$B$51</f>
        <v/>
      </c>
      <c r="H450" s="633" t="n"/>
      <c r="I450" s="633" t="n"/>
      <c r="J450" s="633" t="n"/>
      <c r="K450" s="633">
        <f>CCBASE!$I$22*B450/1000</f>
        <v/>
      </c>
      <c r="L450" s="633" t="n"/>
      <c r="M450" s="633" t="n"/>
      <c r="N450" s="633" t="n"/>
      <c r="O450" s="633" t="n"/>
      <c r="P450" s="632" t="n"/>
      <c r="Q450" s="632" t="n"/>
      <c r="R450" s="632" t="n"/>
      <c r="S450" s="632" t="n"/>
      <c r="T450" s="632" t="n"/>
      <c r="U450" s="633" t="n"/>
      <c r="V450" s="632" t="n"/>
      <c r="W450" s="632" t="n"/>
      <c r="X450" s="632" t="n"/>
      <c r="Y450" s="632" t="n"/>
      <c r="Z450" s="632" t="n"/>
      <c r="AA450" s="632" t="n"/>
      <c r="AB450" s="632" t="n"/>
      <c r="AC450" s="632" t="n"/>
      <c r="AD450" s="632" t="n"/>
    </row>
    <row r="451">
      <c r="A451" s="631" t="inlineStr">
        <is>
          <t>CXW</t>
        </is>
      </c>
      <c r="B451" s="631" t="n">
        <v>3000</v>
      </c>
      <c r="C451" s="631" t="n">
        <v>1250</v>
      </c>
      <c r="D451" s="640">
        <f>$A451&amp;B451&amp;C451</f>
        <v/>
      </c>
      <c r="E451" s="1040">
        <f>SUM(G451:AD451)</f>
        <v/>
      </c>
      <c r="F451" s="632" t="n">
        <v>8</v>
      </c>
      <c r="G451" s="633">
        <f>F451*CCBASE!$B$51</f>
        <v/>
      </c>
      <c r="H451" s="633" t="n"/>
      <c r="I451" s="633" t="n"/>
      <c r="J451" s="633" t="n"/>
      <c r="K451" s="633">
        <f>CCBASE!$I$22*B451/1000</f>
        <v/>
      </c>
      <c r="L451" s="633" t="n"/>
      <c r="M451" s="633" t="n"/>
      <c r="N451" s="633" t="n"/>
      <c r="O451" s="633" t="n"/>
      <c r="P451" s="632" t="n"/>
      <c r="Q451" s="632" t="n"/>
      <c r="R451" s="632" t="n"/>
      <c r="S451" s="632" t="n"/>
      <c r="T451" s="632" t="n"/>
      <c r="U451" s="633" t="n"/>
      <c r="V451" s="632" t="n"/>
      <c r="W451" s="632" t="n"/>
      <c r="X451" s="632" t="n"/>
      <c r="Y451" s="632" t="n"/>
      <c r="Z451" s="632" t="n"/>
      <c r="AA451" s="632" t="n"/>
      <c r="AB451" s="632" t="n"/>
      <c r="AC451" s="632" t="n"/>
      <c r="AD451" s="632" t="n"/>
    </row>
    <row r="452">
      <c r="A452" s="631" t="inlineStr">
        <is>
          <t>CXW</t>
        </is>
      </c>
      <c r="B452" s="631" t="n">
        <v>1000</v>
      </c>
      <c r="C452" s="631" t="n">
        <v>1500</v>
      </c>
      <c r="D452" s="640">
        <f>$A452&amp;B452&amp;C452</f>
        <v/>
      </c>
      <c r="E452" s="1040">
        <f>SUM(G452:AD452)</f>
        <v/>
      </c>
      <c r="F452" s="632" t="n">
        <v>7</v>
      </c>
      <c r="G452" s="633">
        <f>F452*CCBASE!$B$51</f>
        <v/>
      </c>
      <c r="H452" s="633" t="n"/>
      <c r="I452" s="633" t="n"/>
      <c r="J452" s="633" t="n"/>
      <c r="K452" s="633">
        <f>CCBASE!$I$23*B452/1000</f>
        <v/>
      </c>
      <c r="L452" s="633" t="n"/>
      <c r="M452" s="633" t="n"/>
      <c r="N452" s="633" t="n"/>
      <c r="O452" s="633" t="n"/>
      <c r="P452" s="632" t="n"/>
      <c r="Q452" s="632" t="n"/>
      <c r="R452" s="632" t="n"/>
      <c r="S452" s="632" t="n"/>
      <c r="T452" s="632" t="n"/>
      <c r="U452" s="633" t="n"/>
      <c r="V452" s="632" t="n"/>
      <c r="W452" s="632" t="n"/>
      <c r="X452" s="632" t="n"/>
      <c r="Y452" s="632" t="n"/>
      <c r="Z452" s="632" t="n"/>
      <c r="AA452" s="632" t="n"/>
      <c r="AB452" s="632" t="n"/>
      <c r="AC452" s="632" t="n"/>
      <c r="AD452" s="632" t="n"/>
    </row>
    <row r="453">
      <c r="A453" s="631" t="inlineStr">
        <is>
          <t>CXW</t>
        </is>
      </c>
      <c r="B453" s="631" t="n">
        <v>1250</v>
      </c>
      <c r="C453" s="631" t="n">
        <v>1500</v>
      </c>
      <c r="D453" s="640">
        <f>$A453&amp;B453&amp;C453</f>
        <v/>
      </c>
      <c r="E453" s="1040">
        <f>SUM(G453:AD453)</f>
        <v/>
      </c>
      <c r="F453" s="632" t="n">
        <v>7</v>
      </c>
      <c r="G453" s="633">
        <f>F453*CCBASE!$B$51</f>
        <v/>
      </c>
      <c r="H453" s="633" t="n"/>
      <c r="I453" s="633" t="n"/>
      <c r="J453" s="633" t="n"/>
      <c r="K453" s="633">
        <f>CCBASE!$I$23*B453/1000</f>
        <v/>
      </c>
      <c r="L453" s="633" t="n"/>
      <c r="M453" s="633" t="n"/>
      <c r="N453" s="633" t="n"/>
      <c r="O453" s="633" t="n"/>
      <c r="P453" s="632" t="n"/>
      <c r="Q453" s="632" t="n"/>
      <c r="R453" s="632" t="n"/>
      <c r="S453" s="632" t="n"/>
      <c r="T453" s="632" t="n"/>
      <c r="U453" s="633" t="n"/>
      <c r="V453" s="632" t="n"/>
      <c r="W453" s="632" t="n"/>
      <c r="X453" s="632" t="n"/>
      <c r="Y453" s="632" t="n"/>
      <c r="Z453" s="632" t="n"/>
      <c r="AA453" s="632" t="n"/>
      <c r="AB453" s="632" t="n"/>
      <c r="AC453" s="632" t="n"/>
      <c r="AD453" s="632" t="n"/>
    </row>
    <row r="454">
      <c r="A454" s="631" t="inlineStr">
        <is>
          <t>CXW</t>
        </is>
      </c>
      <c r="B454" s="631" t="n">
        <v>1500</v>
      </c>
      <c r="C454" s="631" t="n">
        <v>1500</v>
      </c>
      <c r="D454" s="640">
        <f>$A454&amp;B454&amp;C454</f>
        <v/>
      </c>
      <c r="E454" s="1040">
        <f>SUM(G454:AD454)</f>
        <v/>
      </c>
      <c r="F454" s="632" t="n">
        <v>7</v>
      </c>
      <c r="G454" s="633">
        <f>F454*CCBASE!$B$51</f>
        <v/>
      </c>
      <c r="H454" s="633" t="n"/>
      <c r="I454" s="633" t="n"/>
      <c r="J454" s="633" t="n"/>
      <c r="K454" s="633">
        <f>CCBASE!$I$23*B454/1000</f>
        <v/>
      </c>
      <c r="L454" s="633" t="n"/>
      <c r="M454" s="633" t="n"/>
      <c r="N454" s="633" t="n"/>
      <c r="O454" s="633" t="n"/>
      <c r="P454" s="632" t="n"/>
      <c r="Q454" s="632" t="n"/>
      <c r="R454" s="632" t="n"/>
      <c r="S454" s="632" t="n"/>
      <c r="T454" s="632" t="n"/>
      <c r="U454" s="633" t="n"/>
      <c r="V454" s="632" t="n"/>
      <c r="W454" s="632" t="n"/>
      <c r="X454" s="632" t="n"/>
      <c r="Y454" s="632" t="n"/>
      <c r="Z454" s="632" t="n"/>
      <c r="AA454" s="632" t="n"/>
      <c r="AB454" s="632" t="n"/>
      <c r="AC454" s="632" t="n"/>
      <c r="AD454" s="632" t="n"/>
    </row>
    <row r="455">
      <c r="A455" s="631" t="inlineStr">
        <is>
          <t>CXW</t>
        </is>
      </c>
      <c r="B455" s="631" t="n">
        <v>1750</v>
      </c>
      <c r="C455" s="631" t="n">
        <v>1500</v>
      </c>
      <c r="D455" s="640">
        <f>$A455&amp;B455&amp;C455</f>
        <v/>
      </c>
      <c r="E455" s="1040">
        <f>SUM(G455:AD455)</f>
        <v/>
      </c>
      <c r="F455" s="632" t="n">
        <v>8</v>
      </c>
      <c r="G455" s="633">
        <f>F455*CCBASE!$B$51</f>
        <v/>
      </c>
      <c r="H455" s="633" t="n"/>
      <c r="I455" s="633" t="n"/>
      <c r="J455" s="633" t="n"/>
      <c r="K455" s="633">
        <f>CCBASE!$I$23*B455/1000</f>
        <v/>
      </c>
      <c r="L455" s="633" t="n"/>
      <c r="M455" s="633" t="n"/>
      <c r="N455" s="633" t="n"/>
      <c r="O455" s="633" t="n"/>
      <c r="P455" s="632" t="n"/>
      <c r="Q455" s="632" t="n"/>
      <c r="R455" s="632" t="n"/>
      <c r="S455" s="632" t="n"/>
      <c r="T455" s="632" t="n"/>
      <c r="U455" s="633" t="n"/>
      <c r="V455" s="632" t="n"/>
      <c r="W455" s="632" t="n"/>
      <c r="X455" s="632" t="n"/>
      <c r="Y455" s="632" t="n"/>
      <c r="Z455" s="632" t="n"/>
      <c r="AA455" s="632" t="n"/>
      <c r="AB455" s="632" t="n"/>
      <c r="AC455" s="632" t="n"/>
      <c r="AD455" s="632" t="n"/>
    </row>
    <row r="456">
      <c r="A456" s="631" t="inlineStr">
        <is>
          <t>CXW</t>
        </is>
      </c>
      <c r="B456" s="631" t="n">
        <v>2000</v>
      </c>
      <c r="C456" s="631" t="n">
        <v>1500</v>
      </c>
      <c r="D456" s="640">
        <f>$A456&amp;B456&amp;C456</f>
        <v/>
      </c>
      <c r="E456" s="1040">
        <f>SUM(G456:AD456)</f>
        <v/>
      </c>
      <c r="F456" s="632" t="n">
        <v>8</v>
      </c>
      <c r="G456" s="633">
        <f>F456*CCBASE!$B$51</f>
        <v/>
      </c>
      <c r="H456" s="633" t="n"/>
      <c r="I456" s="633" t="n"/>
      <c r="J456" s="633" t="n"/>
      <c r="K456" s="633">
        <f>CCBASE!$I$23*B456/1000</f>
        <v/>
      </c>
      <c r="L456" s="633" t="n"/>
      <c r="M456" s="633" t="n"/>
      <c r="N456" s="633" t="n"/>
      <c r="O456" s="633" t="n"/>
      <c r="P456" s="632" t="n"/>
      <c r="Q456" s="632" t="n"/>
      <c r="R456" s="632" t="n"/>
      <c r="S456" s="632" t="n"/>
      <c r="T456" s="632" t="n"/>
      <c r="U456" s="633" t="n"/>
      <c r="V456" s="632" t="n"/>
      <c r="W456" s="632" t="n"/>
      <c r="X456" s="632" t="n"/>
      <c r="Y456" s="632" t="n"/>
      <c r="Z456" s="632" t="n"/>
      <c r="AA456" s="632" t="n"/>
      <c r="AB456" s="632" t="n"/>
      <c r="AC456" s="632" t="n"/>
      <c r="AD456" s="632" t="n"/>
    </row>
    <row r="457">
      <c r="A457" s="631" t="inlineStr">
        <is>
          <t>CXW</t>
        </is>
      </c>
      <c r="B457" s="631" t="n">
        <v>2250</v>
      </c>
      <c r="C457" s="631" t="n">
        <v>1500</v>
      </c>
      <c r="D457" s="640">
        <f>$A457&amp;B457&amp;C457</f>
        <v/>
      </c>
      <c r="E457" s="1040">
        <f>SUM(G457:AD457)</f>
        <v/>
      </c>
      <c r="F457" s="632" t="n">
        <v>8</v>
      </c>
      <c r="G457" s="633">
        <f>F457*CCBASE!$B$51</f>
        <v/>
      </c>
      <c r="H457" s="633" t="n"/>
      <c r="I457" s="633" t="n"/>
      <c r="J457" s="633" t="n"/>
      <c r="K457" s="633">
        <f>CCBASE!$I$23*B457/1000</f>
        <v/>
      </c>
      <c r="L457" s="633" t="n"/>
      <c r="M457" s="633" t="n"/>
      <c r="N457" s="633" t="n"/>
      <c r="O457" s="633" t="n"/>
      <c r="P457" s="632" t="n"/>
      <c r="Q457" s="632" t="n"/>
      <c r="R457" s="632" t="n"/>
      <c r="S457" s="632" t="n"/>
      <c r="T457" s="632" t="n"/>
      <c r="U457" s="633" t="n"/>
      <c r="V457" s="632" t="n"/>
      <c r="W457" s="632" t="n"/>
      <c r="X457" s="632" t="n"/>
      <c r="Y457" s="632" t="n"/>
      <c r="Z457" s="632" t="n"/>
      <c r="AA457" s="632" t="n"/>
      <c r="AB457" s="632" t="n"/>
      <c r="AC457" s="632" t="n"/>
      <c r="AD457" s="632" t="n"/>
    </row>
    <row r="458">
      <c r="A458" s="631" t="inlineStr">
        <is>
          <t>CXW</t>
        </is>
      </c>
      <c r="B458" s="631" t="n">
        <v>2500</v>
      </c>
      <c r="C458" s="631" t="n">
        <v>1500</v>
      </c>
      <c r="D458" s="640">
        <f>$A458&amp;B458&amp;C458</f>
        <v/>
      </c>
      <c r="E458" s="1040">
        <f>SUM(G458:AD458)</f>
        <v/>
      </c>
      <c r="F458" s="632" t="n">
        <v>8</v>
      </c>
      <c r="G458" s="633">
        <f>F458*CCBASE!$B$51</f>
        <v/>
      </c>
      <c r="H458" s="633" t="n"/>
      <c r="I458" s="633" t="n"/>
      <c r="J458" s="633" t="n"/>
      <c r="K458" s="633">
        <f>CCBASE!$I$23*B458/1000</f>
        <v/>
      </c>
      <c r="L458" s="633" t="n"/>
      <c r="M458" s="633" t="n"/>
      <c r="N458" s="633" t="n"/>
      <c r="O458" s="633" t="n"/>
      <c r="P458" s="632" t="n"/>
      <c r="Q458" s="632" t="n"/>
      <c r="R458" s="632" t="n"/>
      <c r="S458" s="632" t="n"/>
      <c r="T458" s="632" t="n"/>
      <c r="U458" s="633" t="n"/>
      <c r="V458" s="632" t="n"/>
      <c r="W458" s="632" t="n"/>
      <c r="X458" s="632" t="n"/>
      <c r="Y458" s="632" t="n"/>
      <c r="Z458" s="632" t="n"/>
      <c r="AA458" s="632" t="n"/>
      <c r="AB458" s="632" t="n"/>
      <c r="AC458" s="632" t="n"/>
      <c r="AD458" s="632" t="n"/>
    </row>
    <row r="459">
      <c r="A459" s="631" t="inlineStr">
        <is>
          <t>CXW</t>
        </is>
      </c>
      <c r="B459" s="631" t="n">
        <v>2750</v>
      </c>
      <c r="C459" s="631" t="n">
        <v>1500</v>
      </c>
      <c r="D459" s="640">
        <f>$A459&amp;B459&amp;C459</f>
        <v/>
      </c>
      <c r="E459" s="1040">
        <f>SUM(G459:AD459)</f>
        <v/>
      </c>
      <c r="F459" s="632" t="n">
        <v>8</v>
      </c>
      <c r="G459" s="633">
        <f>F459*CCBASE!$B$51</f>
        <v/>
      </c>
      <c r="H459" s="633" t="n"/>
      <c r="I459" s="633" t="n"/>
      <c r="J459" s="633" t="n"/>
      <c r="K459" s="633">
        <f>CCBASE!$I$23*B459/1000</f>
        <v/>
      </c>
      <c r="L459" s="633" t="n"/>
      <c r="M459" s="633" t="n"/>
      <c r="N459" s="633" t="n"/>
      <c r="O459" s="633" t="n"/>
      <c r="P459" s="632" t="n"/>
      <c r="Q459" s="632" t="n"/>
      <c r="R459" s="632" t="n"/>
      <c r="S459" s="632" t="n"/>
      <c r="T459" s="632" t="n"/>
      <c r="U459" s="633" t="n"/>
      <c r="V459" s="632" t="n"/>
      <c r="W459" s="632" t="n"/>
      <c r="X459" s="632" t="n"/>
      <c r="Y459" s="632" t="n"/>
      <c r="Z459" s="632" t="n"/>
      <c r="AA459" s="632" t="n"/>
      <c r="AB459" s="632" t="n"/>
      <c r="AC459" s="632" t="n"/>
      <c r="AD459" s="632" t="n"/>
    </row>
    <row r="460">
      <c r="A460" s="631" t="inlineStr">
        <is>
          <t>CXW</t>
        </is>
      </c>
      <c r="B460" s="631" t="n">
        <v>3000</v>
      </c>
      <c r="C460" s="631" t="n">
        <v>1500</v>
      </c>
      <c r="D460" s="640">
        <f>$A460&amp;B460&amp;C460</f>
        <v/>
      </c>
      <c r="E460" s="1040">
        <f>SUM(G460:AD460)</f>
        <v/>
      </c>
      <c r="F460" s="632" t="n">
        <v>8</v>
      </c>
      <c r="G460" s="633">
        <f>F460*CCBASE!$B$51</f>
        <v/>
      </c>
      <c r="H460" s="633" t="n"/>
      <c r="I460" s="633" t="n"/>
      <c r="J460" s="633" t="n"/>
      <c r="K460" s="633">
        <f>CCBASE!$I$23*B460/1000</f>
        <v/>
      </c>
      <c r="L460" s="633" t="n"/>
      <c r="M460" s="633" t="n"/>
      <c r="N460" s="633" t="n"/>
      <c r="O460" s="633" t="n"/>
      <c r="P460" s="632" t="n"/>
      <c r="Q460" s="632" t="n"/>
      <c r="R460" s="632" t="n"/>
      <c r="S460" s="632" t="n"/>
      <c r="T460" s="632" t="n"/>
      <c r="U460" s="633" t="n"/>
      <c r="V460" s="632" t="n"/>
      <c r="W460" s="632" t="n"/>
      <c r="X460" s="632" t="n"/>
      <c r="Y460" s="632" t="n"/>
      <c r="Z460" s="632" t="n"/>
      <c r="AA460" s="632" t="n"/>
      <c r="AB460" s="632" t="n"/>
      <c r="AC460" s="632" t="n"/>
      <c r="AD460" s="632" t="n"/>
    </row>
    <row r="461">
      <c r="A461" s="631" t="inlineStr">
        <is>
          <t>CXW</t>
        </is>
      </c>
      <c r="B461" s="631" t="n">
        <v>1000</v>
      </c>
      <c r="C461" s="631" t="n">
        <v>1750</v>
      </c>
      <c r="D461" s="640">
        <f>$A461&amp;B461&amp;C461</f>
        <v/>
      </c>
      <c r="E461" s="1040">
        <f>SUM(G461:AD461)</f>
        <v/>
      </c>
      <c r="F461" s="632" t="n">
        <v>7</v>
      </c>
      <c r="G461" s="633">
        <f>F461*CCBASE!$B$51</f>
        <v/>
      </c>
      <c r="H461" s="633" t="n"/>
      <c r="I461" s="633" t="n"/>
      <c r="J461" s="633" t="n"/>
      <c r="K461" s="633">
        <f>CCBASE!$I$24*B461/1000</f>
        <v/>
      </c>
      <c r="L461" s="633" t="n"/>
      <c r="M461" s="633" t="n"/>
      <c r="N461" s="633" t="n"/>
      <c r="O461" s="633" t="n"/>
      <c r="P461" s="632" t="n"/>
      <c r="Q461" s="632" t="n"/>
      <c r="R461" s="632" t="n"/>
      <c r="S461" s="632" t="n"/>
      <c r="T461" s="632" t="n"/>
      <c r="U461" s="633" t="n"/>
      <c r="V461" s="632" t="n"/>
      <c r="W461" s="632" t="n"/>
      <c r="X461" s="632" t="n"/>
      <c r="Y461" s="632" t="n"/>
      <c r="Z461" s="632" t="n"/>
      <c r="AA461" s="632" t="n"/>
      <c r="AB461" s="632" t="n"/>
      <c r="AC461" s="632" t="n"/>
      <c r="AD461" s="632" t="n"/>
    </row>
    <row r="462">
      <c r="A462" s="631" t="inlineStr">
        <is>
          <t>CXW</t>
        </is>
      </c>
      <c r="B462" s="631" t="n">
        <v>1250</v>
      </c>
      <c r="C462" s="631" t="n">
        <v>1750</v>
      </c>
      <c r="D462" s="640">
        <f>$A462&amp;B462&amp;C462</f>
        <v/>
      </c>
      <c r="E462" s="1040">
        <f>SUM(G462:AD462)</f>
        <v/>
      </c>
      <c r="F462" s="632" t="n">
        <v>7</v>
      </c>
      <c r="G462" s="633">
        <f>F462*CCBASE!$B$51</f>
        <v/>
      </c>
      <c r="H462" s="633" t="n"/>
      <c r="I462" s="633" t="n"/>
      <c r="J462" s="633" t="n"/>
      <c r="K462" s="633">
        <f>CCBASE!$I$24*B462/1000</f>
        <v/>
      </c>
      <c r="L462" s="633" t="n"/>
      <c r="M462" s="633" t="n"/>
      <c r="N462" s="633" t="n"/>
      <c r="O462" s="633" t="n"/>
      <c r="P462" s="632" t="n"/>
      <c r="Q462" s="632" t="n"/>
      <c r="R462" s="632" t="n"/>
      <c r="S462" s="632" t="n"/>
      <c r="T462" s="632" t="n"/>
      <c r="U462" s="633" t="n"/>
      <c r="V462" s="632" t="n"/>
      <c r="W462" s="632" t="n"/>
      <c r="X462" s="632" t="n"/>
      <c r="Y462" s="632" t="n"/>
      <c r="Z462" s="632" t="n"/>
      <c r="AA462" s="632" t="n"/>
      <c r="AB462" s="632" t="n"/>
      <c r="AC462" s="632" t="n"/>
      <c r="AD462" s="632" t="n"/>
    </row>
    <row r="463">
      <c r="A463" s="631" t="inlineStr">
        <is>
          <t>CXW</t>
        </is>
      </c>
      <c r="B463" s="631" t="n">
        <v>1500</v>
      </c>
      <c r="C463" s="631" t="n">
        <v>1750</v>
      </c>
      <c r="D463" s="640">
        <f>$A463&amp;B463&amp;C463</f>
        <v/>
      </c>
      <c r="E463" s="1040">
        <f>SUM(G463:AD463)</f>
        <v/>
      </c>
      <c r="F463" s="632" t="n">
        <v>7</v>
      </c>
      <c r="G463" s="633">
        <f>F463*CCBASE!$B$51</f>
        <v/>
      </c>
      <c r="H463" s="633" t="n"/>
      <c r="I463" s="633" t="n"/>
      <c r="J463" s="633" t="n"/>
      <c r="K463" s="633">
        <f>CCBASE!$I$24*B463/1000</f>
        <v/>
      </c>
      <c r="L463" s="633" t="n"/>
      <c r="M463" s="633" t="n"/>
      <c r="N463" s="633" t="n"/>
      <c r="O463" s="633" t="n"/>
      <c r="P463" s="632" t="n"/>
      <c r="Q463" s="632" t="n"/>
      <c r="R463" s="632" t="n"/>
      <c r="S463" s="632" t="n"/>
      <c r="T463" s="632" t="n"/>
      <c r="U463" s="633" t="n"/>
      <c r="V463" s="632" t="n"/>
      <c r="W463" s="632" t="n"/>
      <c r="X463" s="632" t="n"/>
      <c r="Y463" s="632" t="n"/>
      <c r="Z463" s="632" t="n"/>
      <c r="AA463" s="632" t="n"/>
      <c r="AB463" s="632" t="n"/>
      <c r="AC463" s="632" t="n"/>
      <c r="AD463" s="632" t="n"/>
    </row>
    <row r="464">
      <c r="A464" s="631" t="inlineStr">
        <is>
          <t>CXW</t>
        </is>
      </c>
      <c r="B464" s="631" t="n">
        <v>1750</v>
      </c>
      <c r="C464" s="631" t="n">
        <v>1750</v>
      </c>
      <c r="D464" s="640">
        <f>$A464&amp;B464&amp;C464</f>
        <v/>
      </c>
      <c r="E464" s="1040">
        <f>SUM(G464:AD464)</f>
        <v/>
      </c>
      <c r="F464" s="632" t="n">
        <v>8</v>
      </c>
      <c r="G464" s="633">
        <f>F464*CCBASE!$B$51</f>
        <v/>
      </c>
      <c r="H464" s="633" t="n"/>
      <c r="I464" s="633" t="n"/>
      <c r="J464" s="633" t="n"/>
      <c r="K464" s="633">
        <f>CCBASE!$I$24*B464/1000</f>
        <v/>
      </c>
      <c r="L464" s="633" t="n"/>
      <c r="M464" s="633" t="n"/>
      <c r="N464" s="633" t="n"/>
      <c r="O464" s="633" t="n"/>
      <c r="P464" s="632" t="n"/>
      <c r="Q464" s="632" t="n"/>
      <c r="R464" s="632" t="n"/>
      <c r="S464" s="632" t="n"/>
      <c r="T464" s="632" t="n"/>
      <c r="U464" s="633" t="n"/>
      <c r="V464" s="632" t="n"/>
      <c r="W464" s="632" t="n"/>
      <c r="X464" s="632" t="n"/>
      <c r="Y464" s="632" t="n"/>
      <c r="Z464" s="632" t="n"/>
      <c r="AA464" s="632" t="n"/>
      <c r="AB464" s="632" t="n"/>
      <c r="AC464" s="632" t="n"/>
      <c r="AD464" s="632" t="n"/>
    </row>
    <row r="465">
      <c r="A465" s="631" t="inlineStr">
        <is>
          <t>CXW</t>
        </is>
      </c>
      <c r="B465" s="631" t="n">
        <v>2000</v>
      </c>
      <c r="C465" s="631" t="n">
        <v>1750</v>
      </c>
      <c r="D465" s="640">
        <f>$A465&amp;B465&amp;C465</f>
        <v/>
      </c>
      <c r="E465" s="1040">
        <f>SUM(G465:AD465)</f>
        <v/>
      </c>
      <c r="F465" s="632" t="n">
        <v>8</v>
      </c>
      <c r="G465" s="633">
        <f>F465*CCBASE!$B$51</f>
        <v/>
      </c>
      <c r="H465" s="633" t="n"/>
      <c r="I465" s="633" t="n"/>
      <c r="J465" s="633" t="n"/>
      <c r="K465" s="633">
        <f>CCBASE!$I$24*B465/1000</f>
        <v/>
      </c>
      <c r="L465" s="633" t="n"/>
      <c r="M465" s="633" t="n"/>
      <c r="N465" s="633" t="n"/>
      <c r="O465" s="633" t="n"/>
      <c r="P465" s="632" t="n"/>
      <c r="Q465" s="632" t="n"/>
      <c r="R465" s="632" t="n"/>
      <c r="S465" s="632" t="n"/>
      <c r="T465" s="632" t="n"/>
      <c r="U465" s="633" t="n"/>
      <c r="V465" s="632" t="n"/>
      <c r="W465" s="632" t="n"/>
      <c r="X465" s="632" t="n"/>
      <c r="Y465" s="632" t="n"/>
      <c r="Z465" s="632" t="n"/>
      <c r="AA465" s="632" t="n"/>
      <c r="AB465" s="632" t="n"/>
      <c r="AC465" s="632" t="n"/>
      <c r="AD465" s="632" t="n"/>
    </row>
    <row r="466">
      <c r="A466" s="631" t="inlineStr">
        <is>
          <t>CXW</t>
        </is>
      </c>
      <c r="B466" s="631" t="n">
        <v>2250</v>
      </c>
      <c r="C466" s="631" t="n">
        <v>1750</v>
      </c>
      <c r="D466" s="640">
        <f>$A466&amp;B466&amp;C466</f>
        <v/>
      </c>
      <c r="E466" s="1040">
        <f>SUM(G466:AD466)</f>
        <v/>
      </c>
      <c r="F466" s="632" t="n">
        <v>8</v>
      </c>
      <c r="G466" s="633">
        <f>F466*CCBASE!$B$51</f>
        <v/>
      </c>
      <c r="H466" s="633" t="n"/>
      <c r="I466" s="633" t="n"/>
      <c r="J466" s="633" t="n"/>
      <c r="K466" s="633">
        <f>CCBASE!$I$24*B466/1000</f>
        <v/>
      </c>
      <c r="L466" s="633" t="n"/>
      <c r="M466" s="633" t="n"/>
      <c r="N466" s="633" t="n"/>
      <c r="O466" s="633" t="n"/>
      <c r="P466" s="632" t="n"/>
      <c r="Q466" s="632" t="n"/>
      <c r="R466" s="632" t="n"/>
      <c r="S466" s="632" t="n"/>
      <c r="T466" s="632" t="n"/>
      <c r="U466" s="633" t="n"/>
      <c r="V466" s="632" t="n"/>
      <c r="W466" s="632" t="n"/>
      <c r="X466" s="632" t="n"/>
      <c r="Y466" s="632" t="n"/>
      <c r="Z466" s="632" t="n"/>
      <c r="AA466" s="632" t="n"/>
      <c r="AB466" s="632" t="n"/>
      <c r="AC466" s="632" t="n"/>
      <c r="AD466" s="632" t="n"/>
    </row>
    <row r="467">
      <c r="A467" s="631" t="inlineStr">
        <is>
          <t>CXW</t>
        </is>
      </c>
      <c r="B467" s="631" t="n">
        <v>2500</v>
      </c>
      <c r="C467" s="631" t="n">
        <v>1750</v>
      </c>
      <c r="D467" s="640">
        <f>$A467&amp;B467&amp;C467</f>
        <v/>
      </c>
      <c r="E467" s="1040">
        <f>SUM(G467:AD467)</f>
        <v/>
      </c>
      <c r="F467" s="632" t="n">
        <v>8</v>
      </c>
      <c r="G467" s="633">
        <f>F467*CCBASE!$B$51</f>
        <v/>
      </c>
      <c r="H467" s="633" t="n"/>
      <c r="I467" s="633" t="n"/>
      <c r="J467" s="633" t="n"/>
      <c r="K467" s="633">
        <f>CCBASE!$I$24*B467/1000</f>
        <v/>
      </c>
      <c r="L467" s="633" t="n"/>
      <c r="M467" s="633" t="n"/>
      <c r="N467" s="633" t="n"/>
      <c r="O467" s="633" t="n"/>
      <c r="P467" s="632" t="n"/>
      <c r="Q467" s="632" t="n"/>
      <c r="R467" s="632" t="n"/>
      <c r="S467" s="632" t="n"/>
      <c r="T467" s="632" t="n"/>
      <c r="U467" s="633" t="n"/>
      <c r="V467" s="632" t="n"/>
      <c r="W467" s="632" t="n"/>
      <c r="X467" s="632" t="n"/>
      <c r="Y467" s="632" t="n"/>
      <c r="Z467" s="632" t="n"/>
      <c r="AA467" s="632" t="n"/>
      <c r="AB467" s="632" t="n"/>
      <c r="AC467" s="632" t="n"/>
      <c r="AD467" s="632" t="n"/>
    </row>
    <row r="468">
      <c r="A468" s="631" t="inlineStr">
        <is>
          <t>CXW</t>
        </is>
      </c>
      <c r="B468" s="631" t="n">
        <v>2750</v>
      </c>
      <c r="C468" s="631" t="n">
        <v>1750</v>
      </c>
      <c r="D468" s="640">
        <f>$A468&amp;B468&amp;C468</f>
        <v/>
      </c>
      <c r="E468" s="1040">
        <f>SUM(G468:AD468)</f>
        <v/>
      </c>
      <c r="F468" s="632" t="n">
        <v>8</v>
      </c>
      <c r="G468" s="633">
        <f>F468*CCBASE!$B$51</f>
        <v/>
      </c>
      <c r="H468" s="633" t="n"/>
      <c r="I468" s="633" t="n"/>
      <c r="J468" s="633" t="n"/>
      <c r="K468" s="633">
        <f>CCBASE!$I$24*B468/1000</f>
        <v/>
      </c>
      <c r="L468" s="633" t="n"/>
      <c r="M468" s="633" t="n"/>
      <c r="N468" s="633" t="n"/>
      <c r="O468" s="633" t="n"/>
      <c r="P468" s="632" t="n"/>
      <c r="Q468" s="632" t="n"/>
      <c r="R468" s="632" t="n"/>
      <c r="S468" s="632" t="n"/>
      <c r="T468" s="632" t="n"/>
      <c r="U468" s="633" t="n"/>
      <c r="V468" s="632" t="n"/>
      <c r="W468" s="632" t="n"/>
      <c r="X468" s="632" t="n"/>
      <c r="Y468" s="632" t="n"/>
      <c r="Z468" s="632" t="n"/>
      <c r="AA468" s="632" t="n"/>
      <c r="AB468" s="632" t="n"/>
      <c r="AC468" s="632" t="n"/>
      <c r="AD468" s="632" t="n"/>
    </row>
    <row r="469">
      <c r="A469" s="631" t="inlineStr">
        <is>
          <t>CXW</t>
        </is>
      </c>
      <c r="B469" s="631" t="n">
        <v>3000</v>
      </c>
      <c r="C469" s="631" t="n">
        <v>1750</v>
      </c>
      <c r="D469" s="640">
        <f>$A469&amp;B469&amp;C469</f>
        <v/>
      </c>
      <c r="E469" s="1040">
        <f>SUM(G469:AD469)</f>
        <v/>
      </c>
      <c r="F469" s="632" t="n">
        <v>8</v>
      </c>
      <c r="G469" s="633">
        <f>F469*CCBASE!$B$51</f>
        <v/>
      </c>
      <c r="H469" s="633" t="n"/>
      <c r="I469" s="633" t="n"/>
      <c r="J469" s="633" t="n"/>
      <c r="K469" s="633">
        <f>CCBASE!$I$24*B469/1000</f>
        <v/>
      </c>
      <c r="L469" s="633" t="n"/>
      <c r="M469" s="633" t="n"/>
      <c r="N469" s="633" t="n"/>
      <c r="O469" s="633" t="n"/>
      <c r="P469" s="632" t="n"/>
      <c r="Q469" s="632" t="n"/>
      <c r="R469" s="632" t="n"/>
      <c r="S469" s="632" t="n"/>
      <c r="T469" s="632" t="n"/>
      <c r="U469" s="633" t="n"/>
      <c r="V469" s="632" t="n"/>
      <c r="W469" s="632" t="n"/>
      <c r="X469" s="632" t="n"/>
      <c r="Y469" s="632" t="n"/>
      <c r="Z469" s="632" t="n"/>
      <c r="AA469" s="632" t="n"/>
      <c r="AB469" s="632" t="n"/>
      <c r="AC469" s="632" t="n"/>
      <c r="AD469" s="632" t="n"/>
    </row>
    <row r="470">
      <c r="A470" s="631" t="inlineStr">
        <is>
          <t>CXW</t>
        </is>
      </c>
      <c r="B470" s="631" t="n">
        <v>1000</v>
      </c>
      <c r="C470" s="631" t="n">
        <v>2000</v>
      </c>
      <c r="D470" s="640">
        <f>$A470&amp;B470&amp;C470</f>
        <v/>
      </c>
      <c r="E470" s="1040">
        <f>SUM(G470:AD470)</f>
        <v/>
      </c>
      <c r="F470" s="632" t="n">
        <v>7</v>
      </c>
      <c r="G470" s="633">
        <f>F470*CCBASE!$B$51</f>
        <v/>
      </c>
      <c r="H470" s="633" t="n"/>
      <c r="I470" s="633" t="n"/>
      <c r="J470" s="633" t="n"/>
      <c r="K470" s="633">
        <f>CCBASE!$I$25*B470/1000</f>
        <v/>
      </c>
      <c r="L470" s="633" t="n"/>
      <c r="M470" s="633" t="n"/>
      <c r="N470" s="633" t="n"/>
      <c r="O470" s="633" t="n"/>
      <c r="P470" s="632" t="n"/>
      <c r="Q470" s="632" t="n"/>
      <c r="R470" s="632" t="n"/>
      <c r="S470" s="632" t="n"/>
      <c r="T470" s="632" t="n"/>
      <c r="U470" s="633" t="n"/>
      <c r="V470" s="632" t="n"/>
      <c r="W470" s="632" t="n"/>
      <c r="X470" s="632" t="n"/>
      <c r="Y470" s="632" t="n"/>
      <c r="Z470" s="632" t="n"/>
      <c r="AA470" s="632" t="n"/>
      <c r="AB470" s="632" t="n"/>
      <c r="AC470" s="632" t="n"/>
      <c r="AD470" s="632" t="n"/>
    </row>
    <row r="471">
      <c r="A471" s="631" t="inlineStr">
        <is>
          <t>CXW</t>
        </is>
      </c>
      <c r="B471" s="631" t="n">
        <v>1250</v>
      </c>
      <c r="C471" s="631" t="n">
        <v>2000</v>
      </c>
      <c r="D471" s="640">
        <f>$A471&amp;B471&amp;C471</f>
        <v/>
      </c>
      <c r="E471" s="1040">
        <f>SUM(G471:AD471)</f>
        <v/>
      </c>
      <c r="F471" s="632" t="n">
        <v>7</v>
      </c>
      <c r="G471" s="633">
        <f>F471*CCBASE!$B$51</f>
        <v/>
      </c>
      <c r="H471" s="633" t="n"/>
      <c r="I471" s="633" t="n"/>
      <c r="J471" s="633" t="n"/>
      <c r="K471" s="633">
        <f>CCBASE!$I$25*B471/1000</f>
        <v/>
      </c>
      <c r="L471" s="633" t="n"/>
      <c r="M471" s="633" t="n"/>
      <c r="N471" s="633" t="n"/>
      <c r="O471" s="633" t="n"/>
      <c r="P471" s="632" t="n"/>
      <c r="Q471" s="632" t="n"/>
      <c r="R471" s="632" t="n"/>
      <c r="S471" s="632" t="n"/>
      <c r="T471" s="632" t="n"/>
      <c r="U471" s="633" t="n"/>
      <c r="V471" s="632" t="n"/>
      <c r="W471" s="632" t="n"/>
      <c r="X471" s="632" t="n"/>
      <c r="Y471" s="632" t="n"/>
      <c r="Z471" s="632" t="n"/>
      <c r="AA471" s="632" t="n"/>
      <c r="AB471" s="632" t="n"/>
      <c r="AC471" s="632" t="n"/>
      <c r="AD471" s="632" t="n"/>
    </row>
    <row r="472">
      <c r="A472" s="631" t="inlineStr">
        <is>
          <t>CXW</t>
        </is>
      </c>
      <c r="B472" s="631" t="n">
        <v>1500</v>
      </c>
      <c r="C472" s="631" t="n">
        <v>2000</v>
      </c>
      <c r="D472" s="640">
        <f>$A472&amp;B472&amp;C472</f>
        <v/>
      </c>
      <c r="E472" s="1040">
        <f>SUM(G472:AD472)</f>
        <v/>
      </c>
      <c r="F472" s="632" t="n">
        <v>7</v>
      </c>
      <c r="G472" s="633">
        <f>F472*CCBASE!$B$51</f>
        <v/>
      </c>
      <c r="H472" s="633" t="n"/>
      <c r="I472" s="633" t="n"/>
      <c r="J472" s="633" t="n"/>
      <c r="K472" s="633">
        <f>CCBASE!$I$25*B472/1000</f>
        <v/>
      </c>
      <c r="L472" s="633" t="n"/>
      <c r="M472" s="633" t="n"/>
      <c r="N472" s="633" t="n"/>
      <c r="O472" s="633" t="n"/>
      <c r="P472" s="632" t="n"/>
      <c r="Q472" s="632" t="n"/>
      <c r="R472" s="632" t="n"/>
      <c r="S472" s="632" t="n"/>
      <c r="T472" s="632" t="n"/>
      <c r="U472" s="633" t="n"/>
      <c r="V472" s="632" t="n"/>
      <c r="W472" s="632" t="n"/>
      <c r="X472" s="632" t="n"/>
      <c r="Y472" s="632" t="n"/>
      <c r="Z472" s="632" t="n"/>
      <c r="AA472" s="632" t="n"/>
      <c r="AB472" s="632" t="n"/>
      <c r="AC472" s="632" t="n"/>
      <c r="AD472" s="632" t="n"/>
    </row>
    <row r="473">
      <c r="A473" s="631" t="inlineStr">
        <is>
          <t>CXW</t>
        </is>
      </c>
      <c r="B473" s="631" t="n">
        <v>1750</v>
      </c>
      <c r="C473" s="631" t="n">
        <v>2000</v>
      </c>
      <c r="D473" s="640">
        <f>$A473&amp;B473&amp;C473</f>
        <v/>
      </c>
      <c r="E473" s="1040">
        <f>SUM(G473:AD473)</f>
        <v/>
      </c>
      <c r="F473" s="632" t="n">
        <v>8</v>
      </c>
      <c r="G473" s="633">
        <f>F473*CCBASE!$B$51</f>
        <v/>
      </c>
      <c r="H473" s="633" t="n"/>
      <c r="I473" s="633" t="n"/>
      <c r="J473" s="633" t="n"/>
      <c r="K473" s="633">
        <f>CCBASE!$I$25*B473/1000</f>
        <v/>
      </c>
      <c r="L473" s="633" t="n"/>
      <c r="M473" s="633" t="n"/>
      <c r="N473" s="633" t="n"/>
      <c r="O473" s="633" t="n"/>
      <c r="P473" s="632" t="n"/>
      <c r="Q473" s="632" t="n"/>
      <c r="R473" s="632" t="n"/>
      <c r="S473" s="632" t="n"/>
      <c r="T473" s="632" t="n"/>
      <c r="U473" s="633" t="n"/>
      <c r="V473" s="632" t="n"/>
      <c r="W473" s="632" t="n"/>
      <c r="X473" s="632" t="n"/>
      <c r="Y473" s="632" t="n"/>
      <c r="Z473" s="632" t="n"/>
      <c r="AA473" s="632" t="n"/>
      <c r="AB473" s="632" t="n"/>
      <c r="AC473" s="632" t="n"/>
      <c r="AD473" s="632" t="n"/>
    </row>
    <row r="474">
      <c r="A474" s="631" t="inlineStr">
        <is>
          <t>CXW</t>
        </is>
      </c>
      <c r="B474" s="631" t="n">
        <v>2000</v>
      </c>
      <c r="C474" s="631" t="n">
        <v>2000</v>
      </c>
      <c r="D474" s="640">
        <f>$A474&amp;B474&amp;C474</f>
        <v/>
      </c>
      <c r="E474" s="1040">
        <f>SUM(G474:AD474)</f>
        <v/>
      </c>
      <c r="F474" s="632" t="n">
        <v>8</v>
      </c>
      <c r="G474" s="633">
        <f>F474*CCBASE!$B$51</f>
        <v/>
      </c>
      <c r="H474" s="633" t="n"/>
      <c r="I474" s="633" t="n"/>
      <c r="J474" s="633" t="n"/>
      <c r="K474" s="633">
        <f>CCBASE!$I$25*B474/1000</f>
        <v/>
      </c>
      <c r="L474" s="633" t="n"/>
      <c r="M474" s="633" t="n"/>
      <c r="N474" s="633" t="n"/>
      <c r="O474" s="633" t="n"/>
      <c r="P474" s="632" t="n"/>
      <c r="Q474" s="632" t="n"/>
      <c r="R474" s="632" t="n"/>
      <c r="S474" s="632" t="n"/>
      <c r="T474" s="632" t="n"/>
      <c r="U474" s="633" t="n"/>
      <c r="V474" s="632" t="n"/>
      <c r="W474" s="632" t="n"/>
      <c r="X474" s="632" t="n"/>
      <c r="Y474" s="632" t="n"/>
      <c r="Z474" s="632" t="n"/>
      <c r="AA474" s="632" t="n"/>
      <c r="AB474" s="632" t="n"/>
      <c r="AC474" s="632" t="n"/>
      <c r="AD474" s="632" t="n"/>
    </row>
    <row r="475">
      <c r="A475" s="631" t="inlineStr">
        <is>
          <t>CXW</t>
        </is>
      </c>
      <c r="B475" s="631" t="n">
        <v>2250</v>
      </c>
      <c r="C475" s="631" t="n">
        <v>2000</v>
      </c>
      <c r="D475" s="640">
        <f>$A475&amp;B475&amp;C475</f>
        <v/>
      </c>
      <c r="E475" s="1040">
        <f>SUM(G475:AD475)</f>
        <v/>
      </c>
      <c r="F475" s="632" t="n">
        <v>8</v>
      </c>
      <c r="G475" s="633">
        <f>F475*CCBASE!$B$51</f>
        <v/>
      </c>
      <c r="H475" s="633" t="n"/>
      <c r="I475" s="633" t="n"/>
      <c r="J475" s="633" t="n"/>
      <c r="K475" s="633">
        <f>CCBASE!$I$25*B475/1000</f>
        <v/>
      </c>
      <c r="L475" s="633" t="n"/>
      <c r="M475" s="633" t="n"/>
      <c r="N475" s="633" t="n"/>
      <c r="O475" s="633" t="n"/>
      <c r="P475" s="632" t="n"/>
      <c r="Q475" s="632" t="n"/>
      <c r="R475" s="632" t="n"/>
      <c r="S475" s="632" t="n"/>
      <c r="T475" s="632" t="n"/>
      <c r="U475" s="633" t="n"/>
      <c r="V475" s="632" t="n"/>
      <c r="W475" s="632" t="n"/>
      <c r="X475" s="632" t="n"/>
      <c r="Y475" s="632" t="n"/>
      <c r="Z475" s="632" t="n"/>
      <c r="AA475" s="632" t="n"/>
      <c r="AB475" s="632" t="n"/>
      <c r="AC475" s="632" t="n"/>
      <c r="AD475" s="632" t="n"/>
    </row>
    <row r="476">
      <c r="A476" s="631" t="inlineStr">
        <is>
          <t>CXW</t>
        </is>
      </c>
      <c r="B476" s="631" t="n">
        <v>2500</v>
      </c>
      <c r="C476" s="631" t="n">
        <v>2000</v>
      </c>
      <c r="D476" s="640">
        <f>$A476&amp;B476&amp;C476</f>
        <v/>
      </c>
      <c r="E476" s="1040">
        <f>SUM(G476:AD476)</f>
        <v/>
      </c>
      <c r="F476" s="632" t="n">
        <v>8</v>
      </c>
      <c r="G476" s="633">
        <f>F476*CCBASE!$B$51</f>
        <v/>
      </c>
      <c r="H476" s="633" t="n"/>
      <c r="I476" s="633" t="n"/>
      <c r="J476" s="633" t="n"/>
      <c r="K476" s="633">
        <f>CCBASE!$I$25*B476/1000</f>
        <v/>
      </c>
      <c r="L476" s="633" t="n"/>
      <c r="M476" s="633" t="n"/>
      <c r="N476" s="633" t="n"/>
      <c r="O476" s="633" t="n"/>
      <c r="P476" s="632" t="n"/>
      <c r="Q476" s="632" t="n"/>
      <c r="R476" s="632" t="n"/>
      <c r="S476" s="632" t="n"/>
      <c r="T476" s="632" t="n"/>
      <c r="U476" s="633" t="n"/>
      <c r="V476" s="632" t="n"/>
      <c r="W476" s="632" t="n"/>
      <c r="X476" s="632" t="n"/>
      <c r="Y476" s="632" t="n"/>
      <c r="Z476" s="632" t="n"/>
      <c r="AA476" s="632" t="n"/>
      <c r="AB476" s="632" t="n"/>
      <c r="AC476" s="632" t="n"/>
      <c r="AD476" s="632" t="n"/>
    </row>
    <row r="477">
      <c r="A477" s="631" t="inlineStr">
        <is>
          <t>CXW</t>
        </is>
      </c>
      <c r="B477" s="631" t="n">
        <v>2750</v>
      </c>
      <c r="C477" s="631" t="n">
        <v>2000</v>
      </c>
      <c r="D477" s="640">
        <f>$A477&amp;B477&amp;C477</f>
        <v/>
      </c>
      <c r="E477" s="1040">
        <f>SUM(G477:AD477)</f>
        <v/>
      </c>
      <c r="F477" s="632" t="n">
        <v>8</v>
      </c>
      <c r="G477" s="633">
        <f>F477*CCBASE!$B$51</f>
        <v/>
      </c>
      <c r="H477" s="633" t="n"/>
      <c r="I477" s="633" t="n"/>
      <c r="J477" s="633" t="n"/>
      <c r="K477" s="633">
        <f>CCBASE!$I$25*B477/1000</f>
        <v/>
      </c>
      <c r="L477" s="633" t="n"/>
      <c r="M477" s="633" t="n"/>
      <c r="N477" s="633" t="n"/>
      <c r="O477" s="633" t="n"/>
      <c r="P477" s="632" t="n"/>
      <c r="Q477" s="632" t="n"/>
      <c r="R477" s="632" t="n"/>
      <c r="S477" s="632" t="n"/>
      <c r="T477" s="632" t="n"/>
      <c r="U477" s="633" t="n"/>
      <c r="V477" s="632" t="n"/>
      <c r="W477" s="632" t="n"/>
      <c r="X477" s="632" t="n"/>
      <c r="Y477" s="632" t="n"/>
      <c r="Z477" s="632" t="n"/>
      <c r="AA477" s="632" t="n"/>
      <c r="AB477" s="632" t="n"/>
      <c r="AC477" s="632" t="n"/>
      <c r="AD477" s="632" t="n"/>
    </row>
    <row r="478">
      <c r="A478" s="631" t="inlineStr">
        <is>
          <t>CXW</t>
        </is>
      </c>
      <c r="B478" s="631" t="n">
        <v>3000</v>
      </c>
      <c r="C478" s="631" t="n">
        <v>2000</v>
      </c>
      <c r="D478" s="640">
        <f>$A478&amp;B478&amp;C478</f>
        <v/>
      </c>
      <c r="E478" s="1040">
        <f>SUM(G478:AD478)</f>
        <v/>
      </c>
      <c r="F478" s="632" t="n">
        <v>8</v>
      </c>
      <c r="G478" s="633">
        <f>F478*CCBASE!$B$51</f>
        <v/>
      </c>
      <c r="H478" s="633" t="n"/>
      <c r="I478" s="633" t="n"/>
      <c r="J478" s="633" t="n"/>
      <c r="K478" s="633">
        <f>CCBASE!$I$25*B478/1000</f>
        <v/>
      </c>
      <c r="L478" s="633" t="n"/>
      <c r="M478" s="633" t="n"/>
      <c r="N478" s="633" t="n"/>
      <c r="O478" s="633" t="n"/>
      <c r="P478" s="632" t="n"/>
      <c r="Q478" s="632" t="n"/>
      <c r="R478" s="632" t="n"/>
      <c r="S478" s="632" t="n"/>
      <c r="T478" s="632" t="n"/>
      <c r="U478" s="633" t="n"/>
      <c r="V478" s="632" t="n"/>
      <c r="W478" s="632" t="n"/>
      <c r="X478" s="632" t="n"/>
      <c r="Y478" s="632" t="n"/>
      <c r="Z478" s="632" t="n"/>
      <c r="AA478" s="632" t="n"/>
      <c r="AB478" s="632" t="n"/>
      <c r="AC478" s="632" t="n"/>
      <c r="AD478" s="632" t="n"/>
    </row>
    <row r="479">
      <c r="A479" s="631" t="inlineStr">
        <is>
          <t>CXW-M</t>
        </is>
      </c>
      <c r="B479" s="631" t="n">
        <v>1000</v>
      </c>
      <c r="C479" s="631" t="n">
        <v>1000</v>
      </c>
      <c r="D479" s="640">
        <f>$A479&amp;B479&amp;C479</f>
        <v/>
      </c>
      <c r="E479" s="1040">
        <f>SUM(G479:AD479)</f>
        <v/>
      </c>
      <c r="F479" s="632" t="n">
        <v>15</v>
      </c>
      <c r="G479" s="633">
        <f>F479*CCBASE!$B$51</f>
        <v/>
      </c>
      <c r="H479" s="633" t="n"/>
      <c r="I479" s="633" t="n"/>
      <c r="J479" s="633" t="n"/>
      <c r="K479" s="633">
        <f>CCBASE!$I$21*B479/1000</f>
        <v/>
      </c>
      <c r="L479" s="633" t="n"/>
      <c r="M479" s="633" t="n"/>
      <c r="N479" s="633">
        <f>(CCBASE!$I$7*B272/1000*C272/1000)*0.45</f>
        <v/>
      </c>
      <c r="O479" s="633">
        <f>CCBASE!$I$45*B479/1000</f>
        <v/>
      </c>
      <c r="P479" s="632" t="n"/>
      <c r="Q479" s="632" t="n"/>
      <c r="R479" s="632" t="n"/>
      <c r="S479" s="632" t="n"/>
      <c r="T479" s="632" t="n"/>
      <c r="U479" s="638">
        <f>CCBASE!$I$47</f>
        <v/>
      </c>
      <c r="V479" s="632" t="n"/>
      <c r="W479" s="632" t="n"/>
      <c r="X479" s="632" t="n"/>
      <c r="Y479" s="632" t="n"/>
      <c r="Z479" s="632" t="n"/>
      <c r="AA479" s="632" t="n"/>
      <c r="AB479" s="632" t="n"/>
      <c r="AC479" s="632" t="n"/>
      <c r="AD479" s="632" t="n"/>
    </row>
    <row r="480">
      <c r="A480" s="631" t="inlineStr">
        <is>
          <t>CXW-M</t>
        </is>
      </c>
      <c r="B480" s="631" t="n">
        <v>1250</v>
      </c>
      <c r="C480" s="631" t="n">
        <v>1000</v>
      </c>
      <c r="D480" s="640">
        <f>$A480&amp;B480&amp;C480</f>
        <v/>
      </c>
      <c r="E480" s="1040">
        <f>SUM(G480:AD480)</f>
        <v/>
      </c>
      <c r="F480" s="632" t="n">
        <v>15</v>
      </c>
      <c r="G480" s="633">
        <f>F480*CCBASE!$B$51</f>
        <v/>
      </c>
      <c r="H480" s="633" t="n"/>
      <c r="I480" s="633" t="n"/>
      <c r="J480" s="633" t="n"/>
      <c r="K480" s="633">
        <f>CCBASE!$I$21*B480/1000</f>
        <v/>
      </c>
      <c r="L480" s="633" t="n"/>
      <c r="M480" s="633" t="n"/>
      <c r="N480" s="633">
        <f>(CCBASE!$I$7*B273/1000*C273/1000)*0.45</f>
        <v/>
      </c>
      <c r="O480" s="633">
        <f>CCBASE!$I$45*B480/1000</f>
        <v/>
      </c>
      <c r="P480" s="632" t="n"/>
      <c r="Q480" s="632" t="n"/>
      <c r="R480" s="632" t="n"/>
      <c r="S480" s="632" t="n"/>
      <c r="T480" s="632" t="n"/>
      <c r="U480" s="638">
        <f>CCBASE!$I$47</f>
        <v/>
      </c>
      <c r="V480" s="632" t="n"/>
      <c r="W480" s="632" t="n"/>
      <c r="X480" s="632" t="n"/>
      <c r="Y480" s="632" t="n"/>
      <c r="Z480" s="632" t="n"/>
      <c r="AA480" s="632" t="n"/>
      <c r="AB480" s="632" t="n"/>
      <c r="AC480" s="632" t="n"/>
      <c r="AD480" s="632" t="n"/>
    </row>
    <row r="481">
      <c r="A481" s="631" t="inlineStr">
        <is>
          <t>CXW-M</t>
        </is>
      </c>
      <c r="B481" s="631" t="n">
        <v>1500</v>
      </c>
      <c r="C481" s="631" t="n">
        <v>1000</v>
      </c>
      <c r="D481" s="640">
        <f>$A481&amp;B481&amp;C481</f>
        <v/>
      </c>
      <c r="E481" s="1040">
        <f>SUM(G481:AD481)</f>
        <v/>
      </c>
      <c r="F481" s="632" t="n">
        <v>15</v>
      </c>
      <c r="G481" s="633">
        <f>F481*CCBASE!$B$51</f>
        <v/>
      </c>
      <c r="H481" s="633" t="n"/>
      <c r="I481" s="633" t="n"/>
      <c r="J481" s="633" t="n"/>
      <c r="K481" s="633">
        <f>CCBASE!$I$21*B481/1000</f>
        <v/>
      </c>
      <c r="L481" s="633" t="n"/>
      <c r="M481" s="633" t="n"/>
      <c r="N481" s="633">
        <f>(CCBASE!$I$7*B274/1000*C274/1000)*0.45</f>
        <v/>
      </c>
      <c r="O481" s="633">
        <f>CCBASE!$I$45*B481/1000</f>
        <v/>
      </c>
      <c r="P481" s="632" t="n"/>
      <c r="Q481" s="632" t="n"/>
      <c r="R481" s="632" t="n"/>
      <c r="S481" s="632" t="n"/>
      <c r="T481" s="632" t="n"/>
      <c r="U481" s="638">
        <f>CCBASE!$I$47</f>
        <v/>
      </c>
      <c r="V481" s="632" t="n"/>
      <c r="W481" s="632" t="n"/>
      <c r="X481" s="632" t="n"/>
      <c r="Y481" s="632" t="n"/>
      <c r="Z481" s="632" t="n"/>
      <c r="AA481" s="632" t="n"/>
      <c r="AB481" s="632" t="n"/>
      <c r="AC481" s="632" t="n"/>
      <c r="AD481" s="632" t="n"/>
    </row>
    <row r="482">
      <c r="A482" s="631" t="inlineStr">
        <is>
          <t>CXW-M</t>
        </is>
      </c>
      <c r="B482" s="631" t="n">
        <v>1750</v>
      </c>
      <c r="C482" s="631" t="n">
        <v>1000</v>
      </c>
      <c r="D482" s="640">
        <f>$A482&amp;B482&amp;C482</f>
        <v/>
      </c>
      <c r="E482" s="1040">
        <f>SUM(G482:AD482)</f>
        <v/>
      </c>
      <c r="F482" s="632" t="n">
        <v>16</v>
      </c>
      <c r="G482" s="633">
        <f>F482*CCBASE!$B$51</f>
        <v/>
      </c>
      <c r="H482" s="633" t="n"/>
      <c r="I482" s="633" t="n"/>
      <c r="J482" s="633" t="n"/>
      <c r="K482" s="633">
        <f>CCBASE!$I$21*B482/1000</f>
        <v/>
      </c>
      <c r="L482" s="633" t="n"/>
      <c r="M482" s="633" t="n"/>
      <c r="N482" s="633">
        <f>(CCBASE!$I$7*B275/1000*C275/1000)*0.45</f>
        <v/>
      </c>
      <c r="O482" s="633">
        <f>CCBASE!$I$45*B482/1000</f>
        <v/>
      </c>
      <c r="P482" s="632" t="n"/>
      <c r="Q482" s="632" t="n"/>
      <c r="R482" s="632" t="n"/>
      <c r="S482" s="632" t="n"/>
      <c r="T482" s="632" t="n"/>
      <c r="U482" s="638">
        <f>CCBASE!$I$47</f>
        <v/>
      </c>
      <c r="V482" s="632" t="n"/>
      <c r="W482" s="632" t="n"/>
      <c r="X482" s="632" t="n"/>
      <c r="Y482" s="632" t="n"/>
      <c r="Z482" s="632" t="n"/>
      <c r="AA482" s="632" t="n"/>
      <c r="AB482" s="632" t="n"/>
      <c r="AC482" s="632" t="n"/>
      <c r="AD482" s="632" t="n"/>
    </row>
    <row r="483">
      <c r="A483" s="631" t="inlineStr">
        <is>
          <t>CXW-M</t>
        </is>
      </c>
      <c r="B483" s="631" t="n">
        <v>2000</v>
      </c>
      <c r="C483" s="631" t="n">
        <v>1000</v>
      </c>
      <c r="D483" s="640">
        <f>$A483&amp;B483&amp;C483</f>
        <v/>
      </c>
      <c r="E483" s="1040">
        <f>SUM(G483:AD483)</f>
        <v/>
      </c>
      <c r="F483" s="632" t="n">
        <v>16</v>
      </c>
      <c r="G483" s="633">
        <f>F483*CCBASE!$B$51</f>
        <v/>
      </c>
      <c r="H483" s="633" t="n"/>
      <c r="I483" s="633" t="n"/>
      <c r="J483" s="633" t="n"/>
      <c r="K483" s="633">
        <f>CCBASE!$I$21*B483/1000</f>
        <v/>
      </c>
      <c r="L483" s="633" t="n"/>
      <c r="M483" s="633" t="n"/>
      <c r="N483" s="633">
        <f>(CCBASE!$I$7*B276/1000*C276/1000)*0.45</f>
        <v/>
      </c>
      <c r="O483" s="633">
        <f>CCBASE!$I$45*B483/1000</f>
        <v/>
      </c>
      <c r="P483" s="632" t="n"/>
      <c r="Q483" s="632" t="n"/>
      <c r="R483" s="632" t="n"/>
      <c r="S483" s="632" t="n"/>
      <c r="T483" s="632" t="n"/>
      <c r="U483" s="638">
        <f>CCBASE!$I$47</f>
        <v/>
      </c>
      <c r="V483" s="632" t="n"/>
      <c r="W483" s="632" t="n"/>
      <c r="X483" s="632" t="n"/>
      <c r="Y483" s="632" t="n"/>
      <c r="Z483" s="632" t="n"/>
      <c r="AA483" s="632" t="n"/>
      <c r="AB483" s="632" t="n"/>
      <c r="AC483" s="632" t="n"/>
      <c r="AD483" s="632" t="n"/>
    </row>
    <row r="484">
      <c r="A484" s="631" t="inlineStr">
        <is>
          <t>CXW-M</t>
        </is>
      </c>
      <c r="B484" s="631" t="n">
        <v>2250</v>
      </c>
      <c r="C484" s="631" t="n">
        <v>1000</v>
      </c>
      <c r="D484" s="640">
        <f>$A484&amp;B484&amp;C484</f>
        <v/>
      </c>
      <c r="E484" s="1040">
        <f>SUM(G484:AD484)</f>
        <v/>
      </c>
      <c r="F484" s="632" t="n">
        <v>16</v>
      </c>
      <c r="G484" s="633">
        <f>F484*CCBASE!$B$51</f>
        <v/>
      </c>
      <c r="H484" s="633" t="n"/>
      <c r="I484" s="633" t="n"/>
      <c r="J484" s="633" t="n"/>
      <c r="K484" s="633">
        <f>CCBASE!$I$21*B484/1000</f>
        <v/>
      </c>
      <c r="L484" s="633" t="n"/>
      <c r="M484" s="633" t="n"/>
      <c r="N484" s="633">
        <f>(CCBASE!$I$7*B277/1000*C277/1000)*0.45</f>
        <v/>
      </c>
      <c r="O484" s="633">
        <f>CCBASE!$I$45*B484/1000</f>
        <v/>
      </c>
      <c r="P484" s="632" t="n"/>
      <c r="Q484" s="632" t="n"/>
      <c r="R484" s="632" t="n"/>
      <c r="S484" s="632" t="n"/>
      <c r="T484" s="632" t="n"/>
      <c r="U484" s="638">
        <f>CCBASE!$I$47*2</f>
        <v/>
      </c>
      <c r="V484" s="632" t="n"/>
      <c r="W484" s="632" t="n"/>
      <c r="X484" s="632" t="n"/>
      <c r="Y484" s="632" t="n"/>
      <c r="Z484" s="632" t="n"/>
      <c r="AA484" s="632" t="n"/>
      <c r="AB484" s="632" t="n"/>
      <c r="AC484" s="632" t="n"/>
      <c r="AD484" s="632" t="n"/>
    </row>
    <row r="485">
      <c r="A485" s="631" t="inlineStr">
        <is>
          <t>CXW-M</t>
        </is>
      </c>
      <c r="B485" s="631" t="n">
        <v>2500</v>
      </c>
      <c r="C485" s="631" t="n">
        <v>1000</v>
      </c>
      <c r="D485" s="640">
        <f>$A485&amp;B485&amp;C485</f>
        <v/>
      </c>
      <c r="E485" s="1040">
        <f>SUM(G485:AD485)</f>
        <v/>
      </c>
      <c r="F485" s="632" t="n">
        <v>16</v>
      </c>
      <c r="G485" s="633">
        <f>F485*CCBASE!$B$51</f>
        <v/>
      </c>
      <c r="H485" s="633" t="n"/>
      <c r="I485" s="633" t="n"/>
      <c r="J485" s="633" t="n"/>
      <c r="K485" s="633">
        <f>CCBASE!$I$21*B485/1000</f>
        <v/>
      </c>
      <c r="L485" s="633" t="n"/>
      <c r="M485" s="633" t="n"/>
      <c r="N485" s="633">
        <f>(CCBASE!$I$7*B278/1000*C278/1000)*0.45</f>
        <v/>
      </c>
      <c r="O485" s="633">
        <f>CCBASE!$I$45*B485/1000</f>
        <v/>
      </c>
      <c r="P485" s="632" t="n"/>
      <c r="Q485" s="632" t="n"/>
      <c r="R485" s="632" t="n"/>
      <c r="S485" s="632" t="n"/>
      <c r="T485" s="632" t="n"/>
      <c r="U485" s="638">
        <f>CCBASE!$I$47*2</f>
        <v/>
      </c>
      <c r="V485" s="632" t="n"/>
      <c r="W485" s="632" t="n"/>
      <c r="X485" s="632" t="n"/>
      <c r="Y485" s="632" t="n"/>
      <c r="Z485" s="632" t="n"/>
      <c r="AA485" s="632" t="n"/>
      <c r="AB485" s="632" t="n"/>
      <c r="AC485" s="632" t="n"/>
      <c r="AD485" s="632" t="n"/>
    </row>
    <row r="486">
      <c r="A486" s="631" t="inlineStr">
        <is>
          <t>CXW-M</t>
        </is>
      </c>
      <c r="B486" s="631" t="n">
        <v>2750</v>
      </c>
      <c r="C486" s="631" t="n">
        <v>1000</v>
      </c>
      <c r="D486" s="640">
        <f>$A486&amp;B486&amp;C486</f>
        <v/>
      </c>
      <c r="E486" s="1040">
        <f>SUM(G486:AD486)</f>
        <v/>
      </c>
      <c r="F486" s="632" t="n">
        <v>16</v>
      </c>
      <c r="G486" s="633">
        <f>F486*CCBASE!$B$51</f>
        <v/>
      </c>
      <c r="H486" s="633" t="n"/>
      <c r="I486" s="633" t="n"/>
      <c r="J486" s="633" t="n"/>
      <c r="K486" s="633">
        <f>CCBASE!$I$21*B486/1000</f>
        <v/>
      </c>
      <c r="L486" s="633" t="n"/>
      <c r="M486" s="633" t="n"/>
      <c r="N486" s="633">
        <f>(CCBASE!$I$7*B279/1000*C279/1000)*0.45</f>
        <v/>
      </c>
      <c r="O486" s="633">
        <f>CCBASE!$I$45*B486/1000</f>
        <v/>
      </c>
      <c r="P486" s="632" t="n"/>
      <c r="Q486" s="632" t="n"/>
      <c r="R486" s="632" t="n"/>
      <c r="S486" s="632" t="n"/>
      <c r="T486" s="632" t="n"/>
      <c r="U486" s="638">
        <f>CCBASE!$I$47*2</f>
        <v/>
      </c>
      <c r="V486" s="632" t="n"/>
      <c r="W486" s="632" t="n"/>
      <c r="X486" s="632" t="n"/>
      <c r="Y486" s="632" t="n"/>
      <c r="Z486" s="632" t="n"/>
      <c r="AA486" s="632" t="n"/>
      <c r="AB486" s="632" t="n"/>
      <c r="AC486" s="632" t="n"/>
      <c r="AD486" s="632" t="n"/>
    </row>
    <row r="487">
      <c r="A487" s="631" t="inlineStr">
        <is>
          <t>CXW-M</t>
        </is>
      </c>
      <c r="B487" s="631" t="n">
        <v>3000</v>
      </c>
      <c r="C487" s="631" t="n">
        <v>1000</v>
      </c>
      <c r="D487" s="640">
        <f>$A487&amp;B487&amp;C487</f>
        <v/>
      </c>
      <c r="E487" s="1040">
        <f>SUM(G487:AD487)</f>
        <v/>
      </c>
      <c r="F487" s="632" t="n">
        <v>16</v>
      </c>
      <c r="G487" s="633">
        <f>F487*CCBASE!$B$51</f>
        <v/>
      </c>
      <c r="H487" s="633" t="n"/>
      <c r="I487" s="633" t="n"/>
      <c r="J487" s="633" t="n"/>
      <c r="K487" s="633">
        <f>CCBASE!$I$21*B487/1000</f>
        <v/>
      </c>
      <c r="L487" s="633" t="n"/>
      <c r="M487" s="633" t="n"/>
      <c r="N487" s="633">
        <f>(CCBASE!$I$7*B280/1000*C280/1000)*0.45</f>
        <v/>
      </c>
      <c r="O487" s="633">
        <f>CCBASE!$I$45*B487/1000</f>
        <v/>
      </c>
      <c r="P487" s="632" t="n"/>
      <c r="Q487" s="632" t="n"/>
      <c r="R487" s="632" t="n"/>
      <c r="S487" s="632" t="n"/>
      <c r="T487" s="632" t="n"/>
      <c r="U487" s="638">
        <f>CCBASE!$I$47*2</f>
        <v/>
      </c>
      <c r="V487" s="632" t="n"/>
      <c r="W487" s="632" t="n"/>
      <c r="X487" s="632" t="n"/>
      <c r="Y487" s="632" t="n"/>
      <c r="Z487" s="632" t="n"/>
      <c r="AA487" s="632" t="n"/>
      <c r="AB487" s="632" t="n"/>
      <c r="AC487" s="632" t="n"/>
      <c r="AD487" s="632" t="n"/>
    </row>
    <row r="488">
      <c r="A488" s="631" t="inlineStr">
        <is>
          <t>CXW-M</t>
        </is>
      </c>
      <c r="B488" s="631" t="n">
        <v>1000</v>
      </c>
      <c r="C488" s="631" t="n">
        <v>1250</v>
      </c>
      <c r="D488" s="640">
        <f>$A488&amp;B488&amp;C488</f>
        <v/>
      </c>
      <c r="E488" s="1040">
        <f>SUM(G488:AD488)</f>
        <v/>
      </c>
      <c r="F488" s="632" t="n">
        <v>15</v>
      </c>
      <c r="G488" s="633">
        <f>F488*CCBASE!$B$51</f>
        <v/>
      </c>
      <c r="H488" s="633" t="n"/>
      <c r="I488" s="633" t="n"/>
      <c r="J488" s="633" t="n"/>
      <c r="K488" s="633">
        <f>CCBASE!$I$22*B488/1000</f>
        <v/>
      </c>
      <c r="L488" s="633" t="n"/>
      <c r="M488" s="633" t="n"/>
      <c r="N488" s="633">
        <f>(CCBASE!$I$7*B281/1000*C281/1000)*0.45</f>
        <v/>
      </c>
      <c r="O488" s="633">
        <f>CCBASE!$I$45*B488/1000</f>
        <v/>
      </c>
      <c r="P488" s="632" t="n"/>
      <c r="Q488" s="632" t="n"/>
      <c r="R488" s="632" t="n"/>
      <c r="S488" s="632" t="n"/>
      <c r="T488" s="632" t="n"/>
      <c r="U488" s="638">
        <f>CCBASE!$I$47</f>
        <v/>
      </c>
      <c r="V488" s="632" t="n"/>
      <c r="W488" s="632" t="n"/>
      <c r="X488" s="632" t="n"/>
      <c r="Y488" s="632" t="n"/>
      <c r="Z488" s="632" t="n"/>
      <c r="AA488" s="632" t="n"/>
      <c r="AB488" s="632" t="n"/>
      <c r="AC488" s="632" t="n"/>
      <c r="AD488" s="632" t="n"/>
    </row>
    <row r="489">
      <c r="A489" s="631" t="inlineStr">
        <is>
          <t>CXW-M</t>
        </is>
      </c>
      <c r="B489" s="631" t="n">
        <v>1250</v>
      </c>
      <c r="C489" s="631" t="n">
        <v>1250</v>
      </c>
      <c r="D489" s="640">
        <f>$A489&amp;B489&amp;C489</f>
        <v/>
      </c>
      <c r="E489" s="1040">
        <f>SUM(G489:AD489)</f>
        <v/>
      </c>
      <c r="F489" s="632" t="n">
        <v>15</v>
      </c>
      <c r="G489" s="633">
        <f>F489*CCBASE!$B$51</f>
        <v/>
      </c>
      <c r="H489" s="633" t="n"/>
      <c r="I489" s="633" t="n"/>
      <c r="J489" s="633" t="n"/>
      <c r="K489" s="633">
        <f>CCBASE!$I$22*B489/1000</f>
        <v/>
      </c>
      <c r="L489" s="633" t="n"/>
      <c r="M489" s="633" t="n"/>
      <c r="N489" s="633">
        <f>(CCBASE!$I$7*B282/1000*C282/1000)*0.45</f>
        <v/>
      </c>
      <c r="O489" s="633">
        <f>CCBASE!$I$45*B489/1000</f>
        <v/>
      </c>
      <c r="P489" s="632" t="n"/>
      <c r="Q489" s="632" t="n"/>
      <c r="R489" s="632" t="n"/>
      <c r="S489" s="632" t="n"/>
      <c r="T489" s="632" t="n"/>
      <c r="U489" s="638">
        <f>CCBASE!$I$47</f>
        <v/>
      </c>
      <c r="V489" s="632" t="n"/>
      <c r="W489" s="632" t="n"/>
      <c r="X489" s="632" t="n"/>
      <c r="Y489" s="632" t="n"/>
      <c r="Z489" s="632" t="n"/>
      <c r="AA489" s="632" t="n"/>
      <c r="AB489" s="632" t="n"/>
      <c r="AC489" s="632" t="n"/>
      <c r="AD489" s="632" t="n"/>
    </row>
    <row r="490">
      <c r="A490" s="631" t="inlineStr">
        <is>
          <t>CXW-M</t>
        </is>
      </c>
      <c r="B490" s="631" t="n">
        <v>1500</v>
      </c>
      <c r="C490" s="631" t="n">
        <v>1250</v>
      </c>
      <c r="D490" s="640">
        <f>$A490&amp;B490&amp;C490</f>
        <v/>
      </c>
      <c r="E490" s="1040">
        <f>SUM(G490:AD490)</f>
        <v/>
      </c>
      <c r="F490" s="632" t="n">
        <v>15</v>
      </c>
      <c r="G490" s="633">
        <f>F490*CCBASE!$B$51</f>
        <v/>
      </c>
      <c r="H490" s="633" t="n"/>
      <c r="I490" s="633" t="n"/>
      <c r="J490" s="633" t="n"/>
      <c r="K490" s="633">
        <f>CCBASE!$I$22*B490/1000</f>
        <v/>
      </c>
      <c r="L490" s="633" t="n"/>
      <c r="M490" s="633" t="n"/>
      <c r="N490" s="633">
        <f>(CCBASE!$I$7*B283/1000*C283/1000)*0.45</f>
        <v/>
      </c>
      <c r="O490" s="633">
        <f>CCBASE!$I$45*B490/1000</f>
        <v/>
      </c>
      <c r="P490" s="632" t="n"/>
      <c r="Q490" s="632" t="n"/>
      <c r="R490" s="632" t="n"/>
      <c r="S490" s="632" t="n"/>
      <c r="T490" s="632" t="n"/>
      <c r="U490" s="638">
        <f>CCBASE!$I$47</f>
        <v/>
      </c>
      <c r="V490" s="632" t="n"/>
      <c r="W490" s="632" t="n"/>
      <c r="X490" s="632" t="n"/>
      <c r="Y490" s="632" t="n"/>
      <c r="Z490" s="632" t="n"/>
      <c r="AA490" s="632" t="n"/>
      <c r="AB490" s="632" t="n"/>
      <c r="AC490" s="632" t="n"/>
      <c r="AD490" s="632" t="n"/>
    </row>
    <row r="491">
      <c r="A491" s="631" t="inlineStr">
        <is>
          <t>CXW-M</t>
        </is>
      </c>
      <c r="B491" s="631" t="n">
        <v>1750</v>
      </c>
      <c r="C491" s="631" t="n">
        <v>1250</v>
      </c>
      <c r="D491" s="640">
        <f>$A491&amp;B491&amp;C491</f>
        <v/>
      </c>
      <c r="E491" s="1040">
        <f>SUM(G491:AD491)</f>
        <v/>
      </c>
      <c r="F491" s="632" t="n">
        <v>16</v>
      </c>
      <c r="G491" s="633">
        <f>F491*CCBASE!$B$51</f>
        <v/>
      </c>
      <c r="H491" s="633" t="n"/>
      <c r="I491" s="633" t="n"/>
      <c r="J491" s="633" t="n"/>
      <c r="K491" s="633">
        <f>CCBASE!$I$22*B491/1000</f>
        <v/>
      </c>
      <c r="L491" s="633" t="n"/>
      <c r="M491" s="633" t="n"/>
      <c r="N491" s="633">
        <f>(CCBASE!$I$7*B284/1000*C284/1000)*0.45</f>
        <v/>
      </c>
      <c r="O491" s="633">
        <f>CCBASE!$I$45*B491/1000</f>
        <v/>
      </c>
      <c r="P491" s="632" t="n"/>
      <c r="Q491" s="632" t="n"/>
      <c r="R491" s="632" t="n"/>
      <c r="S491" s="632" t="n"/>
      <c r="T491" s="632" t="n"/>
      <c r="U491" s="638">
        <f>CCBASE!$I$47</f>
        <v/>
      </c>
      <c r="V491" s="632" t="n"/>
      <c r="W491" s="632" t="n"/>
      <c r="X491" s="632" t="n"/>
      <c r="Y491" s="632" t="n"/>
      <c r="Z491" s="632" t="n"/>
      <c r="AA491" s="632" t="n"/>
      <c r="AB491" s="632" t="n"/>
      <c r="AC491" s="632" t="n"/>
      <c r="AD491" s="632" t="n"/>
    </row>
    <row r="492">
      <c r="A492" s="631" t="inlineStr">
        <is>
          <t>CXW-M</t>
        </is>
      </c>
      <c r="B492" s="631" t="n">
        <v>2000</v>
      </c>
      <c r="C492" s="631" t="n">
        <v>1250</v>
      </c>
      <c r="D492" s="640">
        <f>$A492&amp;B492&amp;C492</f>
        <v/>
      </c>
      <c r="E492" s="1040">
        <f>SUM(G492:AD492)</f>
        <v/>
      </c>
      <c r="F492" s="632" t="n">
        <v>16</v>
      </c>
      <c r="G492" s="633">
        <f>F492*CCBASE!$B$51</f>
        <v/>
      </c>
      <c r="H492" s="633" t="n"/>
      <c r="I492" s="633" t="n"/>
      <c r="J492" s="633" t="n"/>
      <c r="K492" s="633">
        <f>CCBASE!$I$22*B492/1000</f>
        <v/>
      </c>
      <c r="L492" s="633" t="n"/>
      <c r="M492" s="633" t="n"/>
      <c r="N492" s="633">
        <f>(CCBASE!$I$7*B285/1000*C285/1000)*0.45</f>
        <v/>
      </c>
      <c r="O492" s="633">
        <f>CCBASE!$I$45*B492/1000</f>
        <v/>
      </c>
      <c r="P492" s="632" t="n"/>
      <c r="Q492" s="632" t="n"/>
      <c r="R492" s="632" t="n"/>
      <c r="S492" s="632" t="n"/>
      <c r="T492" s="632" t="n"/>
      <c r="U492" s="638">
        <f>CCBASE!$I$47</f>
        <v/>
      </c>
      <c r="V492" s="632" t="n"/>
      <c r="W492" s="632" t="n"/>
      <c r="X492" s="632" t="n"/>
      <c r="Y492" s="632" t="n"/>
      <c r="Z492" s="632" t="n"/>
      <c r="AA492" s="632" t="n"/>
      <c r="AB492" s="632" t="n"/>
      <c r="AC492" s="632" t="n"/>
      <c r="AD492" s="632" t="n"/>
    </row>
    <row r="493">
      <c r="A493" s="631" t="inlineStr">
        <is>
          <t>CXW-M</t>
        </is>
      </c>
      <c r="B493" s="631" t="n">
        <v>2250</v>
      </c>
      <c r="C493" s="631" t="n">
        <v>1250</v>
      </c>
      <c r="D493" s="640">
        <f>$A493&amp;B493&amp;C493</f>
        <v/>
      </c>
      <c r="E493" s="1040">
        <f>SUM(G493:AD493)</f>
        <v/>
      </c>
      <c r="F493" s="632" t="n">
        <v>16</v>
      </c>
      <c r="G493" s="633">
        <f>F493*CCBASE!$B$51</f>
        <v/>
      </c>
      <c r="H493" s="633" t="n"/>
      <c r="I493" s="633" t="n"/>
      <c r="J493" s="633" t="n"/>
      <c r="K493" s="633">
        <f>CCBASE!$I$22*B493/1000</f>
        <v/>
      </c>
      <c r="L493" s="633" t="n"/>
      <c r="M493" s="633" t="n"/>
      <c r="N493" s="633">
        <f>(CCBASE!$I$7*B286/1000*C286/1000)*0.45</f>
        <v/>
      </c>
      <c r="O493" s="633">
        <f>CCBASE!$I$45*B493/1000</f>
        <v/>
      </c>
      <c r="P493" s="632" t="n"/>
      <c r="Q493" s="632" t="n"/>
      <c r="R493" s="632" t="n"/>
      <c r="S493" s="632" t="n"/>
      <c r="T493" s="632" t="n"/>
      <c r="U493" s="638">
        <f>CCBASE!$I$47*2</f>
        <v/>
      </c>
      <c r="V493" s="632" t="n"/>
      <c r="W493" s="632" t="n"/>
      <c r="X493" s="632" t="n"/>
      <c r="Y493" s="632" t="n"/>
      <c r="Z493" s="632" t="n"/>
      <c r="AA493" s="632" t="n"/>
      <c r="AB493" s="632" t="n"/>
      <c r="AC493" s="632" t="n"/>
      <c r="AD493" s="632" t="n"/>
    </row>
    <row r="494">
      <c r="A494" s="631" t="inlineStr">
        <is>
          <t>CXW-M</t>
        </is>
      </c>
      <c r="B494" s="631" t="n">
        <v>2500</v>
      </c>
      <c r="C494" s="631" t="n">
        <v>1250</v>
      </c>
      <c r="D494" s="640">
        <f>$A494&amp;B494&amp;C494</f>
        <v/>
      </c>
      <c r="E494" s="1040">
        <f>SUM(G494:AD494)</f>
        <v/>
      </c>
      <c r="F494" s="632" t="n">
        <v>16</v>
      </c>
      <c r="G494" s="633">
        <f>F494*CCBASE!$B$51</f>
        <v/>
      </c>
      <c r="H494" s="633" t="n"/>
      <c r="I494" s="633" t="n"/>
      <c r="J494" s="633" t="n"/>
      <c r="K494" s="633">
        <f>CCBASE!$I$22*B494/1000</f>
        <v/>
      </c>
      <c r="L494" s="633" t="n"/>
      <c r="M494" s="633" t="n"/>
      <c r="N494" s="633">
        <f>(CCBASE!$I$7*B287/1000*C287/1000)*0.45</f>
        <v/>
      </c>
      <c r="O494" s="633">
        <f>CCBASE!$I$45*B494/1000</f>
        <v/>
      </c>
      <c r="P494" s="632" t="n"/>
      <c r="Q494" s="632" t="n"/>
      <c r="R494" s="632" t="n"/>
      <c r="S494" s="632" t="n"/>
      <c r="T494" s="632" t="n"/>
      <c r="U494" s="638">
        <f>CCBASE!$I$47*2</f>
        <v/>
      </c>
      <c r="V494" s="632" t="n"/>
      <c r="W494" s="632" t="n"/>
      <c r="X494" s="632" t="n"/>
      <c r="Y494" s="632" t="n"/>
      <c r="Z494" s="632" t="n"/>
      <c r="AA494" s="632" t="n"/>
      <c r="AB494" s="632" t="n"/>
      <c r="AC494" s="632" t="n"/>
      <c r="AD494" s="632" t="n"/>
    </row>
    <row r="495">
      <c r="A495" s="631" t="inlineStr">
        <is>
          <t>CXW-M</t>
        </is>
      </c>
      <c r="B495" s="631" t="n">
        <v>2750</v>
      </c>
      <c r="C495" s="631" t="n">
        <v>1250</v>
      </c>
      <c r="D495" s="640">
        <f>$A495&amp;B495&amp;C495</f>
        <v/>
      </c>
      <c r="E495" s="1040">
        <f>SUM(G495:AD495)</f>
        <v/>
      </c>
      <c r="F495" s="632" t="n">
        <v>16</v>
      </c>
      <c r="G495" s="633">
        <f>F495*CCBASE!$B$51</f>
        <v/>
      </c>
      <c r="H495" s="633" t="n"/>
      <c r="I495" s="633" t="n"/>
      <c r="J495" s="633" t="n"/>
      <c r="K495" s="633">
        <f>CCBASE!$I$22*B495/1000</f>
        <v/>
      </c>
      <c r="L495" s="633" t="n"/>
      <c r="M495" s="633" t="n"/>
      <c r="N495" s="633">
        <f>(CCBASE!$I$7*B288/1000*C288/1000)*0.45</f>
        <v/>
      </c>
      <c r="O495" s="633">
        <f>CCBASE!$I$45*B495/1000</f>
        <v/>
      </c>
      <c r="P495" s="632" t="n"/>
      <c r="Q495" s="632" t="n"/>
      <c r="R495" s="632" t="n"/>
      <c r="S495" s="632" t="n"/>
      <c r="T495" s="632" t="n"/>
      <c r="U495" s="638">
        <f>CCBASE!$I$47*2</f>
        <v/>
      </c>
      <c r="V495" s="632" t="n"/>
      <c r="W495" s="632" t="n"/>
      <c r="X495" s="632" t="n"/>
      <c r="Y495" s="632" t="n"/>
      <c r="Z495" s="632" t="n"/>
      <c r="AA495" s="632" t="n"/>
      <c r="AB495" s="632" t="n"/>
      <c r="AC495" s="632" t="n"/>
      <c r="AD495" s="632" t="n"/>
    </row>
    <row r="496">
      <c r="A496" s="631" t="inlineStr">
        <is>
          <t>CXW-M</t>
        </is>
      </c>
      <c r="B496" s="631" t="n">
        <v>3000</v>
      </c>
      <c r="C496" s="631" t="n">
        <v>1250</v>
      </c>
      <c r="D496" s="640">
        <f>$A496&amp;B496&amp;C496</f>
        <v/>
      </c>
      <c r="E496" s="1040">
        <f>SUM(G496:AD496)</f>
        <v/>
      </c>
      <c r="F496" s="632" t="n">
        <v>16</v>
      </c>
      <c r="G496" s="633">
        <f>F496*CCBASE!$B$51</f>
        <v/>
      </c>
      <c r="H496" s="633" t="n"/>
      <c r="I496" s="633" t="n"/>
      <c r="J496" s="633" t="n"/>
      <c r="K496" s="633">
        <f>CCBASE!$I$22*B496/1000</f>
        <v/>
      </c>
      <c r="L496" s="633" t="n"/>
      <c r="M496" s="633" t="n"/>
      <c r="N496" s="633">
        <f>(CCBASE!$I$7*B289/1000*C289/1000)*0.45</f>
        <v/>
      </c>
      <c r="O496" s="633">
        <f>CCBASE!$I$45*B496/1000</f>
        <v/>
      </c>
      <c r="P496" s="632" t="n"/>
      <c r="Q496" s="632" t="n"/>
      <c r="R496" s="632" t="n"/>
      <c r="S496" s="632" t="n"/>
      <c r="T496" s="632" t="n"/>
      <c r="U496" s="638">
        <f>CCBASE!$I$47*2</f>
        <v/>
      </c>
      <c r="V496" s="632" t="n"/>
      <c r="W496" s="632" t="n"/>
      <c r="X496" s="632" t="n"/>
      <c r="Y496" s="632" t="n"/>
      <c r="Z496" s="632" t="n"/>
      <c r="AA496" s="632" t="n"/>
      <c r="AB496" s="632" t="n"/>
      <c r="AC496" s="632" t="n"/>
      <c r="AD496" s="632" t="n"/>
    </row>
    <row r="497">
      <c r="A497" s="631" t="inlineStr">
        <is>
          <t>CXW-M</t>
        </is>
      </c>
      <c r="B497" s="631" t="n">
        <v>1000</v>
      </c>
      <c r="C497" s="631" t="n">
        <v>1500</v>
      </c>
      <c r="D497" s="640">
        <f>$A497&amp;B497&amp;C497</f>
        <v/>
      </c>
      <c r="E497" s="1040">
        <f>SUM(G497:AD497)</f>
        <v/>
      </c>
      <c r="F497" s="632" t="n">
        <v>15</v>
      </c>
      <c r="G497" s="633">
        <f>F497*CCBASE!$B$51</f>
        <v/>
      </c>
      <c r="H497" s="633" t="n"/>
      <c r="I497" s="633" t="n"/>
      <c r="J497" s="633" t="n"/>
      <c r="K497" s="633">
        <f>CCBASE!$I$23*B497/1000</f>
        <v/>
      </c>
      <c r="L497" s="633" t="n"/>
      <c r="M497" s="633" t="n"/>
      <c r="N497" s="633">
        <f>(CCBASE!$I$7*B290/1000*C290/1000)*0.45</f>
        <v/>
      </c>
      <c r="O497" s="633">
        <f>CCBASE!$I$45*B497/1000</f>
        <v/>
      </c>
      <c r="P497" s="632" t="n"/>
      <c r="Q497" s="632" t="n"/>
      <c r="R497" s="632" t="n"/>
      <c r="S497" s="632" t="n"/>
      <c r="T497" s="632" t="n"/>
      <c r="U497" s="638">
        <f>CCBASE!$I$47</f>
        <v/>
      </c>
      <c r="V497" s="632" t="n"/>
      <c r="W497" s="632" t="n"/>
      <c r="X497" s="632" t="n"/>
      <c r="Y497" s="632" t="n"/>
      <c r="Z497" s="632" t="n"/>
      <c r="AA497" s="632" t="n"/>
      <c r="AB497" s="632" t="n"/>
      <c r="AC497" s="632" t="n"/>
      <c r="AD497" s="632" t="n"/>
    </row>
    <row r="498">
      <c r="A498" s="631" t="inlineStr">
        <is>
          <t>CXW-M</t>
        </is>
      </c>
      <c r="B498" s="631" t="n">
        <v>1250</v>
      </c>
      <c r="C498" s="631" t="n">
        <v>1500</v>
      </c>
      <c r="D498" s="640">
        <f>$A498&amp;B498&amp;C498</f>
        <v/>
      </c>
      <c r="E498" s="1040">
        <f>SUM(G498:AD498)</f>
        <v/>
      </c>
      <c r="F498" s="632" t="n">
        <v>15</v>
      </c>
      <c r="G498" s="633">
        <f>F498*CCBASE!$B$51</f>
        <v/>
      </c>
      <c r="H498" s="633" t="n"/>
      <c r="I498" s="633" t="n"/>
      <c r="J498" s="633" t="n"/>
      <c r="K498" s="633">
        <f>CCBASE!$I$23*B498/1000</f>
        <v/>
      </c>
      <c r="L498" s="633" t="n"/>
      <c r="M498" s="633" t="n"/>
      <c r="N498" s="633">
        <f>(CCBASE!$I$7*B291/1000*C291/1000)*0.45</f>
        <v/>
      </c>
      <c r="O498" s="633">
        <f>CCBASE!$I$45*B498/1000</f>
        <v/>
      </c>
      <c r="P498" s="632" t="n"/>
      <c r="Q498" s="632" t="n"/>
      <c r="R498" s="632" t="n"/>
      <c r="S498" s="632" t="n"/>
      <c r="T498" s="632" t="n"/>
      <c r="U498" s="638">
        <f>CCBASE!$I$47</f>
        <v/>
      </c>
      <c r="V498" s="632" t="n"/>
      <c r="W498" s="632" t="n"/>
      <c r="X498" s="632" t="n"/>
      <c r="Y498" s="632" t="n"/>
      <c r="Z498" s="632" t="n"/>
      <c r="AA498" s="632" t="n"/>
      <c r="AB498" s="632" t="n"/>
      <c r="AC498" s="632" t="n"/>
      <c r="AD498" s="632" t="n"/>
    </row>
    <row r="499">
      <c r="A499" s="631" t="inlineStr">
        <is>
          <t>CXW-M</t>
        </is>
      </c>
      <c r="B499" s="631" t="n">
        <v>1500</v>
      </c>
      <c r="C499" s="631" t="n">
        <v>1500</v>
      </c>
      <c r="D499" s="640">
        <f>$A499&amp;B499&amp;C499</f>
        <v/>
      </c>
      <c r="E499" s="1040">
        <f>SUM(G499:AD499)</f>
        <v/>
      </c>
      <c r="F499" s="632" t="n">
        <v>15</v>
      </c>
      <c r="G499" s="633">
        <f>F499*CCBASE!$B$51</f>
        <v/>
      </c>
      <c r="H499" s="633" t="n"/>
      <c r="I499" s="633" t="n"/>
      <c r="J499" s="633" t="n"/>
      <c r="K499" s="633">
        <f>CCBASE!$I$23*B499/1000</f>
        <v/>
      </c>
      <c r="L499" s="633" t="n"/>
      <c r="M499" s="633" t="n"/>
      <c r="N499" s="633">
        <f>(CCBASE!$I$7*B292/1000*C292/1000)*0.45</f>
        <v/>
      </c>
      <c r="O499" s="633">
        <f>CCBASE!$I$45*B499/1000</f>
        <v/>
      </c>
      <c r="P499" s="632" t="n"/>
      <c r="Q499" s="632" t="n"/>
      <c r="R499" s="632" t="n"/>
      <c r="S499" s="632" t="n"/>
      <c r="T499" s="632" t="n"/>
      <c r="U499" s="638">
        <f>CCBASE!$I$47</f>
        <v/>
      </c>
      <c r="V499" s="632" t="n"/>
      <c r="W499" s="632" t="n"/>
      <c r="X499" s="632" t="n"/>
      <c r="Y499" s="632" t="n"/>
      <c r="Z499" s="632" t="n"/>
      <c r="AA499" s="632" t="n"/>
      <c r="AB499" s="632" t="n"/>
      <c r="AC499" s="632" t="n"/>
      <c r="AD499" s="632" t="n"/>
    </row>
    <row r="500">
      <c r="A500" s="631" t="inlineStr">
        <is>
          <t>CXW-M</t>
        </is>
      </c>
      <c r="B500" s="631" t="n">
        <v>1750</v>
      </c>
      <c r="C500" s="631" t="n">
        <v>1500</v>
      </c>
      <c r="D500" s="640">
        <f>$A500&amp;B500&amp;C500</f>
        <v/>
      </c>
      <c r="E500" s="1040">
        <f>SUM(G500:AD500)</f>
        <v/>
      </c>
      <c r="F500" s="632" t="n">
        <v>16</v>
      </c>
      <c r="G500" s="633">
        <f>F500*CCBASE!$B$51</f>
        <v/>
      </c>
      <c r="H500" s="633" t="n"/>
      <c r="I500" s="633" t="n"/>
      <c r="J500" s="633" t="n"/>
      <c r="K500" s="633">
        <f>CCBASE!$I$23*B500/1000</f>
        <v/>
      </c>
      <c r="L500" s="633" t="n"/>
      <c r="M500" s="633" t="n"/>
      <c r="N500" s="633">
        <f>(CCBASE!$I$7*B293/1000*C293/1000)*0.45</f>
        <v/>
      </c>
      <c r="O500" s="633">
        <f>CCBASE!$I$45*B500/1000</f>
        <v/>
      </c>
      <c r="P500" s="632" t="n"/>
      <c r="Q500" s="632" t="n"/>
      <c r="R500" s="632" t="n"/>
      <c r="S500" s="632" t="n"/>
      <c r="T500" s="632" t="n"/>
      <c r="U500" s="638">
        <f>CCBASE!$I$47</f>
        <v/>
      </c>
      <c r="V500" s="632" t="n"/>
      <c r="W500" s="632" t="n"/>
      <c r="X500" s="632" t="n"/>
      <c r="Y500" s="632" t="n"/>
      <c r="Z500" s="632" t="n"/>
      <c r="AA500" s="632" t="n"/>
      <c r="AB500" s="632" t="n"/>
      <c r="AC500" s="632" t="n"/>
      <c r="AD500" s="632" t="n"/>
    </row>
    <row r="501">
      <c r="A501" s="631" t="inlineStr">
        <is>
          <t>CXW-M</t>
        </is>
      </c>
      <c r="B501" s="631" t="n">
        <v>2000</v>
      </c>
      <c r="C501" s="631" t="n">
        <v>1500</v>
      </c>
      <c r="D501" s="640">
        <f>$A501&amp;B501&amp;C501</f>
        <v/>
      </c>
      <c r="E501" s="1040">
        <f>SUM(G501:AD501)</f>
        <v/>
      </c>
      <c r="F501" s="632" t="n">
        <v>16</v>
      </c>
      <c r="G501" s="633">
        <f>F501*CCBASE!$B$51</f>
        <v/>
      </c>
      <c r="H501" s="633" t="n"/>
      <c r="I501" s="633" t="n"/>
      <c r="J501" s="633" t="n"/>
      <c r="K501" s="633">
        <f>CCBASE!$I$23*B501/1000</f>
        <v/>
      </c>
      <c r="L501" s="633" t="n"/>
      <c r="M501" s="633" t="n"/>
      <c r="N501" s="633">
        <f>(CCBASE!$I$7*B294/1000*C294/1000)*0.45</f>
        <v/>
      </c>
      <c r="O501" s="633">
        <f>CCBASE!$I$45*B501/1000</f>
        <v/>
      </c>
      <c r="P501" s="632" t="n"/>
      <c r="Q501" s="632" t="n"/>
      <c r="R501" s="632" t="n"/>
      <c r="S501" s="632" t="n"/>
      <c r="T501" s="632" t="n"/>
      <c r="U501" s="638">
        <f>CCBASE!$I$47</f>
        <v/>
      </c>
      <c r="V501" s="632" t="n"/>
      <c r="W501" s="632" t="n"/>
      <c r="X501" s="632" t="n"/>
      <c r="Y501" s="632" t="n"/>
      <c r="Z501" s="632" t="n"/>
      <c r="AA501" s="632" t="n"/>
      <c r="AB501" s="632" t="n"/>
      <c r="AC501" s="632" t="n"/>
      <c r="AD501" s="632" t="n"/>
    </row>
    <row r="502">
      <c r="A502" s="631" t="inlineStr">
        <is>
          <t>CXW-M</t>
        </is>
      </c>
      <c r="B502" s="631" t="n">
        <v>2250</v>
      </c>
      <c r="C502" s="631" t="n">
        <v>1500</v>
      </c>
      <c r="D502" s="640">
        <f>$A502&amp;B502&amp;C502</f>
        <v/>
      </c>
      <c r="E502" s="1040">
        <f>SUM(G502:AD502)</f>
        <v/>
      </c>
      <c r="F502" s="632" t="n">
        <v>16</v>
      </c>
      <c r="G502" s="633">
        <f>F502*CCBASE!$B$51</f>
        <v/>
      </c>
      <c r="H502" s="633" t="n"/>
      <c r="I502" s="633" t="n"/>
      <c r="J502" s="633" t="n"/>
      <c r="K502" s="633">
        <f>CCBASE!$I$23*B502/1000</f>
        <v/>
      </c>
      <c r="L502" s="633" t="n"/>
      <c r="M502" s="633" t="n"/>
      <c r="N502" s="633">
        <f>(CCBASE!$I$7*B295/1000*C295/1000)*0.45</f>
        <v/>
      </c>
      <c r="O502" s="633">
        <f>CCBASE!$I$45*B502/1000</f>
        <v/>
      </c>
      <c r="P502" s="632" t="n"/>
      <c r="Q502" s="632" t="n"/>
      <c r="R502" s="632" t="n"/>
      <c r="S502" s="632" t="n"/>
      <c r="T502" s="632" t="n"/>
      <c r="U502" s="638">
        <f>CCBASE!$I$47*2</f>
        <v/>
      </c>
      <c r="V502" s="632" t="n"/>
      <c r="W502" s="632" t="n"/>
      <c r="X502" s="632" t="n"/>
      <c r="Y502" s="632" t="n"/>
      <c r="Z502" s="632" t="n"/>
      <c r="AA502" s="632" t="n"/>
      <c r="AB502" s="632" t="n"/>
      <c r="AC502" s="632" t="n"/>
      <c r="AD502" s="632" t="n"/>
    </row>
    <row r="503">
      <c r="A503" s="631" t="inlineStr">
        <is>
          <t>CXW-M</t>
        </is>
      </c>
      <c r="B503" s="631" t="n">
        <v>2500</v>
      </c>
      <c r="C503" s="631" t="n">
        <v>1500</v>
      </c>
      <c r="D503" s="640">
        <f>$A503&amp;B503&amp;C503</f>
        <v/>
      </c>
      <c r="E503" s="1040">
        <f>SUM(G503:AD503)</f>
        <v/>
      </c>
      <c r="F503" s="632" t="n">
        <v>16</v>
      </c>
      <c r="G503" s="633">
        <f>F503*CCBASE!$B$51</f>
        <v/>
      </c>
      <c r="H503" s="633" t="n"/>
      <c r="I503" s="633" t="n"/>
      <c r="J503" s="633" t="n"/>
      <c r="K503" s="633">
        <f>CCBASE!$I$23*B503/1000</f>
        <v/>
      </c>
      <c r="L503" s="633" t="n"/>
      <c r="M503" s="633" t="n"/>
      <c r="N503" s="633">
        <f>(CCBASE!$I$7*B296/1000*C296/1000)*0.45</f>
        <v/>
      </c>
      <c r="O503" s="633">
        <f>CCBASE!$I$45*B503/1000</f>
        <v/>
      </c>
      <c r="P503" s="632" t="n"/>
      <c r="Q503" s="632" t="n"/>
      <c r="R503" s="632" t="n"/>
      <c r="S503" s="632" t="n"/>
      <c r="T503" s="632" t="n"/>
      <c r="U503" s="638">
        <f>CCBASE!$I$47*2</f>
        <v/>
      </c>
      <c r="V503" s="632" t="n"/>
      <c r="W503" s="632" t="n"/>
      <c r="X503" s="632" t="n"/>
      <c r="Y503" s="632" t="n"/>
      <c r="Z503" s="632" t="n"/>
      <c r="AA503" s="632" t="n"/>
      <c r="AB503" s="632" t="n"/>
      <c r="AC503" s="632" t="n"/>
      <c r="AD503" s="632" t="n"/>
    </row>
    <row r="504">
      <c r="A504" s="631" t="inlineStr">
        <is>
          <t>CXW-M</t>
        </is>
      </c>
      <c r="B504" s="631" t="n">
        <v>2750</v>
      </c>
      <c r="C504" s="631" t="n">
        <v>1500</v>
      </c>
      <c r="D504" s="640">
        <f>$A504&amp;B504&amp;C504</f>
        <v/>
      </c>
      <c r="E504" s="1040">
        <f>SUM(G504:AD504)</f>
        <v/>
      </c>
      <c r="F504" s="632" t="n">
        <v>16</v>
      </c>
      <c r="G504" s="633">
        <f>F504*CCBASE!$B$51</f>
        <v/>
      </c>
      <c r="H504" s="633" t="n"/>
      <c r="I504" s="633" t="n"/>
      <c r="J504" s="633" t="n"/>
      <c r="K504" s="633">
        <f>CCBASE!$I$23*B504/1000</f>
        <v/>
      </c>
      <c r="L504" s="633" t="n"/>
      <c r="M504" s="633" t="n"/>
      <c r="N504" s="633">
        <f>(CCBASE!$I$7*B297/1000*C297/1000)*0.45</f>
        <v/>
      </c>
      <c r="O504" s="633">
        <f>CCBASE!$I$45*B504/1000</f>
        <v/>
      </c>
      <c r="P504" s="632" t="n"/>
      <c r="Q504" s="632" t="n"/>
      <c r="R504" s="632" t="n"/>
      <c r="S504" s="632" t="n"/>
      <c r="T504" s="632" t="n"/>
      <c r="U504" s="638">
        <f>CCBASE!$I$47*2</f>
        <v/>
      </c>
      <c r="V504" s="632" t="n"/>
      <c r="W504" s="632" t="n"/>
      <c r="X504" s="632" t="n"/>
      <c r="Y504" s="632" t="n"/>
      <c r="Z504" s="632" t="n"/>
      <c r="AA504" s="632" t="n"/>
      <c r="AB504" s="632" t="n"/>
      <c r="AC504" s="632" t="n"/>
      <c r="AD504" s="632" t="n"/>
    </row>
    <row r="505">
      <c r="A505" s="631" t="inlineStr">
        <is>
          <t>CXW-M</t>
        </is>
      </c>
      <c r="B505" s="631" t="n">
        <v>3000</v>
      </c>
      <c r="C505" s="631" t="n">
        <v>1500</v>
      </c>
      <c r="D505" s="640">
        <f>$A505&amp;B505&amp;C505</f>
        <v/>
      </c>
      <c r="E505" s="1040">
        <f>SUM(G505:AD505)</f>
        <v/>
      </c>
      <c r="F505" s="632" t="n">
        <v>16</v>
      </c>
      <c r="G505" s="633">
        <f>F505*CCBASE!$B$51</f>
        <v/>
      </c>
      <c r="H505" s="633" t="n"/>
      <c r="I505" s="633" t="n"/>
      <c r="J505" s="633" t="n"/>
      <c r="K505" s="633">
        <f>CCBASE!$I$23*B505/1000</f>
        <v/>
      </c>
      <c r="L505" s="633" t="n"/>
      <c r="M505" s="633" t="n"/>
      <c r="N505" s="633">
        <f>(CCBASE!$I$7*B298/1000*C298/1000)*0.45</f>
        <v/>
      </c>
      <c r="O505" s="633">
        <f>CCBASE!$I$45*B505/1000</f>
        <v/>
      </c>
      <c r="P505" s="632" t="n"/>
      <c r="Q505" s="632" t="n"/>
      <c r="R505" s="632" t="n"/>
      <c r="S505" s="632" t="n"/>
      <c r="T505" s="632" t="n"/>
      <c r="U505" s="638">
        <f>CCBASE!$I$47*2</f>
        <v/>
      </c>
      <c r="V505" s="632" t="n"/>
      <c r="W505" s="632" t="n"/>
      <c r="X505" s="632" t="n"/>
      <c r="Y505" s="632" t="n"/>
      <c r="Z505" s="632" t="n"/>
      <c r="AA505" s="632" t="n"/>
      <c r="AB505" s="632" t="n"/>
      <c r="AC505" s="632" t="n"/>
      <c r="AD505" s="632" t="n"/>
    </row>
    <row r="506">
      <c r="A506" s="631" t="inlineStr">
        <is>
          <t>CXW-M</t>
        </is>
      </c>
      <c r="B506" s="631" t="n">
        <v>1000</v>
      </c>
      <c r="C506" s="631" t="n">
        <v>1750</v>
      </c>
      <c r="D506" s="640">
        <f>$A506&amp;B506&amp;C506</f>
        <v/>
      </c>
      <c r="E506" s="1040">
        <f>SUM(G506:AD506)</f>
        <v/>
      </c>
      <c r="F506" s="632" t="n">
        <v>15</v>
      </c>
      <c r="G506" s="633">
        <f>F506*CCBASE!$B$51</f>
        <v/>
      </c>
      <c r="H506" s="633" t="n"/>
      <c r="I506" s="633" t="n"/>
      <c r="J506" s="633" t="n"/>
      <c r="K506" s="633">
        <f>CCBASE!$I$24*B506/1000</f>
        <v/>
      </c>
      <c r="L506" s="633" t="n"/>
      <c r="M506" s="633" t="n"/>
      <c r="N506" s="633">
        <f>(CCBASE!$I$7*B299/1000*C299/1000)*0.45</f>
        <v/>
      </c>
      <c r="O506" s="633">
        <f>CCBASE!$I$45*B506/1000</f>
        <v/>
      </c>
      <c r="P506" s="632" t="n"/>
      <c r="Q506" s="632" t="n"/>
      <c r="R506" s="632" t="n"/>
      <c r="S506" s="632" t="n"/>
      <c r="T506" s="632" t="n"/>
      <c r="U506" s="638">
        <f>CCBASE!$I$47</f>
        <v/>
      </c>
      <c r="V506" s="632" t="n"/>
      <c r="W506" s="632" t="n"/>
      <c r="X506" s="632" t="n"/>
      <c r="Y506" s="632" t="n"/>
      <c r="Z506" s="632" t="n"/>
      <c r="AA506" s="632" t="n"/>
      <c r="AB506" s="632" t="n"/>
      <c r="AC506" s="632" t="n"/>
      <c r="AD506" s="632" t="n"/>
    </row>
    <row r="507">
      <c r="A507" s="631" t="inlineStr">
        <is>
          <t>CXW-M</t>
        </is>
      </c>
      <c r="B507" s="631" t="n">
        <v>1250</v>
      </c>
      <c r="C507" s="631" t="n">
        <v>1750</v>
      </c>
      <c r="D507" s="640">
        <f>$A507&amp;B507&amp;C507</f>
        <v/>
      </c>
      <c r="E507" s="1040">
        <f>SUM(G507:AD507)</f>
        <v/>
      </c>
      <c r="F507" s="632" t="n">
        <v>15</v>
      </c>
      <c r="G507" s="633">
        <f>F507*CCBASE!$B$51</f>
        <v/>
      </c>
      <c r="H507" s="633" t="n"/>
      <c r="I507" s="633" t="n"/>
      <c r="J507" s="633" t="n"/>
      <c r="K507" s="633">
        <f>CCBASE!$I$24*B507/1000</f>
        <v/>
      </c>
      <c r="L507" s="633" t="n"/>
      <c r="M507" s="633" t="n"/>
      <c r="N507" s="633">
        <f>(CCBASE!$I$7*B300/1000*C300/1000)*0.45</f>
        <v/>
      </c>
      <c r="O507" s="633">
        <f>CCBASE!$I$45*B507/1000</f>
        <v/>
      </c>
      <c r="P507" s="632" t="n"/>
      <c r="Q507" s="632" t="n"/>
      <c r="R507" s="632" t="n"/>
      <c r="S507" s="632" t="n"/>
      <c r="T507" s="632" t="n"/>
      <c r="U507" s="638">
        <f>CCBASE!$I$47</f>
        <v/>
      </c>
      <c r="V507" s="632" t="n"/>
      <c r="W507" s="632" t="n"/>
      <c r="X507" s="632" t="n"/>
      <c r="Y507" s="632" t="n"/>
      <c r="Z507" s="632" t="n"/>
      <c r="AA507" s="632" t="n"/>
      <c r="AB507" s="632" t="n"/>
      <c r="AC507" s="632" t="n"/>
      <c r="AD507" s="632" t="n"/>
    </row>
    <row r="508">
      <c r="A508" s="631" t="inlineStr">
        <is>
          <t>CXW-M</t>
        </is>
      </c>
      <c r="B508" s="631" t="n">
        <v>1500</v>
      </c>
      <c r="C508" s="631" t="n">
        <v>1750</v>
      </c>
      <c r="D508" s="640">
        <f>$A508&amp;B508&amp;C508</f>
        <v/>
      </c>
      <c r="E508" s="1040">
        <f>SUM(G508:AD508)</f>
        <v/>
      </c>
      <c r="F508" s="632" t="n">
        <v>15</v>
      </c>
      <c r="G508" s="633">
        <f>F508*CCBASE!$B$51</f>
        <v/>
      </c>
      <c r="H508" s="633" t="n"/>
      <c r="I508" s="633" t="n"/>
      <c r="J508" s="633" t="n"/>
      <c r="K508" s="633">
        <f>CCBASE!$I$24*B508/1000</f>
        <v/>
      </c>
      <c r="L508" s="633" t="n"/>
      <c r="M508" s="633" t="n"/>
      <c r="N508" s="633">
        <f>(CCBASE!$I$7*B301/1000*C301/1000)*0.45</f>
        <v/>
      </c>
      <c r="O508" s="633">
        <f>CCBASE!$I$45*B508/1000</f>
        <v/>
      </c>
      <c r="P508" s="632" t="n"/>
      <c r="Q508" s="632" t="n"/>
      <c r="R508" s="632" t="n"/>
      <c r="S508" s="632" t="n"/>
      <c r="T508" s="632" t="n"/>
      <c r="U508" s="638">
        <f>CCBASE!$I$47</f>
        <v/>
      </c>
      <c r="V508" s="632" t="n"/>
      <c r="W508" s="632" t="n"/>
      <c r="X508" s="632" t="n"/>
      <c r="Y508" s="632" t="n"/>
      <c r="Z508" s="632" t="n"/>
      <c r="AA508" s="632" t="n"/>
      <c r="AB508" s="632" t="n"/>
      <c r="AC508" s="632" t="n"/>
      <c r="AD508" s="632" t="n"/>
    </row>
    <row r="509">
      <c r="A509" s="631" t="inlineStr">
        <is>
          <t>CXW-M</t>
        </is>
      </c>
      <c r="B509" s="631" t="n">
        <v>1750</v>
      </c>
      <c r="C509" s="631" t="n">
        <v>1750</v>
      </c>
      <c r="D509" s="640">
        <f>$A509&amp;B509&amp;C509</f>
        <v/>
      </c>
      <c r="E509" s="1040">
        <f>SUM(G509:AD509)</f>
        <v/>
      </c>
      <c r="F509" s="632" t="n">
        <v>16</v>
      </c>
      <c r="G509" s="633">
        <f>F509*CCBASE!$B$51</f>
        <v/>
      </c>
      <c r="H509" s="633" t="n"/>
      <c r="I509" s="633" t="n"/>
      <c r="J509" s="633" t="n"/>
      <c r="K509" s="633">
        <f>CCBASE!$I$24*B509/1000</f>
        <v/>
      </c>
      <c r="L509" s="633" t="n"/>
      <c r="M509" s="633" t="n"/>
      <c r="N509" s="633">
        <f>(CCBASE!$I$7*B302/1000*C302/1000)*0.45</f>
        <v/>
      </c>
      <c r="O509" s="633">
        <f>CCBASE!$I$45*B509/1000</f>
        <v/>
      </c>
      <c r="P509" s="632" t="n"/>
      <c r="Q509" s="632" t="n"/>
      <c r="R509" s="632" t="n"/>
      <c r="S509" s="632" t="n"/>
      <c r="T509" s="632" t="n"/>
      <c r="U509" s="638">
        <f>CCBASE!$I$47</f>
        <v/>
      </c>
      <c r="V509" s="632" t="n"/>
      <c r="W509" s="632" t="n"/>
      <c r="X509" s="632" t="n"/>
      <c r="Y509" s="632" t="n"/>
      <c r="Z509" s="632" t="n"/>
      <c r="AA509" s="632" t="n"/>
      <c r="AB509" s="632" t="n"/>
      <c r="AC509" s="632" t="n"/>
      <c r="AD509" s="632" t="n"/>
    </row>
    <row r="510">
      <c r="A510" s="631" t="inlineStr">
        <is>
          <t>CXW-M</t>
        </is>
      </c>
      <c r="B510" s="631" t="n">
        <v>2000</v>
      </c>
      <c r="C510" s="631" t="n">
        <v>1750</v>
      </c>
      <c r="D510" s="640">
        <f>$A510&amp;B510&amp;C510</f>
        <v/>
      </c>
      <c r="E510" s="1040">
        <f>SUM(G510:AD510)</f>
        <v/>
      </c>
      <c r="F510" s="632" t="n">
        <v>16</v>
      </c>
      <c r="G510" s="633">
        <f>F510*CCBASE!$B$51</f>
        <v/>
      </c>
      <c r="H510" s="633" t="n"/>
      <c r="I510" s="633" t="n"/>
      <c r="J510" s="633" t="n"/>
      <c r="K510" s="633">
        <f>CCBASE!$I$24*B510/1000</f>
        <v/>
      </c>
      <c r="L510" s="633" t="n"/>
      <c r="M510" s="633" t="n"/>
      <c r="N510" s="633">
        <f>(CCBASE!$I$7*B303/1000*C303/1000)*0.45</f>
        <v/>
      </c>
      <c r="O510" s="633">
        <f>CCBASE!$I$45*B510/1000</f>
        <v/>
      </c>
      <c r="P510" s="632" t="n"/>
      <c r="Q510" s="632" t="n"/>
      <c r="R510" s="632" t="n"/>
      <c r="S510" s="632" t="n"/>
      <c r="T510" s="632" t="n"/>
      <c r="U510" s="638">
        <f>CCBASE!$I$47</f>
        <v/>
      </c>
      <c r="V510" s="632" t="n"/>
      <c r="W510" s="632" t="n"/>
      <c r="X510" s="632" t="n"/>
      <c r="Y510" s="632" t="n"/>
      <c r="Z510" s="632" t="n"/>
      <c r="AA510" s="632" t="n"/>
      <c r="AB510" s="632" t="n"/>
      <c r="AC510" s="632" t="n"/>
      <c r="AD510" s="632" t="n"/>
    </row>
    <row r="511">
      <c r="A511" s="631" t="inlineStr">
        <is>
          <t>CXW-M</t>
        </is>
      </c>
      <c r="B511" s="631" t="n">
        <v>2250</v>
      </c>
      <c r="C511" s="631" t="n">
        <v>1750</v>
      </c>
      <c r="D511" s="640">
        <f>$A511&amp;B511&amp;C511</f>
        <v/>
      </c>
      <c r="E511" s="1040">
        <f>SUM(G511:AD511)</f>
        <v/>
      </c>
      <c r="F511" s="632" t="n">
        <v>16</v>
      </c>
      <c r="G511" s="633">
        <f>F511*CCBASE!$B$51</f>
        <v/>
      </c>
      <c r="H511" s="633" t="n"/>
      <c r="I511" s="633" t="n"/>
      <c r="J511" s="633" t="n"/>
      <c r="K511" s="633">
        <f>CCBASE!$I$24*B511/1000</f>
        <v/>
      </c>
      <c r="L511" s="633" t="n"/>
      <c r="M511" s="633" t="n"/>
      <c r="N511" s="633">
        <f>(CCBASE!$I$7*B304/1000*C304/1000)*0.45</f>
        <v/>
      </c>
      <c r="O511" s="633">
        <f>CCBASE!$I$45*B511/1000</f>
        <v/>
      </c>
      <c r="P511" s="632" t="n"/>
      <c r="Q511" s="632" t="n"/>
      <c r="R511" s="632" t="n"/>
      <c r="S511" s="632" t="n"/>
      <c r="T511" s="632" t="n"/>
      <c r="U511" s="638">
        <f>CCBASE!$I$47*2</f>
        <v/>
      </c>
      <c r="V511" s="632" t="n"/>
      <c r="W511" s="632" t="n"/>
      <c r="X511" s="632" t="n"/>
      <c r="Y511" s="632" t="n"/>
      <c r="Z511" s="632" t="n"/>
      <c r="AA511" s="632" t="n"/>
      <c r="AB511" s="632" t="n"/>
      <c r="AC511" s="632" t="n"/>
      <c r="AD511" s="632" t="n"/>
    </row>
    <row r="512">
      <c r="A512" s="631" t="inlineStr">
        <is>
          <t>CXW-M</t>
        </is>
      </c>
      <c r="B512" s="631" t="n">
        <v>2500</v>
      </c>
      <c r="C512" s="631" t="n">
        <v>1750</v>
      </c>
      <c r="D512" s="640">
        <f>$A512&amp;B512&amp;C512</f>
        <v/>
      </c>
      <c r="E512" s="1040">
        <f>SUM(G512:AD512)</f>
        <v/>
      </c>
      <c r="F512" s="632" t="n">
        <v>16</v>
      </c>
      <c r="G512" s="633">
        <f>F512*CCBASE!$B$51</f>
        <v/>
      </c>
      <c r="H512" s="633" t="n"/>
      <c r="I512" s="633" t="n"/>
      <c r="J512" s="633" t="n"/>
      <c r="K512" s="633">
        <f>CCBASE!$I$24*B512/1000</f>
        <v/>
      </c>
      <c r="L512" s="633" t="n"/>
      <c r="M512" s="633" t="n"/>
      <c r="N512" s="633">
        <f>(CCBASE!$I$7*B305/1000*C305/1000)*0.45</f>
        <v/>
      </c>
      <c r="O512" s="633">
        <f>CCBASE!$I$45*B512/1000</f>
        <v/>
      </c>
      <c r="P512" s="632" t="n"/>
      <c r="Q512" s="632" t="n"/>
      <c r="R512" s="632" t="n"/>
      <c r="S512" s="632" t="n"/>
      <c r="T512" s="632" t="n"/>
      <c r="U512" s="638">
        <f>CCBASE!$I$47*2</f>
        <v/>
      </c>
      <c r="V512" s="632" t="n"/>
      <c r="W512" s="632" t="n"/>
      <c r="X512" s="632" t="n"/>
      <c r="Y512" s="632" t="n"/>
      <c r="Z512" s="632" t="n"/>
      <c r="AA512" s="632" t="n"/>
      <c r="AB512" s="632" t="n"/>
      <c r="AC512" s="632" t="n"/>
      <c r="AD512" s="632" t="n"/>
    </row>
    <row r="513">
      <c r="A513" s="631" t="inlineStr">
        <is>
          <t>CXW-M</t>
        </is>
      </c>
      <c r="B513" s="631" t="n">
        <v>2750</v>
      </c>
      <c r="C513" s="631" t="n">
        <v>1750</v>
      </c>
      <c r="D513" s="640">
        <f>$A513&amp;B513&amp;C513</f>
        <v/>
      </c>
      <c r="E513" s="1040">
        <f>SUM(G513:AD513)</f>
        <v/>
      </c>
      <c r="F513" s="632" t="n">
        <v>16</v>
      </c>
      <c r="G513" s="633">
        <f>F513*CCBASE!$B$51</f>
        <v/>
      </c>
      <c r="H513" s="633" t="n"/>
      <c r="I513" s="633" t="n"/>
      <c r="J513" s="633" t="n"/>
      <c r="K513" s="633">
        <f>CCBASE!$I$24*B513/1000</f>
        <v/>
      </c>
      <c r="L513" s="633" t="n"/>
      <c r="M513" s="633" t="n"/>
      <c r="N513" s="633">
        <f>(CCBASE!$I$7*B306/1000*C306/1000)*0.45</f>
        <v/>
      </c>
      <c r="O513" s="633">
        <f>CCBASE!$I$45*B513/1000</f>
        <v/>
      </c>
      <c r="P513" s="632" t="n"/>
      <c r="Q513" s="632" t="n"/>
      <c r="R513" s="632" t="n"/>
      <c r="S513" s="632" t="n"/>
      <c r="T513" s="632" t="n"/>
      <c r="U513" s="638">
        <f>CCBASE!$I$47*2</f>
        <v/>
      </c>
      <c r="V513" s="632" t="n"/>
      <c r="W513" s="632" t="n"/>
      <c r="X513" s="632" t="n"/>
      <c r="Y513" s="632" t="n"/>
      <c r="Z513" s="632" t="n"/>
      <c r="AA513" s="632" t="n"/>
      <c r="AB513" s="632" t="n"/>
      <c r="AC513" s="632" t="n"/>
      <c r="AD513" s="632" t="n"/>
    </row>
    <row r="514">
      <c r="A514" s="631" t="inlineStr">
        <is>
          <t>CXW-M</t>
        </is>
      </c>
      <c r="B514" s="631" t="n">
        <v>3000</v>
      </c>
      <c r="C514" s="631" t="n">
        <v>1750</v>
      </c>
      <c r="D514" s="640">
        <f>$A514&amp;B514&amp;C514</f>
        <v/>
      </c>
      <c r="E514" s="1040">
        <f>SUM(G514:AD514)</f>
        <v/>
      </c>
      <c r="F514" s="632" t="n">
        <v>16</v>
      </c>
      <c r="G514" s="633">
        <f>F514*CCBASE!$B$51</f>
        <v/>
      </c>
      <c r="H514" s="633" t="n"/>
      <c r="I514" s="633" t="n"/>
      <c r="J514" s="633" t="n"/>
      <c r="K514" s="633">
        <f>CCBASE!$I$24*B514/1000</f>
        <v/>
      </c>
      <c r="L514" s="633" t="n"/>
      <c r="M514" s="633" t="n"/>
      <c r="N514" s="633">
        <f>(CCBASE!$I$7*B307/1000*C307/1000)*0.45</f>
        <v/>
      </c>
      <c r="O514" s="633">
        <f>CCBASE!$I$45*B514/1000</f>
        <v/>
      </c>
      <c r="P514" s="632" t="n"/>
      <c r="Q514" s="632" t="n"/>
      <c r="R514" s="632" t="n"/>
      <c r="S514" s="632" t="n"/>
      <c r="T514" s="632" t="n"/>
      <c r="U514" s="638">
        <f>CCBASE!$I$47*2</f>
        <v/>
      </c>
      <c r="V514" s="632" t="n"/>
      <c r="W514" s="632" t="n"/>
      <c r="X514" s="632" t="n"/>
      <c r="Y514" s="632" t="n"/>
      <c r="Z514" s="632" t="n"/>
      <c r="AA514" s="632" t="n"/>
      <c r="AB514" s="632" t="n"/>
      <c r="AC514" s="632" t="n"/>
      <c r="AD514" s="632" t="n"/>
    </row>
    <row r="515">
      <c r="A515" s="631" t="inlineStr">
        <is>
          <t>CXW-M</t>
        </is>
      </c>
      <c r="B515" s="631" t="n">
        <v>1000</v>
      </c>
      <c r="C515" s="631" t="n">
        <v>2000</v>
      </c>
      <c r="D515" s="640">
        <f>$A515&amp;B515&amp;C515</f>
        <v/>
      </c>
      <c r="E515" s="1040">
        <f>SUM(G515:AD515)</f>
        <v/>
      </c>
      <c r="F515" s="632" t="n">
        <v>15</v>
      </c>
      <c r="G515" s="633">
        <f>F515*CCBASE!$B$51</f>
        <v/>
      </c>
      <c r="H515" s="633" t="n"/>
      <c r="I515" s="633" t="n"/>
      <c r="J515" s="633" t="n"/>
      <c r="K515" s="633">
        <f>CCBASE!$I$25*B515/1000</f>
        <v/>
      </c>
      <c r="L515" s="633" t="n"/>
      <c r="M515" s="633" t="n"/>
      <c r="N515" s="633">
        <f>(CCBASE!$I$7*B317/1000*C317/1000)*0.45</f>
        <v/>
      </c>
      <c r="O515" s="633">
        <f>CCBASE!$I$45*B515/1000</f>
        <v/>
      </c>
      <c r="P515" s="632" t="n"/>
      <c r="Q515" s="632" t="n"/>
      <c r="R515" s="632" t="n"/>
      <c r="S515" s="632" t="n"/>
      <c r="T515" s="632" t="n"/>
      <c r="U515" s="638">
        <f>CCBASE!$I$47</f>
        <v/>
      </c>
      <c r="V515" s="632" t="n"/>
      <c r="W515" s="632" t="n"/>
      <c r="X515" s="632" t="n"/>
      <c r="Y515" s="632" t="n"/>
      <c r="Z515" s="632" t="n"/>
      <c r="AA515" s="632" t="n"/>
      <c r="AB515" s="632" t="n"/>
      <c r="AC515" s="632" t="n"/>
      <c r="AD515" s="632" t="n"/>
    </row>
    <row r="516">
      <c r="A516" s="631" t="inlineStr">
        <is>
          <t>CXW-M</t>
        </is>
      </c>
      <c r="B516" s="631" t="n">
        <v>1250</v>
      </c>
      <c r="C516" s="631" t="n">
        <v>2000</v>
      </c>
      <c r="D516" s="640">
        <f>$A516&amp;B516&amp;C516</f>
        <v/>
      </c>
      <c r="E516" s="1040">
        <f>SUM(G516:AD516)</f>
        <v/>
      </c>
      <c r="F516" s="632" t="n">
        <v>15</v>
      </c>
      <c r="G516" s="633">
        <f>F516*CCBASE!$B$51</f>
        <v/>
      </c>
      <c r="H516" s="633" t="n"/>
      <c r="I516" s="633" t="n"/>
      <c r="J516" s="633" t="n"/>
      <c r="K516" s="633">
        <f>CCBASE!$I$25*B516/1000</f>
        <v/>
      </c>
      <c r="L516" s="633" t="n"/>
      <c r="M516" s="633" t="n"/>
      <c r="N516" s="633">
        <f>(CCBASE!$I$7*B318/1000*C318/1000)*0.45</f>
        <v/>
      </c>
      <c r="O516" s="633">
        <f>CCBASE!$I$45*B516/1000</f>
        <v/>
      </c>
      <c r="P516" s="632" t="n"/>
      <c r="Q516" s="632" t="n"/>
      <c r="R516" s="632" t="n"/>
      <c r="S516" s="632" t="n"/>
      <c r="T516" s="632" t="n"/>
      <c r="U516" s="638">
        <f>CCBASE!$I$47</f>
        <v/>
      </c>
      <c r="V516" s="632" t="n"/>
      <c r="W516" s="632" t="n"/>
      <c r="X516" s="632" t="n"/>
      <c r="Y516" s="632" t="n"/>
      <c r="Z516" s="632" t="n"/>
      <c r="AA516" s="632" t="n"/>
      <c r="AB516" s="632" t="n"/>
      <c r="AC516" s="632" t="n"/>
      <c r="AD516" s="632" t="n"/>
    </row>
    <row r="517">
      <c r="A517" s="631" t="inlineStr">
        <is>
          <t>CXW-M</t>
        </is>
      </c>
      <c r="B517" s="631" t="n">
        <v>1500</v>
      </c>
      <c r="C517" s="631" t="n">
        <v>2000</v>
      </c>
      <c r="D517" s="640">
        <f>$A517&amp;B517&amp;C517</f>
        <v/>
      </c>
      <c r="E517" s="1040">
        <f>SUM(G517:AD517)</f>
        <v/>
      </c>
      <c r="F517" s="632" t="n">
        <v>15</v>
      </c>
      <c r="G517" s="633">
        <f>F517*CCBASE!$B$51</f>
        <v/>
      </c>
      <c r="H517" s="633" t="n"/>
      <c r="I517" s="633" t="n"/>
      <c r="J517" s="633" t="n"/>
      <c r="K517" s="633">
        <f>CCBASE!$I$25*B517/1000</f>
        <v/>
      </c>
      <c r="L517" s="633" t="n"/>
      <c r="M517" s="633" t="n"/>
      <c r="N517" s="633">
        <f>(CCBASE!$I$7*B319/1000*C319/1000)*0.45</f>
        <v/>
      </c>
      <c r="O517" s="633">
        <f>CCBASE!$I$45*B517/1000</f>
        <v/>
      </c>
      <c r="P517" s="632" t="n"/>
      <c r="Q517" s="632" t="n"/>
      <c r="R517" s="632" t="n"/>
      <c r="S517" s="632" t="n"/>
      <c r="T517" s="632" t="n"/>
      <c r="U517" s="638">
        <f>CCBASE!$I$47</f>
        <v/>
      </c>
      <c r="V517" s="632" t="n"/>
      <c r="W517" s="632" t="n"/>
      <c r="X517" s="632" t="n"/>
      <c r="Y517" s="632" t="n"/>
      <c r="Z517" s="632" t="n"/>
      <c r="AA517" s="632" t="n"/>
      <c r="AB517" s="632" t="n"/>
      <c r="AC517" s="632" t="n"/>
      <c r="AD517" s="632" t="n"/>
    </row>
    <row r="518">
      <c r="A518" s="631" t="inlineStr">
        <is>
          <t>CXW-M</t>
        </is>
      </c>
      <c r="B518" s="631" t="n">
        <v>1750</v>
      </c>
      <c r="C518" s="631" t="n">
        <v>2000</v>
      </c>
      <c r="D518" s="640">
        <f>$A518&amp;B518&amp;C518</f>
        <v/>
      </c>
      <c r="E518" s="1040">
        <f>SUM(G518:AD518)</f>
        <v/>
      </c>
      <c r="F518" s="632" t="n">
        <v>16</v>
      </c>
      <c r="G518" s="633">
        <f>F518*CCBASE!$B$51</f>
        <v/>
      </c>
      <c r="H518" s="633" t="n"/>
      <c r="I518" s="633" t="n"/>
      <c r="J518" s="633" t="n"/>
      <c r="K518" s="633">
        <f>CCBASE!$I$25*B518/1000</f>
        <v/>
      </c>
      <c r="L518" s="633" t="n"/>
      <c r="M518" s="633" t="n"/>
      <c r="N518" s="633">
        <f>(CCBASE!$I$7*B320/1000*C320/1000)*0.45</f>
        <v/>
      </c>
      <c r="O518" s="633">
        <f>CCBASE!$I$45*B518/1000</f>
        <v/>
      </c>
      <c r="P518" s="632" t="n"/>
      <c r="Q518" s="632" t="n"/>
      <c r="R518" s="632" t="n"/>
      <c r="S518" s="632" t="n"/>
      <c r="T518" s="632" t="n"/>
      <c r="U518" s="638">
        <f>CCBASE!$I$47</f>
        <v/>
      </c>
      <c r="V518" s="632" t="n"/>
      <c r="W518" s="632" t="n"/>
      <c r="X518" s="632" t="n"/>
      <c r="Y518" s="632" t="n"/>
      <c r="Z518" s="632" t="n"/>
      <c r="AA518" s="632" t="n"/>
      <c r="AB518" s="632" t="n"/>
      <c r="AC518" s="632" t="n"/>
      <c r="AD518" s="632" t="n"/>
    </row>
    <row r="519">
      <c r="A519" s="631" t="inlineStr">
        <is>
          <t>CXW-M</t>
        </is>
      </c>
      <c r="B519" s="631" t="n">
        <v>2000</v>
      </c>
      <c r="C519" s="631" t="n">
        <v>2000</v>
      </c>
      <c r="D519" s="640">
        <f>$A519&amp;B519&amp;C519</f>
        <v/>
      </c>
      <c r="E519" s="1040">
        <f>SUM(G519:AD519)</f>
        <v/>
      </c>
      <c r="F519" s="632" t="n">
        <v>16</v>
      </c>
      <c r="G519" s="633">
        <f>F519*CCBASE!$B$51</f>
        <v/>
      </c>
      <c r="H519" s="633" t="n"/>
      <c r="I519" s="633" t="n"/>
      <c r="J519" s="633" t="n"/>
      <c r="K519" s="633">
        <f>CCBASE!$I$25*B519/1000</f>
        <v/>
      </c>
      <c r="L519" s="633" t="n"/>
      <c r="M519" s="633" t="n"/>
      <c r="N519" s="633">
        <f>(CCBASE!$I$7*B321/1000*C321/1000)*0.45</f>
        <v/>
      </c>
      <c r="O519" s="633">
        <f>CCBASE!$I$45*B519/1000</f>
        <v/>
      </c>
      <c r="P519" s="632" t="n"/>
      <c r="Q519" s="632" t="n"/>
      <c r="R519" s="632" t="n"/>
      <c r="S519" s="632" t="n"/>
      <c r="T519" s="632" t="n"/>
      <c r="U519" s="638">
        <f>CCBASE!$I$47</f>
        <v/>
      </c>
      <c r="V519" s="632" t="n"/>
      <c r="W519" s="632" t="n"/>
      <c r="X519" s="632" t="n"/>
      <c r="Y519" s="632" t="n"/>
      <c r="Z519" s="632" t="n"/>
      <c r="AA519" s="632" t="n"/>
      <c r="AB519" s="632" t="n"/>
      <c r="AC519" s="632" t="n"/>
      <c r="AD519" s="632" t="n"/>
    </row>
    <row r="520">
      <c r="A520" s="631" t="inlineStr">
        <is>
          <t>CXW-M</t>
        </is>
      </c>
      <c r="B520" s="631" t="n">
        <v>2250</v>
      </c>
      <c r="C520" s="631" t="n">
        <v>2000</v>
      </c>
      <c r="D520" s="640">
        <f>$A520&amp;B520&amp;C520</f>
        <v/>
      </c>
      <c r="E520" s="1040">
        <f>SUM(G520:AD520)</f>
        <v/>
      </c>
      <c r="F520" s="632" t="n">
        <v>16</v>
      </c>
      <c r="G520" s="633">
        <f>F520*CCBASE!$B$51</f>
        <v/>
      </c>
      <c r="H520" s="633" t="n"/>
      <c r="I520" s="633" t="n"/>
      <c r="J520" s="633" t="n"/>
      <c r="K520" s="633">
        <f>CCBASE!$I$25*B520/1000</f>
        <v/>
      </c>
      <c r="L520" s="633" t="n"/>
      <c r="M520" s="633" t="n"/>
      <c r="N520" s="633">
        <f>(CCBASE!$I$7*B322/1000*C322/1000)*0.45</f>
        <v/>
      </c>
      <c r="O520" s="633">
        <f>CCBASE!$I$45*B520/1000</f>
        <v/>
      </c>
      <c r="P520" s="632" t="n"/>
      <c r="Q520" s="632" t="n"/>
      <c r="R520" s="632" t="n"/>
      <c r="S520" s="632" t="n"/>
      <c r="T520" s="632" t="n"/>
      <c r="U520" s="638">
        <f>CCBASE!$I$47*2</f>
        <v/>
      </c>
      <c r="V520" s="632" t="n"/>
      <c r="W520" s="632" t="n"/>
      <c r="X520" s="632" t="n"/>
      <c r="Y520" s="632" t="n"/>
      <c r="Z520" s="632" t="n"/>
      <c r="AA520" s="632" t="n"/>
      <c r="AB520" s="632" t="n"/>
      <c r="AC520" s="632" t="n"/>
      <c r="AD520" s="632" t="n"/>
    </row>
    <row r="521">
      <c r="A521" s="631" t="inlineStr">
        <is>
          <t>CXW-M</t>
        </is>
      </c>
      <c r="B521" s="631" t="n">
        <v>2500</v>
      </c>
      <c r="C521" s="631" t="n">
        <v>2000</v>
      </c>
      <c r="D521" s="640">
        <f>$A521&amp;B521&amp;C521</f>
        <v/>
      </c>
      <c r="E521" s="1040">
        <f>SUM(G521:AD521)</f>
        <v/>
      </c>
      <c r="F521" s="632" t="n">
        <v>16</v>
      </c>
      <c r="G521" s="633">
        <f>F521*CCBASE!$B$51</f>
        <v/>
      </c>
      <c r="H521" s="633" t="n"/>
      <c r="I521" s="633" t="n"/>
      <c r="J521" s="633" t="n"/>
      <c r="K521" s="633">
        <f>CCBASE!$I$25*B521/1000</f>
        <v/>
      </c>
      <c r="L521" s="633" t="n"/>
      <c r="M521" s="633" t="n"/>
      <c r="N521" s="633">
        <f>(CCBASE!$I$7*B323/1000*C323/1000)*0.45</f>
        <v/>
      </c>
      <c r="O521" s="633">
        <f>CCBASE!$I$45*B521/1000</f>
        <v/>
      </c>
      <c r="P521" s="632" t="n"/>
      <c r="Q521" s="632" t="n"/>
      <c r="R521" s="632" t="n"/>
      <c r="S521" s="632" t="n"/>
      <c r="T521" s="632" t="n"/>
      <c r="U521" s="638">
        <f>CCBASE!$I$47*2</f>
        <v/>
      </c>
      <c r="V521" s="632" t="n"/>
      <c r="W521" s="632" t="n"/>
      <c r="X521" s="632" t="n"/>
      <c r="Y521" s="632" t="n"/>
      <c r="Z521" s="632" t="n"/>
      <c r="AA521" s="632" t="n"/>
      <c r="AB521" s="632" t="n"/>
      <c r="AC521" s="632" t="n"/>
      <c r="AD521" s="632" t="n"/>
    </row>
    <row r="522">
      <c r="A522" s="631" t="inlineStr">
        <is>
          <t>CXW-M</t>
        </is>
      </c>
      <c r="B522" s="631" t="n">
        <v>2750</v>
      </c>
      <c r="C522" s="631" t="n">
        <v>2000</v>
      </c>
      <c r="D522" s="640">
        <f>$A522&amp;B522&amp;C522</f>
        <v/>
      </c>
      <c r="E522" s="1040">
        <f>SUM(G522:AD522)</f>
        <v/>
      </c>
      <c r="F522" s="632" t="n">
        <v>16</v>
      </c>
      <c r="G522" s="633">
        <f>F522*CCBASE!$B$51</f>
        <v/>
      </c>
      <c r="H522" s="633" t="n"/>
      <c r="I522" s="633" t="n"/>
      <c r="J522" s="633" t="n"/>
      <c r="K522" s="633">
        <f>CCBASE!$I$25*B522/1000</f>
        <v/>
      </c>
      <c r="L522" s="633" t="n"/>
      <c r="M522" s="633" t="n"/>
      <c r="N522" s="633">
        <f>(CCBASE!$I$7*B324/1000*C324/1000)*0.45</f>
        <v/>
      </c>
      <c r="O522" s="633">
        <f>CCBASE!$I$45*B522/1000</f>
        <v/>
      </c>
      <c r="P522" s="632" t="n"/>
      <c r="Q522" s="632" t="n"/>
      <c r="R522" s="632" t="n"/>
      <c r="S522" s="632" t="n"/>
      <c r="T522" s="632" t="n"/>
      <c r="U522" s="638">
        <f>CCBASE!$I$47*2</f>
        <v/>
      </c>
      <c r="V522" s="632" t="n"/>
      <c r="W522" s="632" t="n"/>
      <c r="X522" s="632" t="n"/>
      <c r="Y522" s="632" t="n"/>
      <c r="Z522" s="632" t="n"/>
      <c r="AA522" s="632" t="n"/>
      <c r="AB522" s="632" t="n"/>
      <c r="AC522" s="632" t="n"/>
      <c r="AD522" s="632" t="n"/>
    </row>
    <row r="523">
      <c r="A523" s="631" t="inlineStr">
        <is>
          <t>CXW-M</t>
        </is>
      </c>
      <c r="B523" s="631" t="n">
        <v>3000</v>
      </c>
      <c r="C523" s="631" t="n">
        <v>2000</v>
      </c>
      <c r="D523" s="640">
        <f>$A523&amp;B523&amp;C523</f>
        <v/>
      </c>
      <c r="E523" s="1040">
        <f>SUM(G523:AD523)</f>
        <v/>
      </c>
      <c r="F523" s="632" t="n">
        <v>16</v>
      </c>
      <c r="G523" s="633">
        <f>F523*CCBASE!$B$51</f>
        <v/>
      </c>
      <c r="H523" s="633" t="n"/>
      <c r="I523" s="633" t="n"/>
      <c r="J523" s="633" t="n"/>
      <c r="K523" s="633">
        <f>CCBASE!$I$25*B523/1000</f>
        <v/>
      </c>
      <c r="L523" s="633" t="n"/>
      <c r="M523" s="633" t="n"/>
      <c r="N523" s="633">
        <f>(CCBASE!$I$7*B325/1000*C325/1000)*0.45</f>
        <v/>
      </c>
      <c r="O523" s="633">
        <f>CCBASE!$I$45*B523/1000</f>
        <v/>
      </c>
      <c r="P523" s="632" t="n"/>
      <c r="Q523" s="632" t="n"/>
      <c r="R523" s="632" t="n"/>
      <c r="S523" s="632" t="n"/>
      <c r="T523" s="632" t="n"/>
      <c r="U523" s="638">
        <f>CCBASE!$I$47*2</f>
        <v/>
      </c>
      <c r="V523" s="632" t="n"/>
      <c r="W523" s="632" t="n"/>
      <c r="X523" s="632" t="n"/>
      <c r="Y523" s="632" t="n"/>
      <c r="Z523" s="632" t="n"/>
      <c r="AA523" s="632" t="n"/>
      <c r="AB523" s="632" t="n"/>
      <c r="AC523" s="632" t="n"/>
      <c r="AD523" s="632" t="n"/>
    </row>
    <row r="524">
      <c r="A524" s="631" t="inlineStr">
        <is>
          <t>KVV</t>
        </is>
      </c>
      <c r="B524" s="631" t="n">
        <v>1000</v>
      </c>
      <c r="C524" s="631" t="n">
        <v>1000</v>
      </c>
      <c r="D524" s="640">
        <f>$A524&amp;B524&amp;C524</f>
        <v/>
      </c>
      <c r="E524" s="1040">
        <f>SUM(G524:AD524)</f>
        <v/>
      </c>
      <c r="F524" s="632" t="n">
        <v>10</v>
      </c>
      <c r="G524" s="633">
        <f>F524*CCBASE!$B$51</f>
        <v/>
      </c>
      <c r="H524" s="633" t="n"/>
      <c r="I524" s="633" t="n"/>
      <c r="J524" s="633">
        <f>CCBASE!$I$26*B524/1000</f>
        <v/>
      </c>
      <c r="K524" s="633" t="n"/>
      <c r="L524" s="633" t="n"/>
      <c r="M524" s="633" t="n"/>
      <c r="N524" s="633" t="n"/>
      <c r="O524" s="633" t="n"/>
      <c r="P524" s="632" t="n"/>
      <c r="Q524" s="632" t="n"/>
      <c r="R524" s="632" t="n"/>
      <c r="S524" s="632" t="n"/>
      <c r="T524" s="632" t="n"/>
      <c r="U524" s="632" t="n"/>
      <c r="V524" s="632" t="n"/>
      <c r="W524" s="632" t="n"/>
      <c r="X524" s="632" t="n"/>
      <c r="Y524" s="632" t="n"/>
      <c r="Z524" s="632" t="n"/>
      <c r="AA524" s="632" t="n"/>
      <c r="AB524" s="632" t="n"/>
      <c r="AC524" s="632" t="n"/>
      <c r="AD524" s="632" t="n"/>
    </row>
    <row r="525">
      <c r="A525" s="631" t="inlineStr">
        <is>
          <t>KVV</t>
        </is>
      </c>
      <c r="B525" s="631" t="n">
        <v>1250</v>
      </c>
      <c r="C525" s="631" t="n">
        <v>1000</v>
      </c>
      <c r="D525" s="640">
        <f>$A525&amp;B525&amp;C525</f>
        <v/>
      </c>
      <c r="E525" s="1040">
        <f>SUM(G525:AD525)</f>
        <v/>
      </c>
      <c r="F525" s="632" t="n">
        <v>10</v>
      </c>
      <c r="G525" s="633">
        <f>F525*CCBASE!$B$51</f>
        <v/>
      </c>
      <c r="H525" s="633" t="n"/>
      <c r="I525" s="633" t="n"/>
      <c r="J525" s="633">
        <f>CCBASE!$I$26*B525/1000</f>
        <v/>
      </c>
      <c r="K525" s="633" t="n"/>
      <c r="L525" s="633" t="n"/>
      <c r="M525" s="633" t="n"/>
      <c r="N525" s="633" t="n"/>
      <c r="O525" s="633" t="n"/>
      <c r="P525" s="632" t="n"/>
      <c r="Q525" s="632" t="n"/>
      <c r="R525" s="632" t="n"/>
      <c r="S525" s="632" t="n"/>
      <c r="T525" s="632" t="n"/>
      <c r="U525" s="632" t="n"/>
      <c r="V525" s="632" t="n"/>
      <c r="W525" s="632" t="n"/>
      <c r="X525" s="632" t="n"/>
      <c r="Y525" s="632" t="n"/>
      <c r="Z525" s="632" t="n"/>
      <c r="AA525" s="632" t="n"/>
      <c r="AB525" s="632" t="n"/>
      <c r="AC525" s="632" t="n"/>
      <c r="AD525" s="632" t="n"/>
    </row>
    <row r="526">
      <c r="A526" s="631" t="inlineStr">
        <is>
          <t>KVV</t>
        </is>
      </c>
      <c r="B526" s="631" t="n">
        <v>1500</v>
      </c>
      <c r="C526" s="631" t="n">
        <v>1000</v>
      </c>
      <c r="D526" s="640">
        <f>$A526&amp;B526&amp;C526</f>
        <v/>
      </c>
      <c r="E526" s="1040">
        <f>SUM(G526:AD526)</f>
        <v/>
      </c>
      <c r="F526" s="632" t="n">
        <v>10</v>
      </c>
      <c r="G526" s="633">
        <f>F526*CCBASE!$B$51</f>
        <v/>
      </c>
      <c r="H526" s="633" t="n"/>
      <c r="I526" s="633" t="n"/>
      <c r="J526" s="633">
        <f>CCBASE!$I$26*B526/1000</f>
        <v/>
      </c>
      <c r="K526" s="633" t="n"/>
      <c r="L526" s="633" t="n"/>
      <c r="M526" s="633" t="n"/>
      <c r="N526" s="633" t="n"/>
      <c r="O526" s="633" t="n"/>
      <c r="P526" s="632" t="n"/>
      <c r="Q526" s="632" t="n"/>
      <c r="R526" s="632" t="n"/>
      <c r="S526" s="632" t="n"/>
      <c r="T526" s="632" t="n"/>
      <c r="U526" s="632" t="n"/>
      <c r="V526" s="632" t="n"/>
      <c r="W526" s="632" t="n"/>
      <c r="X526" s="632" t="n"/>
      <c r="Y526" s="632" t="n"/>
      <c r="Z526" s="632" t="n"/>
      <c r="AA526" s="632" t="n"/>
      <c r="AB526" s="632" t="n"/>
      <c r="AC526" s="632" t="n"/>
      <c r="AD526" s="632" t="n"/>
    </row>
    <row r="527">
      <c r="A527" s="631" t="inlineStr">
        <is>
          <t>KVV</t>
        </is>
      </c>
      <c r="B527" s="631" t="n">
        <v>1750</v>
      </c>
      <c r="C527" s="631" t="n">
        <v>1000</v>
      </c>
      <c r="D527" s="640">
        <f>$A527&amp;B527&amp;C527</f>
        <v/>
      </c>
      <c r="E527" s="1040">
        <f>SUM(G527:AD527)</f>
        <v/>
      </c>
      <c r="F527" s="632" t="n">
        <v>12</v>
      </c>
      <c r="G527" s="633">
        <f>F527*CCBASE!$B$51</f>
        <v/>
      </c>
      <c r="H527" s="633" t="n"/>
      <c r="I527" s="633" t="n"/>
      <c r="J527" s="633">
        <f>CCBASE!$I$26*B527/1000</f>
        <v/>
      </c>
      <c r="K527" s="633" t="n"/>
      <c r="L527" s="633" t="n"/>
      <c r="M527" s="633" t="n"/>
      <c r="N527" s="633" t="n"/>
      <c r="O527" s="633" t="n"/>
      <c r="P527" s="632" t="n"/>
      <c r="Q527" s="632" t="n"/>
      <c r="R527" s="632" t="n"/>
      <c r="S527" s="632" t="n"/>
      <c r="T527" s="632" t="n"/>
      <c r="U527" s="632" t="n"/>
      <c r="V527" s="632" t="n"/>
      <c r="W527" s="632" t="n"/>
      <c r="X527" s="632" t="n"/>
      <c r="Y527" s="632" t="n"/>
      <c r="Z527" s="632" t="n"/>
      <c r="AA527" s="632" t="n"/>
      <c r="AB527" s="632" t="n"/>
      <c r="AC527" s="632" t="n"/>
      <c r="AD527" s="632" t="n"/>
    </row>
    <row r="528">
      <c r="A528" s="631" t="inlineStr">
        <is>
          <t>KVV</t>
        </is>
      </c>
      <c r="B528" s="631" t="n">
        <v>2000</v>
      </c>
      <c r="C528" s="631" t="n">
        <v>1000</v>
      </c>
      <c r="D528" s="640">
        <f>$A528&amp;B528&amp;C528</f>
        <v/>
      </c>
      <c r="E528" s="1040">
        <f>SUM(G528:AD528)</f>
        <v/>
      </c>
      <c r="F528" s="632" t="n">
        <v>12</v>
      </c>
      <c r="G528" s="633">
        <f>F528*CCBASE!$B$51</f>
        <v/>
      </c>
      <c r="H528" s="633" t="n"/>
      <c r="I528" s="633" t="n"/>
      <c r="J528" s="633">
        <f>CCBASE!$I$26*B528/1000</f>
        <v/>
      </c>
      <c r="K528" s="633" t="n"/>
      <c r="L528" s="633" t="n"/>
      <c r="M528" s="633" t="n"/>
      <c r="N528" s="633" t="n"/>
      <c r="O528" s="633" t="n"/>
      <c r="P528" s="632" t="n"/>
      <c r="Q528" s="632" t="n"/>
      <c r="R528" s="632" t="n"/>
      <c r="S528" s="632" t="n"/>
      <c r="T528" s="632" t="n"/>
      <c r="U528" s="632" t="n"/>
      <c r="V528" s="632" t="n"/>
      <c r="W528" s="632" t="n"/>
      <c r="X528" s="632" t="n"/>
      <c r="Y528" s="632" t="n"/>
      <c r="Z528" s="632" t="n"/>
      <c r="AA528" s="632" t="n"/>
      <c r="AB528" s="632" t="n"/>
      <c r="AC528" s="632" t="n"/>
      <c r="AD528" s="632" t="n"/>
    </row>
    <row r="529">
      <c r="A529" s="631" t="inlineStr">
        <is>
          <t>KVV</t>
        </is>
      </c>
      <c r="B529" s="631" t="n">
        <v>2250</v>
      </c>
      <c r="C529" s="631" t="n">
        <v>1000</v>
      </c>
      <c r="D529" s="640">
        <f>$A529&amp;B529&amp;C529</f>
        <v/>
      </c>
      <c r="E529" s="1040">
        <f>SUM(G529:AD529)</f>
        <v/>
      </c>
      <c r="F529" s="632" t="n">
        <v>12</v>
      </c>
      <c r="G529" s="633">
        <f>F529*CCBASE!$B$51</f>
        <v/>
      </c>
      <c r="H529" s="633" t="n"/>
      <c r="I529" s="633" t="n"/>
      <c r="J529" s="633">
        <f>CCBASE!$I$26*B529/1000</f>
        <v/>
      </c>
      <c r="K529" s="633" t="n"/>
      <c r="L529" s="633" t="n"/>
      <c r="M529" s="633" t="n"/>
      <c r="N529" s="633" t="n"/>
      <c r="O529" s="633" t="n"/>
      <c r="P529" s="632" t="n"/>
      <c r="Q529" s="632" t="n"/>
      <c r="R529" s="632" t="n"/>
      <c r="S529" s="632" t="n"/>
      <c r="T529" s="632" t="n"/>
      <c r="U529" s="632" t="n"/>
      <c r="V529" s="632" t="n"/>
      <c r="W529" s="632" t="n"/>
      <c r="X529" s="632" t="n"/>
      <c r="Y529" s="632" t="n"/>
      <c r="Z529" s="632" t="n"/>
      <c r="AA529" s="632" t="n"/>
      <c r="AB529" s="632" t="n"/>
      <c r="AC529" s="632" t="n"/>
      <c r="AD529" s="632" t="n"/>
    </row>
    <row r="530">
      <c r="A530" s="631" t="inlineStr">
        <is>
          <t>KVV</t>
        </is>
      </c>
      <c r="B530" s="631" t="n">
        <v>2500</v>
      </c>
      <c r="C530" s="631" t="n">
        <v>1000</v>
      </c>
      <c r="D530" s="640">
        <f>$A530&amp;B530&amp;C530</f>
        <v/>
      </c>
      <c r="E530" s="1040">
        <f>SUM(G530:AD530)</f>
        <v/>
      </c>
      <c r="F530" s="632" t="n">
        <v>15</v>
      </c>
      <c r="G530" s="633">
        <f>F530*CCBASE!$B$51</f>
        <v/>
      </c>
      <c r="H530" s="633" t="n"/>
      <c r="I530" s="633" t="n"/>
      <c r="J530" s="633">
        <f>CCBASE!$I$26*B530/1000</f>
        <v/>
      </c>
      <c r="K530" s="633" t="n"/>
      <c r="L530" s="633" t="n"/>
      <c r="M530" s="633" t="n"/>
      <c r="N530" s="633" t="n"/>
      <c r="O530" s="633" t="n"/>
      <c r="P530" s="632" t="n"/>
      <c r="Q530" s="632" t="n"/>
      <c r="R530" s="632" t="n"/>
      <c r="S530" s="632" t="n"/>
      <c r="T530" s="632" t="n"/>
      <c r="U530" s="632" t="n"/>
      <c r="V530" s="632" t="n"/>
      <c r="W530" s="632" t="n"/>
      <c r="X530" s="632" t="n"/>
      <c r="Y530" s="632" t="n"/>
      <c r="Z530" s="632" t="n"/>
      <c r="AA530" s="632" t="n"/>
      <c r="AB530" s="632" t="n"/>
      <c r="AC530" s="632" t="n"/>
      <c r="AD530" s="632" t="n"/>
    </row>
    <row r="531">
      <c r="A531" s="631" t="inlineStr">
        <is>
          <t>KVV</t>
        </is>
      </c>
      <c r="B531" s="631" t="n">
        <v>2750</v>
      </c>
      <c r="C531" s="631" t="n">
        <v>1000</v>
      </c>
      <c r="D531" s="640">
        <f>$A531&amp;B531&amp;C531</f>
        <v/>
      </c>
      <c r="E531" s="1040">
        <f>SUM(G531:AD531)</f>
        <v/>
      </c>
      <c r="F531" s="632" t="n">
        <v>15</v>
      </c>
      <c r="G531" s="633">
        <f>F531*CCBASE!$B$51</f>
        <v/>
      </c>
      <c r="H531" s="633" t="n"/>
      <c r="I531" s="633" t="n"/>
      <c r="J531" s="633">
        <f>CCBASE!$I$26*B531/1000</f>
        <v/>
      </c>
      <c r="K531" s="633" t="n"/>
      <c r="L531" s="633" t="n"/>
      <c r="M531" s="633" t="n"/>
      <c r="N531" s="633" t="n"/>
      <c r="O531" s="633" t="n"/>
      <c r="P531" s="632" t="n"/>
      <c r="Q531" s="632" t="n"/>
      <c r="R531" s="632" t="n"/>
      <c r="S531" s="632" t="n"/>
      <c r="T531" s="632" t="n"/>
      <c r="U531" s="632" t="n"/>
      <c r="V531" s="632" t="n"/>
      <c r="W531" s="632" t="n"/>
      <c r="X531" s="632" t="n"/>
      <c r="Y531" s="632" t="n"/>
      <c r="Z531" s="632" t="n"/>
      <c r="AA531" s="632" t="n"/>
      <c r="AB531" s="632" t="n"/>
      <c r="AC531" s="632" t="n"/>
      <c r="AD531" s="632" t="n"/>
    </row>
    <row r="532">
      <c r="A532" s="631" t="inlineStr">
        <is>
          <t>KVV</t>
        </is>
      </c>
      <c r="B532" s="631" t="n">
        <v>3000</v>
      </c>
      <c r="C532" s="631" t="n">
        <v>1000</v>
      </c>
      <c r="D532" s="640">
        <f>$A532&amp;B532&amp;C532</f>
        <v/>
      </c>
      <c r="E532" s="1040">
        <f>SUM(G532:AD532)</f>
        <v/>
      </c>
      <c r="F532" s="632" t="n">
        <v>15</v>
      </c>
      <c r="G532" s="633">
        <f>F532*CCBASE!$B$51</f>
        <v/>
      </c>
      <c r="H532" s="633" t="n"/>
      <c r="I532" s="633" t="n"/>
      <c r="J532" s="633">
        <f>CCBASE!$I$26*B532/1000</f>
        <v/>
      </c>
      <c r="K532" s="633" t="n"/>
      <c r="L532" s="633" t="n"/>
      <c r="M532" s="633" t="n"/>
      <c r="N532" s="633" t="n"/>
      <c r="O532" s="633" t="n"/>
      <c r="P532" s="632" t="n"/>
      <c r="Q532" s="632" t="n"/>
      <c r="R532" s="632" t="n"/>
      <c r="S532" s="632" t="n"/>
      <c r="T532" s="632" t="n"/>
      <c r="U532" s="632" t="n"/>
      <c r="V532" s="632" t="n"/>
      <c r="W532" s="632" t="n"/>
      <c r="X532" s="632" t="n"/>
      <c r="Y532" s="632" t="n"/>
      <c r="Z532" s="632" t="n"/>
      <c r="AA532" s="632" t="n"/>
      <c r="AB532" s="632" t="n"/>
      <c r="AC532" s="632" t="n"/>
      <c r="AD532" s="632" t="n"/>
    </row>
    <row r="533">
      <c r="A533" s="631" t="inlineStr">
        <is>
          <t>KVV</t>
        </is>
      </c>
      <c r="B533" s="631" t="n">
        <v>1000</v>
      </c>
      <c r="C533" s="631" t="n">
        <v>1250</v>
      </c>
      <c r="D533" s="640">
        <f>$A533&amp;B533&amp;C533</f>
        <v/>
      </c>
      <c r="E533" s="1040">
        <f>SUM(G533:AD533)</f>
        <v/>
      </c>
      <c r="F533" s="632" t="n">
        <v>10</v>
      </c>
      <c r="G533" s="633">
        <f>F533*CCBASE!$B$51</f>
        <v/>
      </c>
      <c r="H533" s="633" t="n"/>
      <c r="I533" s="633" t="n"/>
      <c r="J533" s="633">
        <f>CCBASE!$I$27*B533/1000</f>
        <v/>
      </c>
      <c r="K533" s="633" t="n"/>
      <c r="L533" s="633" t="n"/>
      <c r="M533" s="633" t="n"/>
      <c r="N533" s="633" t="n"/>
      <c r="O533" s="633" t="n"/>
      <c r="P533" s="632" t="n"/>
      <c r="Q533" s="632" t="n"/>
      <c r="R533" s="632" t="n"/>
      <c r="S533" s="632" t="n"/>
      <c r="T533" s="632" t="n"/>
      <c r="U533" s="632" t="n"/>
      <c r="V533" s="632" t="n"/>
      <c r="W533" s="632" t="n"/>
      <c r="X533" s="632" t="n"/>
      <c r="Y533" s="632" t="n"/>
      <c r="Z533" s="632" t="n"/>
      <c r="AA533" s="632" t="n"/>
      <c r="AB533" s="632" t="n"/>
      <c r="AC533" s="632" t="n"/>
      <c r="AD533" s="632" t="n"/>
    </row>
    <row r="534">
      <c r="A534" s="631" t="inlineStr">
        <is>
          <t>KVV</t>
        </is>
      </c>
      <c r="B534" s="631" t="n">
        <v>1250</v>
      </c>
      <c r="C534" s="631" t="n">
        <v>1250</v>
      </c>
      <c r="D534" s="640">
        <f>$A534&amp;B534&amp;C534</f>
        <v/>
      </c>
      <c r="E534" s="1040">
        <f>SUM(G534:AD534)</f>
        <v/>
      </c>
      <c r="F534" s="632" t="n">
        <v>10</v>
      </c>
      <c r="G534" s="633">
        <f>F534*CCBASE!$B$51</f>
        <v/>
      </c>
      <c r="H534" s="633" t="n"/>
      <c r="I534" s="633" t="n"/>
      <c r="J534" s="633">
        <f>CCBASE!$I$27*B534/1000</f>
        <v/>
      </c>
      <c r="K534" s="633" t="n"/>
      <c r="L534" s="633" t="n"/>
      <c r="M534" s="633" t="n"/>
      <c r="N534" s="633" t="n"/>
      <c r="O534" s="633" t="n"/>
      <c r="P534" s="632" t="n"/>
      <c r="Q534" s="632" t="n"/>
      <c r="R534" s="632" t="n"/>
      <c r="S534" s="632" t="n"/>
      <c r="T534" s="632" t="n"/>
      <c r="U534" s="632" t="n"/>
      <c r="V534" s="632" t="n"/>
      <c r="W534" s="632" t="n"/>
      <c r="X534" s="632" t="n"/>
      <c r="Y534" s="632" t="n"/>
      <c r="Z534" s="632" t="n"/>
      <c r="AA534" s="632" t="n"/>
      <c r="AB534" s="632" t="n"/>
      <c r="AC534" s="632" t="n"/>
      <c r="AD534" s="632" t="n"/>
    </row>
    <row r="535">
      <c r="A535" s="631" t="inlineStr">
        <is>
          <t>KVV</t>
        </is>
      </c>
      <c r="B535" s="631" t="n">
        <v>1500</v>
      </c>
      <c r="C535" s="631" t="n">
        <v>1250</v>
      </c>
      <c r="D535" s="640">
        <f>$A535&amp;B535&amp;C535</f>
        <v/>
      </c>
      <c r="E535" s="1040">
        <f>SUM(G535:AD535)</f>
        <v/>
      </c>
      <c r="F535" s="632" t="n">
        <v>10</v>
      </c>
      <c r="G535" s="633">
        <f>F535*CCBASE!$B$51</f>
        <v/>
      </c>
      <c r="H535" s="633" t="n"/>
      <c r="I535" s="633" t="n"/>
      <c r="J535" s="633">
        <f>CCBASE!$I$27*B535/1000</f>
        <v/>
      </c>
      <c r="K535" s="633" t="n"/>
      <c r="L535" s="633" t="n"/>
      <c r="M535" s="633" t="n"/>
      <c r="N535" s="633" t="n"/>
      <c r="O535" s="633" t="n"/>
      <c r="P535" s="632" t="n"/>
      <c r="Q535" s="632" t="n"/>
      <c r="R535" s="632" t="n"/>
      <c r="S535" s="632" t="n"/>
      <c r="T535" s="632" t="n"/>
      <c r="U535" s="632" t="n"/>
      <c r="V535" s="632" t="n"/>
      <c r="W535" s="632" t="n"/>
      <c r="X535" s="632" t="n"/>
      <c r="Y535" s="632" t="n"/>
      <c r="Z535" s="632" t="n"/>
      <c r="AA535" s="632" t="n"/>
      <c r="AB535" s="632" t="n"/>
      <c r="AC535" s="632" t="n"/>
      <c r="AD535" s="632" t="n"/>
    </row>
    <row r="536">
      <c r="A536" s="631" t="inlineStr">
        <is>
          <t>KVV</t>
        </is>
      </c>
      <c r="B536" s="631" t="n">
        <v>1750</v>
      </c>
      <c r="C536" s="631" t="n">
        <v>1250</v>
      </c>
      <c r="D536" s="640">
        <f>$A536&amp;B536&amp;C536</f>
        <v/>
      </c>
      <c r="E536" s="1040">
        <f>SUM(G536:AD536)</f>
        <v/>
      </c>
      <c r="F536" s="632" t="n">
        <v>12</v>
      </c>
      <c r="G536" s="633">
        <f>F536*CCBASE!$B$51</f>
        <v/>
      </c>
      <c r="H536" s="633" t="n"/>
      <c r="I536" s="633" t="n"/>
      <c r="J536" s="633">
        <f>CCBASE!$I$27*B536/1000</f>
        <v/>
      </c>
      <c r="K536" s="633" t="n"/>
      <c r="L536" s="633" t="n"/>
      <c r="M536" s="633" t="n"/>
      <c r="N536" s="633" t="n"/>
      <c r="O536" s="633" t="n"/>
      <c r="P536" s="632" t="n"/>
      <c r="Q536" s="632" t="n"/>
      <c r="R536" s="632" t="n"/>
      <c r="S536" s="632" t="n"/>
      <c r="T536" s="632" t="n"/>
      <c r="U536" s="632" t="n"/>
      <c r="V536" s="632" t="n"/>
      <c r="W536" s="632" t="n"/>
      <c r="X536" s="632" t="n"/>
      <c r="Y536" s="632" t="n"/>
      <c r="Z536" s="632" t="n"/>
      <c r="AA536" s="632" t="n"/>
      <c r="AB536" s="632" t="n"/>
      <c r="AC536" s="632" t="n"/>
      <c r="AD536" s="632" t="n"/>
    </row>
    <row r="537">
      <c r="A537" s="631" t="inlineStr">
        <is>
          <t>KVV</t>
        </is>
      </c>
      <c r="B537" s="631" t="n">
        <v>2000</v>
      </c>
      <c r="C537" s="631" t="n">
        <v>1250</v>
      </c>
      <c r="D537" s="640">
        <f>$A537&amp;B537&amp;C537</f>
        <v/>
      </c>
      <c r="E537" s="1040">
        <f>SUM(G537:AD537)</f>
        <v/>
      </c>
      <c r="F537" s="632" t="n">
        <v>12</v>
      </c>
      <c r="G537" s="633">
        <f>F537*CCBASE!$B$51</f>
        <v/>
      </c>
      <c r="H537" s="633" t="n"/>
      <c r="I537" s="633" t="n"/>
      <c r="J537" s="633">
        <f>CCBASE!$I$27*B537/1000</f>
        <v/>
      </c>
      <c r="K537" s="633" t="n"/>
      <c r="L537" s="633" t="n"/>
      <c r="M537" s="633" t="n"/>
      <c r="N537" s="633" t="n"/>
      <c r="O537" s="633" t="n"/>
      <c r="P537" s="632" t="n"/>
      <c r="Q537" s="632" t="n"/>
      <c r="R537" s="632" t="n"/>
      <c r="S537" s="632" t="n"/>
      <c r="T537" s="632" t="n"/>
      <c r="U537" s="632" t="n"/>
      <c r="V537" s="632" t="n"/>
      <c r="W537" s="632" t="n"/>
      <c r="X537" s="632" t="n"/>
      <c r="Y537" s="632" t="n"/>
      <c r="Z537" s="632" t="n"/>
      <c r="AA537" s="632" t="n"/>
      <c r="AB537" s="632" t="n"/>
      <c r="AC537" s="632" t="n"/>
      <c r="AD537" s="632" t="n"/>
    </row>
    <row r="538">
      <c r="A538" s="631" t="inlineStr">
        <is>
          <t>KVV</t>
        </is>
      </c>
      <c r="B538" s="631" t="n">
        <v>2250</v>
      </c>
      <c r="C538" s="631" t="n">
        <v>1250</v>
      </c>
      <c r="D538" s="640">
        <f>$A538&amp;B538&amp;C538</f>
        <v/>
      </c>
      <c r="E538" s="1040">
        <f>SUM(G538:AD538)</f>
        <v/>
      </c>
      <c r="F538" s="632" t="n">
        <v>12</v>
      </c>
      <c r="G538" s="633">
        <f>F538*CCBASE!$B$51</f>
        <v/>
      </c>
      <c r="H538" s="633" t="n"/>
      <c r="I538" s="633" t="n"/>
      <c r="J538" s="633">
        <f>CCBASE!$I$27*B538/1000</f>
        <v/>
      </c>
      <c r="K538" s="633" t="n"/>
      <c r="L538" s="633" t="n"/>
      <c r="M538" s="633" t="n"/>
      <c r="N538" s="633" t="n"/>
      <c r="O538" s="633" t="n"/>
      <c r="P538" s="632" t="n"/>
      <c r="Q538" s="632" t="n"/>
      <c r="R538" s="632" t="n"/>
      <c r="S538" s="632" t="n"/>
      <c r="T538" s="632" t="n"/>
      <c r="U538" s="632" t="n"/>
      <c r="V538" s="632" t="n"/>
      <c r="W538" s="632" t="n"/>
      <c r="X538" s="632" t="n"/>
      <c r="Y538" s="632" t="n"/>
      <c r="Z538" s="632" t="n"/>
      <c r="AA538" s="632" t="n"/>
      <c r="AB538" s="632" t="n"/>
      <c r="AC538" s="632" t="n"/>
      <c r="AD538" s="632" t="n"/>
    </row>
    <row r="539">
      <c r="A539" s="631" t="inlineStr">
        <is>
          <t>KVV</t>
        </is>
      </c>
      <c r="B539" s="631" t="n">
        <v>2500</v>
      </c>
      <c r="C539" s="631" t="n">
        <v>1250</v>
      </c>
      <c r="D539" s="640">
        <f>$A539&amp;B539&amp;C539</f>
        <v/>
      </c>
      <c r="E539" s="1040">
        <f>SUM(G539:AD539)</f>
        <v/>
      </c>
      <c r="F539" s="632" t="n">
        <v>15</v>
      </c>
      <c r="G539" s="633">
        <f>F539*CCBASE!$B$51</f>
        <v/>
      </c>
      <c r="H539" s="633" t="n"/>
      <c r="I539" s="633" t="n"/>
      <c r="J539" s="633">
        <f>CCBASE!$I$27*B539/1000</f>
        <v/>
      </c>
      <c r="K539" s="633" t="n"/>
      <c r="L539" s="633" t="n"/>
      <c r="M539" s="633" t="n"/>
      <c r="N539" s="633" t="n"/>
      <c r="O539" s="633" t="n"/>
      <c r="P539" s="632" t="n"/>
      <c r="Q539" s="632" t="n"/>
      <c r="R539" s="632" t="n"/>
      <c r="S539" s="632" t="n"/>
      <c r="T539" s="632" t="n"/>
      <c r="U539" s="632" t="n"/>
      <c r="V539" s="632" t="n"/>
      <c r="W539" s="632" t="n"/>
      <c r="X539" s="632" t="n"/>
      <c r="Y539" s="632" t="n"/>
      <c r="Z539" s="632" t="n"/>
      <c r="AA539" s="632" t="n"/>
      <c r="AB539" s="632" t="n"/>
      <c r="AC539" s="632" t="n"/>
      <c r="AD539" s="632" t="n"/>
    </row>
    <row r="540">
      <c r="A540" s="631" t="inlineStr">
        <is>
          <t>KVV</t>
        </is>
      </c>
      <c r="B540" s="631" t="n">
        <v>2750</v>
      </c>
      <c r="C540" s="631" t="n">
        <v>1250</v>
      </c>
      <c r="D540" s="640">
        <f>$A540&amp;B540&amp;C540</f>
        <v/>
      </c>
      <c r="E540" s="1040">
        <f>SUM(G540:AD540)</f>
        <v/>
      </c>
      <c r="F540" s="632" t="n">
        <v>15</v>
      </c>
      <c r="G540" s="633">
        <f>F540*CCBASE!$B$51</f>
        <v/>
      </c>
      <c r="H540" s="633" t="n"/>
      <c r="I540" s="633" t="n"/>
      <c r="J540" s="633">
        <f>CCBASE!$I$27*B540/1000</f>
        <v/>
      </c>
      <c r="K540" s="633" t="n"/>
      <c r="L540" s="633" t="n"/>
      <c r="M540" s="633" t="n"/>
      <c r="N540" s="633" t="n"/>
      <c r="O540" s="633" t="n"/>
      <c r="P540" s="632" t="n"/>
      <c r="Q540" s="632" t="n"/>
      <c r="R540" s="632" t="n"/>
      <c r="S540" s="632" t="n"/>
      <c r="T540" s="632" t="n"/>
      <c r="U540" s="632" t="n"/>
      <c r="V540" s="632" t="n"/>
      <c r="W540" s="632" t="n"/>
      <c r="X540" s="632" t="n"/>
      <c r="Y540" s="632" t="n"/>
      <c r="Z540" s="632" t="n"/>
      <c r="AA540" s="632" t="n"/>
      <c r="AB540" s="632" t="n"/>
      <c r="AC540" s="632" t="n"/>
      <c r="AD540" s="632" t="n"/>
    </row>
    <row r="541">
      <c r="A541" s="631" t="inlineStr">
        <is>
          <t>KVV</t>
        </is>
      </c>
      <c r="B541" s="631" t="n">
        <v>3000</v>
      </c>
      <c r="C541" s="631" t="n">
        <v>1250</v>
      </c>
      <c r="D541" s="640">
        <f>$A541&amp;B541&amp;C541</f>
        <v/>
      </c>
      <c r="E541" s="1040">
        <f>SUM(G541:AD541)</f>
        <v/>
      </c>
      <c r="F541" s="632" t="n">
        <v>15</v>
      </c>
      <c r="G541" s="633">
        <f>F541*CCBASE!$B$51</f>
        <v/>
      </c>
      <c r="H541" s="633" t="n"/>
      <c r="I541" s="633" t="n"/>
      <c r="J541" s="633">
        <f>CCBASE!$I$27*B541/1000</f>
        <v/>
      </c>
      <c r="K541" s="633" t="n"/>
      <c r="L541" s="633" t="n"/>
      <c r="M541" s="633" t="n"/>
      <c r="N541" s="633" t="n"/>
      <c r="O541" s="633" t="n"/>
      <c r="P541" s="632" t="n"/>
      <c r="Q541" s="632" t="n"/>
      <c r="R541" s="632" t="n"/>
      <c r="S541" s="632" t="n"/>
      <c r="T541" s="632" t="n"/>
      <c r="U541" s="632" t="n"/>
      <c r="V541" s="632" t="n"/>
      <c r="W541" s="632" t="n"/>
      <c r="X541" s="632" t="n"/>
      <c r="Y541" s="632" t="n"/>
      <c r="Z541" s="632" t="n"/>
      <c r="AA541" s="632" t="n"/>
      <c r="AB541" s="632" t="n"/>
      <c r="AC541" s="632" t="n"/>
      <c r="AD541" s="632" t="n"/>
    </row>
    <row r="542">
      <c r="A542" s="631" t="inlineStr">
        <is>
          <t>KVV</t>
        </is>
      </c>
      <c r="B542" s="631" t="n">
        <v>1000</v>
      </c>
      <c r="C542" s="631" t="n">
        <v>1500</v>
      </c>
      <c r="D542" s="640">
        <f>$A542&amp;B542&amp;C542</f>
        <v/>
      </c>
      <c r="E542" s="1040">
        <f>SUM(G542:AD542)</f>
        <v/>
      </c>
      <c r="F542" s="632" t="n">
        <v>10</v>
      </c>
      <c r="G542" s="633">
        <f>F542*CCBASE!$B$51</f>
        <v/>
      </c>
      <c r="H542" s="633" t="n"/>
      <c r="I542" s="633" t="n"/>
      <c r="J542" s="633">
        <f>CCBASE!$I$28*B542/1000</f>
        <v/>
      </c>
      <c r="K542" s="633" t="n"/>
      <c r="L542" s="633" t="n"/>
      <c r="M542" s="633" t="n"/>
      <c r="N542" s="633" t="n"/>
      <c r="O542" s="633" t="n"/>
      <c r="P542" s="632" t="n"/>
      <c r="Q542" s="632" t="n"/>
      <c r="R542" s="632" t="n"/>
      <c r="S542" s="632" t="n"/>
      <c r="T542" s="632" t="n"/>
      <c r="U542" s="632" t="n"/>
      <c r="V542" s="632" t="n"/>
      <c r="W542" s="632" t="n"/>
      <c r="X542" s="632" t="n"/>
      <c r="Y542" s="632" t="n"/>
      <c r="Z542" s="632" t="n"/>
      <c r="AA542" s="632" t="n"/>
      <c r="AB542" s="632" t="n"/>
      <c r="AC542" s="632" t="n"/>
      <c r="AD542" s="632" t="n"/>
    </row>
    <row r="543">
      <c r="A543" s="631" t="inlineStr">
        <is>
          <t>KVV</t>
        </is>
      </c>
      <c r="B543" s="631" t="n">
        <v>1250</v>
      </c>
      <c r="C543" s="631" t="n">
        <v>1500</v>
      </c>
      <c r="D543" s="640">
        <f>$A543&amp;B543&amp;C543</f>
        <v/>
      </c>
      <c r="E543" s="1040">
        <f>SUM(G543:AD543)</f>
        <v/>
      </c>
      <c r="F543" s="632" t="n">
        <v>10</v>
      </c>
      <c r="G543" s="633">
        <f>F543*CCBASE!$B$51</f>
        <v/>
      </c>
      <c r="H543" s="633" t="n"/>
      <c r="I543" s="633" t="n"/>
      <c r="J543" s="633">
        <f>CCBASE!$I$28*B543/1000</f>
        <v/>
      </c>
      <c r="K543" s="633" t="n"/>
      <c r="L543" s="633" t="n"/>
      <c r="M543" s="633" t="n"/>
      <c r="N543" s="633" t="n"/>
      <c r="O543" s="633" t="n"/>
      <c r="P543" s="632" t="n"/>
      <c r="Q543" s="632" t="n"/>
      <c r="R543" s="632" t="n"/>
      <c r="S543" s="632" t="n"/>
      <c r="T543" s="632" t="n"/>
      <c r="U543" s="632" t="n"/>
      <c r="V543" s="632" t="n"/>
      <c r="W543" s="632" t="n"/>
      <c r="X543" s="632" t="n"/>
      <c r="Y543" s="632" t="n"/>
      <c r="Z543" s="632" t="n"/>
      <c r="AA543" s="632" t="n"/>
      <c r="AB543" s="632" t="n"/>
      <c r="AC543" s="632" t="n"/>
      <c r="AD543" s="632" t="n"/>
    </row>
    <row r="544">
      <c r="A544" s="631" t="inlineStr">
        <is>
          <t>KVV</t>
        </is>
      </c>
      <c r="B544" s="631" t="n">
        <v>1500</v>
      </c>
      <c r="C544" s="631" t="n">
        <v>1500</v>
      </c>
      <c r="D544" s="640">
        <f>$A544&amp;B544&amp;C544</f>
        <v/>
      </c>
      <c r="E544" s="1040">
        <f>SUM(G544:AD544)</f>
        <v/>
      </c>
      <c r="F544" s="632" t="n">
        <v>10</v>
      </c>
      <c r="G544" s="633">
        <f>F544*CCBASE!$B$51</f>
        <v/>
      </c>
      <c r="H544" s="633" t="n"/>
      <c r="I544" s="633" t="n"/>
      <c r="J544" s="633">
        <f>CCBASE!$I$28*B544/1000</f>
        <v/>
      </c>
      <c r="K544" s="633" t="n"/>
      <c r="L544" s="633" t="n"/>
      <c r="M544" s="633" t="n"/>
      <c r="N544" s="633" t="n"/>
      <c r="O544" s="633" t="n"/>
      <c r="P544" s="632" t="n"/>
      <c r="Q544" s="632" t="n"/>
      <c r="R544" s="632" t="n"/>
      <c r="S544" s="632" t="n"/>
      <c r="T544" s="632" t="n"/>
      <c r="U544" s="632" t="n"/>
      <c r="V544" s="632" t="n"/>
      <c r="W544" s="632" t="n"/>
      <c r="X544" s="632" t="n"/>
      <c r="Y544" s="632" t="n"/>
      <c r="Z544" s="632" t="n"/>
      <c r="AA544" s="632" t="n"/>
      <c r="AB544" s="632" t="n"/>
      <c r="AC544" s="632" t="n"/>
      <c r="AD544" s="632" t="n"/>
    </row>
    <row r="545">
      <c r="A545" s="631" t="inlineStr">
        <is>
          <t>KVV</t>
        </is>
      </c>
      <c r="B545" s="631" t="n">
        <v>1750</v>
      </c>
      <c r="C545" s="631" t="n">
        <v>1500</v>
      </c>
      <c r="D545" s="640">
        <f>$A545&amp;B545&amp;C545</f>
        <v/>
      </c>
      <c r="E545" s="1040">
        <f>SUM(G545:AD545)</f>
        <v/>
      </c>
      <c r="F545" s="632" t="n">
        <v>12</v>
      </c>
      <c r="G545" s="633">
        <f>F545*CCBASE!$B$51</f>
        <v/>
      </c>
      <c r="H545" s="633" t="n"/>
      <c r="I545" s="633" t="n"/>
      <c r="J545" s="633">
        <f>CCBASE!$I$28*B545/1000</f>
        <v/>
      </c>
      <c r="K545" s="633" t="n"/>
      <c r="L545" s="633" t="n"/>
      <c r="M545" s="633" t="n"/>
      <c r="N545" s="633" t="n"/>
      <c r="O545" s="633" t="n"/>
      <c r="P545" s="632" t="n"/>
      <c r="Q545" s="632" t="n"/>
      <c r="R545" s="632" t="n"/>
      <c r="S545" s="632" t="n"/>
      <c r="T545" s="632" t="n"/>
      <c r="U545" s="632" t="n"/>
      <c r="V545" s="632" t="n"/>
      <c r="W545" s="632" t="n"/>
      <c r="X545" s="632" t="n"/>
      <c r="Y545" s="632" t="n"/>
      <c r="Z545" s="632" t="n"/>
      <c r="AA545" s="632" t="n"/>
      <c r="AB545" s="632" t="n"/>
      <c r="AC545" s="632" t="n"/>
      <c r="AD545" s="632" t="n"/>
    </row>
    <row r="546">
      <c r="A546" s="631" t="inlineStr">
        <is>
          <t>KVV</t>
        </is>
      </c>
      <c r="B546" s="631" t="n">
        <v>2000</v>
      </c>
      <c r="C546" s="631" t="n">
        <v>1500</v>
      </c>
      <c r="D546" s="640">
        <f>$A546&amp;B546&amp;C546</f>
        <v/>
      </c>
      <c r="E546" s="1040">
        <f>SUM(G546:AD546)</f>
        <v/>
      </c>
      <c r="F546" s="632" t="n">
        <v>12</v>
      </c>
      <c r="G546" s="633">
        <f>F546*CCBASE!$B$51</f>
        <v/>
      </c>
      <c r="H546" s="633" t="n"/>
      <c r="I546" s="633" t="n"/>
      <c r="J546" s="633">
        <f>CCBASE!$I$28*B546/1000</f>
        <v/>
      </c>
      <c r="K546" s="633" t="n"/>
      <c r="L546" s="633" t="n"/>
      <c r="M546" s="633" t="n"/>
      <c r="N546" s="633" t="n"/>
      <c r="O546" s="633" t="n"/>
      <c r="P546" s="632" t="n"/>
      <c r="Q546" s="632" t="n"/>
      <c r="R546" s="632" t="n"/>
      <c r="S546" s="632" t="n"/>
      <c r="T546" s="632" t="n"/>
      <c r="U546" s="632" t="n"/>
      <c r="V546" s="632" t="n"/>
      <c r="W546" s="632" t="n"/>
      <c r="X546" s="632" t="n"/>
      <c r="Y546" s="632" t="n"/>
      <c r="Z546" s="632" t="n"/>
      <c r="AA546" s="632" t="n"/>
      <c r="AB546" s="632" t="n"/>
      <c r="AC546" s="632" t="n"/>
      <c r="AD546" s="632" t="n"/>
    </row>
    <row r="547">
      <c r="A547" s="631" t="inlineStr">
        <is>
          <t>KVV</t>
        </is>
      </c>
      <c r="B547" s="631" t="n">
        <v>2250</v>
      </c>
      <c r="C547" s="631" t="n">
        <v>1500</v>
      </c>
      <c r="D547" s="640">
        <f>$A547&amp;B547&amp;C547</f>
        <v/>
      </c>
      <c r="E547" s="1040">
        <f>SUM(G547:AD547)</f>
        <v/>
      </c>
      <c r="F547" s="632" t="n">
        <v>12</v>
      </c>
      <c r="G547" s="633">
        <f>F547*CCBASE!$B$51</f>
        <v/>
      </c>
      <c r="H547" s="633" t="n"/>
      <c r="I547" s="633" t="n"/>
      <c r="J547" s="633">
        <f>CCBASE!$I$28*B547/1000</f>
        <v/>
      </c>
      <c r="K547" s="633" t="n"/>
      <c r="L547" s="633" t="n"/>
      <c r="M547" s="633" t="n"/>
      <c r="N547" s="633" t="n"/>
      <c r="O547" s="633" t="n"/>
      <c r="P547" s="632" t="n"/>
      <c r="Q547" s="632" t="n"/>
      <c r="R547" s="632" t="n"/>
      <c r="S547" s="632" t="n"/>
      <c r="T547" s="632" t="n"/>
      <c r="U547" s="632" t="n"/>
      <c r="V547" s="632" t="n"/>
      <c r="W547" s="632" t="n"/>
      <c r="X547" s="632" t="n"/>
      <c r="Y547" s="632" t="n"/>
      <c r="Z547" s="632" t="n"/>
      <c r="AA547" s="632" t="n"/>
      <c r="AB547" s="632" t="n"/>
      <c r="AC547" s="632" t="n"/>
      <c r="AD547" s="632" t="n"/>
    </row>
    <row r="548">
      <c r="A548" s="631" t="inlineStr">
        <is>
          <t>KVV</t>
        </is>
      </c>
      <c r="B548" s="631" t="n">
        <v>2500</v>
      </c>
      <c r="C548" s="631" t="n">
        <v>1500</v>
      </c>
      <c r="D548" s="640">
        <f>$A548&amp;B548&amp;C548</f>
        <v/>
      </c>
      <c r="E548" s="1040">
        <f>SUM(G548:AD548)</f>
        <v/>
      </c>
      <c r="F548" s="632" t="n">
        <v>15</v>
      </c>
      <c r="G548" s="633">
        <f>F548*CCBASE!$B$51</f>
        <v/>
      </c>
      <c r="H548" s="633" t="n"/>
      <c r="I548" s="633" t="n"/>
      <c r="J548" s="633">
        <f>CCBASE!$I$28*B548/1000</f>
        <v/>
      </c>
      <c r="K548" s="633" t="n"/>
      <c r="L548" s="633" t="n"/>
      <c r="M548" s="633" t="n"/>
      <c r="N548" s="633" t="n"/>
      <c r="O548" s="633" t="n"/>
      <c r="P548" s="632" t="n"/>
      <c r="Q548" s="632" t="n"/>
      <c r="R548" s="632" t="n"/>
      <c r="S548" s="632" t="n"/>
      <c r="T548" s="632" t="n"/>
      <c r="U548" s="632" t="n"/>
      <c r="V548" s="632" t="n"/>
      <c r="W548" s="632" t="n"/>
      <c r="X548" s="632" t="n"/>
      <c r="Y548" s="632" t="n"/>
      <c r="Z548" s="632" t="n"/>
      <c r="AA548" s="632" t="n"/>
      <c r="AB548" s="632" t="n"/>
      <c r="AC548" s="632" t="n"/>
      <c r="AD548" s="632" t="n"/>
    </row>
    <row r="549">
      <c r="A549" s="631" t="inlineStr">
        <is>
          <t>KVV</t>
        </is>
      </c>
      <c r="B549" s="631" t="n">
        <v>2750</v>
      </c>
      <c r="C549" s="631" t="n">
        <v>1500</v>
      </c>
      <c r="D549" s="640">
        <f>$A549&amp;B549&amp;C549</f>
        <v/>
      </c>
      <c r="E549" s="1040">
        <f>SUM(G549:AD549)</f>
        <v/>
      </c>
      <c r="F549" s="632" t="n">
        <v>15</v>
      </c>
      <c r="G549" s="633">
        <f>F549*CCBASE!$B$51</f>
        <v/>
      </c>
      <c r="H549" s="633" t="n"/>
      <c r="I549" s="633" t="n"/>
      <c r="J549" s="633">
        <f>CCBASE!$I$28*B549/1000</f>
        <v/>
      </c>
      <c r="K549" s="633" t="n"/>
      <c r="L549" s="633" t="n"/>
      <c r="M549" s="633" t="n"/>
      <c r="N549" s="633" t="n"/>
      <c r="O549" s="633" t="n"/>
      <c r="P549" s="632" t="n"/>
      <c r="Q549" s="632" t="n"/>
      <c r="R549" s="632" t="n"/>
      <c r="S549" s="632" t="n"/>
      <c r="T549" s="632" t="n"/>
      <c r="U549" s="632" t="n"/>
      <c r="V549" s="632" t="n"/>
      <c r="W549" s="632" t="n"/>
      <c r="X549" s="632" t="n"/>
      <c r="Y549" s="632" t="n"/>
      <c r="Z549" s="632" t="n"/>
      <c r="AA549" s="632" t="n"/>
      <c r="AB549" s="632" t="n"/>
      <c r="AC549" s="632" t="n"/>
      <c r="AD549" s="632" t="n"/>
    </row>
    <row r="550">
      <c r="A550" s="631" t="inlineStr">
        <is>
          <t>KVV</t>
        </is>
      </c>
      <c r="B550" s="631" t="n">
        <v>3000</v>
      </c>
      <c r="C550" s="631" t="n">
        <v>1500</v>
      </c>
      <c r="D550" s="640">
        <f>$A550&amp;B550&amp;C550</f>
        <v/>
      </c>
      <c r="E550" s="1040">
        <f>SUM(G550:AD550)</f>
        <v/>
      </c>
      <c r="F550" s="632" t="n">
        <v>15</v>
      </c>
      <c r="G550" s="633">
        <f>F550*CCBASE!$B$51</f>
        <v/>
      </c>
      <c r="H550" s="633" t="n"/>
      <c r="I550" s="633" t="n"/>
      <c r="J550" s="633">
        <f>CCBASE!$I$28*B550/1000</f>
        <v/>
      </c>
      <c r="K550" s="633" t="n"/>
      <c r="L550" s="633" t="n"/>
      <c r="M550" s="633" t="n"/>
      <c r="N550" s="633" t="n"/>
      <c r="O550" s="633" t="n"/>
      <c r="P550" s="632" t="n"/>
      <c r="Q550" s="632" t="n"/>
      <c r="R550" s="632" t="n"/>
      <c r="S550" s="632" t="n"/>
      <c r="T550" s="632" t="n"/>
      <c r="U550" s="632" t="n"/>
      <c r="V550" s="632" t="n"/>
      <c r="W550" s="632" t="n"/>
      <c r="X550" s="632" t="n"/>
      <c r="Y550" s="632" t="n"/>
      <c r="Z550" s="632" t="n"/>
      <c r="AA550" s="632" t="n"/>
      <c r="AB550" s="632" t="n"/>
      <c r="AC550" s="632" t="n"/>
      <c r="AD550" s="632" t="n"/>
    </row>
    <row r="551">
      <c r="A551" s="631" t="inlineStr">
        <is>
          <t>KVV</t>
        </is>
      </c>
      <c r="B551" s="631" t="n">
        <v>1000</v>
      </c>
      <c r="C551" s="631" t="n">
        <v>1750</v>
      </c>
      <c r="D551" s="640">
        <f>$A551&amp;B551&amp;C551</f>
        <v/>
      </c>
      <c r="E551" s="1040">
        <f>SUM(G551:AD551)</f>
        <v/>
      </c>
      <c r="F551" s="632" t="n">
        <v>10</v>
      </c>
      <c r="G551" s="633">
        <f>F551*CCBASE!$B$51</f>
        <v/>
      </c>
      <c r="H551" s="633" t="n"/>
      <c r="I551" s="633" t="n"/>
      <c r="J551" s="633">
        <f>CCBASE!$I$29*B551/1000</f>
        <v/>
      </c>
      <c r="K551" s="633" t="n"/>
      <c r="L551" s="633" t="n"/>
      <c r="M551" s="633" t="n"/>
      <c r="N551" s="633" t="n"/>
      <c r="O551" s="633" t="n"/>
      <c r="P551" s="632" t="n"/>
      <c r="Q551" s="632" t="n"/>
      <c r="R551" s="632" t="n"/>
      <c r="S551" s="632" t="n"/>
      <c r="T551" s="632" t="n"/>
      <c r="U551" s="632" t="n"/>
      <c r="V551" s="632" t="n"/>
      <c r="W551" s="632" t="n"/>
      <c r="X551" s="632" t="n"/>
      <c r="Y551" s="632" t="n"/>
      <c r="Z551" s="632" t="n"/>
      <c r="AA551" s="632" t="n"/>
      <c r="AB551" s="632" t="n"/>
      <c r="AC551" s="632" t="n"/>
      <c r="AD551" s="632" t="n"/>
    </row>
    <row r="552">
      <c r="A552" s="631" t="inlineStr">
        <is>
          <t>KVV</t>
        </is>
      </c>
      <c r="B552" s="631" t="n">
        <v>1250</v>
      </c>
      <c r="C552" s="631" t="n">
        <v>1750</v>
      </c>
      <c r="D552" s="640">
        <f>$A552&amp;B552&amp;C552</f>
        <v/>
      </c>
      <c r="E552" s="1040">
        <f>SUM(G552:AD552)</f>
        <v/>
      </c>
      <c r="F552" s="632" t="n">
        <v>10</v>
      </c>
      <c r="G552" s="633">
        <f>F552*CCBASE!$B$51</f>
        <v/>
      </c>
      <c r="H552" s="633" t="n"/>
      <c r="I552" s="633" t="n"/>
      <c r="J552" s="633">
        <f>CCBASE!$I$29*B552/1000</f>
        <v/>
      </c>
      <c r="K552" s="633" t="n"/>
      <c r="L552" s="633" t="n"/>
      <c r="M552" s="633" t="n"/>
      <c r="N552" s="633" t="n"/>
      <c r="O552" s="633" t="n"/>
      <c r="P552" s="632" t="n"/>
      <c r="Q552" s="632" t="n"/>
      <c r="R552" s="632" t="n"/>
      <c r="S552" s="632" t="n"/>
      <c r="T552" s="632" t="n"/>
      <c r="U552" s="632" t="n"/>
      <c r="V552" s="632" t="n"/>
      <c r="W552" s="632" t="n"/>
      <c r="X552" s="632" t="n"/>
      <c r="Y552" s="632" t="n"/>
      <c r="Z552" s="632" t="n"/>
      <c r="AA552" s="632" t="n"/>
      <c r="AB552" s="632" t="n"/>
      <c r="AC552" s="632" t="n"/>
      <c r="AD552" s="632" t="n"/>
    </row>
    <row r="553">
      <c r="A553" s="631" t="inlineStr">
        <is>
          <t>KVV</t>
        </is>
      </c>
      <c r="B553" s="631" t="n">
        <v>1500</v>
      </c>
      <c r="C553" s="631" t="n">
        <v>1750</v>
      </c>
      <c r="D553" s="640">
        <f>$A553&amp;B553&amp;C553</f>
        <v/>
      </c>
      <c r="E553" s="1040">
        <f>SUM(G553:AD553)</f>
        <v/>
      </c>
      <c r="F553" s="632" t="n">
        <v>10</v>
      </c>
      <c r="G553" s="633">
        <f>F553*CCBASE!$B$51</f>
        <v/>
      </c>
      <c r="H553" s="633" t="n"/>
      <c r="I553" s="633" t="n"/>
      <c r="J553" s="633">
        <f>CCBASE!$I$29*B553/1000</f>
        <v/>
      </c>
      <c r="K553" s="633" t="n"/>
      <c r="L553" s="633" t="n"/>
      <c r="M553" s="633" t="n"/>
      <c r="N553" s="633" t="n"/>
      <c r="O553" s="633" t="n"/>
      <c r="P553" s="632" t="n"/>
      <c r="Q553" s="632" t="n"/>
      <c r="R553" s="632" t="n"/>
      <c r="S553" s="632" t="n"/>
      <c r="T553" s="632" t="n"/>
      <c r="U553" s="632" t="n"/>
      <c r="V553" s="632" t="n"/>
      <c r="W553" s="632" t="n"/>
      <c r="X553" s="632" t="n"/>
      <c r="Y553" s="632" t="n"/>
      <c r="Z553" s="632" t="n"/>
      <c r="AA553" s="632" t="n"/>
      <c r="AB553" s="632" t="n"/>
      <c r="AC553" s="632" t="n"/>
      <c r="AD553" s="632" t="n"/>
    </row>
    <row r="554">
      <c r="A554" s="631" t="inlineStr">
        <is>
          <t>KVV</t>
        </is>
      </c>
      <c r="B554" s="631" t="n">
        <v>1750</v>
      </c>
      <c r="C554" s="631" t="n">
        <v>1750</v>
      </c>
      <c r="D554" s="640">
        <f>$A554&amp;B554&amp;C554</f>
        <v/>
      </c>
      <c r="E554" s="1040">
        <f>SUM(G554:AD554)</f>
        <v/>
      </c>
      <c r="F554" s="632" t="n">
        <v>12</v>
      </c>
      <c r="G554" s="633">
        <f>F554*CCBASE!$B$51</f>
        <v/>
      </c>
      <c r="H554" s="633" t="n"/>
      <c r="I554" s="633" t="n"/>
      <c r="J554" s="633">
        <f>CCBASE!$I$29*B554/1000</f>
        <v/>
      </c>
      <c r="K554" s="633" t="n"/>
      <c r="L554" s="633" t="n"/>
      <c r="M554" s="633" t="n"/>
      <c r="N554" s="633" t="n"/>
      <c r="O554" s="633" t="n"/>
      <c r="P554" s="632" t="n"/>
      <c r="Q554" s="632" t="n"/>
      <c r="R554" s="632" t="n"/>
      <c r="S554" s="632" t="n"/>
      <c r="T554" s="632" t="n"/>
      <c r="U554" s="632" t="n"/>
      <c r="V554" s="632" t="n"/>
      <c r="W554" s="632" t="n"/>
      <c r="X554" s="632" t="n"/>
      <c r="Y554" s="632" t="n"/>
      <c r="Z554" s="632" t="n"/>
      <c r="AA554" s="632" t="n"/>
      <c r="AB554" s="632" t="n"/>
      <c r="AC554" s="632" t="n"/>
      <c r="AD554" s="632" t="n"/>
    </row>
    <row r="555">
      <c r="A555" s="631" t="inlineStr">
        <is>
          <t>KVV</t>
        </is>
      </c>
      <c r="B555" s="631" t="n">
        <v>2000</v>
      </c>
      <c r="C555" s="631" t="n">
        <v>1750</v>
      </c>
      <c r="D555" s="640">
        <f>$A555&amp;B555&amp;C555</f>
        <v/>
      </c>
      <c r="E555" s="1040">
        <f>SUM(G555:AD555)</f>
        <v/>
      </c>
      <c r="F555" s="632" t="n">
        <v>12</v>
      </c>
      <c r="G555" s="633">
        <f>F555*CCBASE!$B$51</f>
        <v/>
      </c>
      <c r="H555" s="633" t="n"/>
      <c r="I555" s="633" t="n"/>
      <c r="J555" s="633">
        <f>CCBASE!$I$29*B555/1000</f>
        <v/>
      </c>
      <c r="K555" s="633" t="n"/>
      <c r="L555" s="633" t="n"/>
      <c r="M555" s="633" t="n"/>
      <c r="N555" s="633" t="n"/>
      <c r="O555" s="633" t="n"/>
      <c r="P555" s="632" t="n"/>
      <c r="Q555" s="632" t="n"/>
      <c r="R555" s="632" t="n"/>
      <c r="S555" s="632" t="n"/>
      <c r="T555" s="632" t="n"/>
      <c r="U555" s="632" t="n"/>
      <c r="V555" s="632" t="n"/>
      <c r="W555" s="632" t="n"/>
      <c r="X555" s="632" t="n"/>
      <c r="Y555" s="632" t="n"/>
      <c r="Z555" s="632" t="n"/>
      <c r="AA555" s="632" t="n"/>
      <c r="AB555" s="632" t="n"/>
      <c r="AC555" s="632" t="n"/>
      <c r="AD555" s="632" t="n"/>
    </row>
    <row r="556">
      <c r="A556" s="631" t="inlineStr">
        <is>
          <t>KVV</t>
        </is>
      </c>
      <c r="B556" s="631" t="n">
        <v>2250</v>
      </c>
      <c r="C556" s="631" t="n">
        <v>1750</v>
      </c>
      <c r="D556" s="640">
        <f>$A556&amp;B556&amp;C556</f>
        <v/>
      </c>
      <c r="E556" s="1040">
        <f>SUM(G556:AD556)</f>
        <v/>
      </c>
      <c r="F556" s="632" t="n">
        <v>12</v>
      </c>
      <c r="G556" s="633">
        <f>F556*CCBASE!$B$51</f>
        <v/>
      </c>
      <c r="H556" s="633" t="n"/>
      <c r="I556" s="633" t="n"/>
      <c r="J556" s="633">
        <f>CCBASE!$I$29*B556/1000</f>
        <v/>
      </c>
      <c r="K556" s="633" t="n"/>
      <c r="L556" s="633" t="n"/>
      <c r="M556" s="633" t="n"/>
      <c r="N556" s="633" t="n"/>
      <c r="O556" s="633" t="n"/>
      <c r="P556" s="632" t="n"/>
      <c r="Q556" s="632" t="n"/>
      <c r="R556" s="632" t="n"/>
      <c r="S556" s="632" t="n"/>
      <c r="T556" s="632" t="n"/>
      <c r="U556" s="632" t="n"/>
      <c r="V556" s="632" t="n"/>
      <c r="W556" s="632" t="n"/>
      <c r="X556" s="632" t="n"/>
      <c r="Y556" s="632" t="n"/>
      <c r="Z556" s="632" t="n"/>
      <c r="AA556" s="632" t="n"/>
      <c r="AB556" s="632" t="n"/>
      <c r="AC556" s="632" t="n"/>
      <c r="AD556" s="632" t="n"/>
    </row>
    <row r="557">
      <c r="A557" s="631" t="inlineStr">
        <is>
          <t>KVV</t>
        </is>
      </c>
      <c r="B557" s="631" t="n">
        <v>2500</v>
      </c>
      <c r="C557" s="631" t="n">
        <v>1750</v>
      </c>
      <c r="D557" s="640">
        <f>$A557&amp;B557&amp;C557</f>
        <v/>
      </c>
      <c r="E557" s="1040">
        <f>SUM(G557:AD557)</f>
        <v/>
      </c>
      <c r="F557" s="632" t="n">
        <v>15</v>
      </c>
      <c r="G557" s="633">
        <f>F557*CCBASE!$B$51</f>
        <v/>
      </c>
      <c r="H557" s="633" t="n"/>
      <c r="I557" s="633" t="n"/>
      <c r="J557" s="633">
        <f>CCBASE!$I$29*B557/1000</f>
        <v/>
      </c>
      <c r="K557" s="633" t="n"/>
      <c r="L557" s="633" t="n"/>
      <c r="M557" s="633" t="n"/>
      <c r="N557" s="633" t="n"/>
      <c r="O557" s="633" t="n"/>
      <c r="P557" s="632" t="n"/>
      <c r="Q557" s="632" t="n"/>
      <c r="R557" s="632" t="n"/>
      <c r="S557" s="632" t="n"/>
      <c r="T557" s="632" t="n"/>
      <c r="U557" s="632" t="n"/>
      <c r="V557" s="632" t="n"/>
      <c r="W557" s="632" t="n"/>
      <c r="X557" s="632" t="n"/>
      <c r="Y557" s="632" t="n"/>
      <c r="Z557" s="632" t="n"/>
      <c r="AA557" s="632" t="n"/>
      <c r="AB557" s="632" t="n"/>
      <c r="AC557" s="632" t="n"/>
      <c r="AD557" s="632" t="n"/>
    </row>
    <row r="558">
      <c r="A558" s="631" t="inlineStr">
        <is>
          <t>KVV</t>
        </is>
      </c>
      <c r="B558" s="631" t="n">
        <v>2750</v>
      </c>
      <c r="C558" s="631" t="n">
        <v>1750</v>
      </c>
      <c r="D558" s="640">
        <f>$A558&amp;B558&amp;C558</f>
        <v/>
      </c>
      <c r="E558" s="1040">
        <f>SUM(G558:AD558)</f>
        <v/>
      </c>
      <c r="F558" s="632" t="n">
        <v>15</v>
      </c>
      <c r="G558" s="633">
        <f>F558*CCBASE!$B$51</f>
        <v/>
      </c>
      <c r="H558" s="633" t="n"/>
      <c r="I558" s="633" t="n"/>
      <c r="J558" s="633">
        <f>CCBASE!$I$29*B558/1000</f>
        <v/>
      </c>
      <c r="K558" s="633" t="n"/>
      <c r="L558" s="633" t="n"/>
      <c r="M558" s="633" t="n"/>
      <c r="N558" s="633" t="n"/>
      <c r="O558" s="633" t="n"/>
      <c r="P558" s="632" t="n"/>
      <c r="Q558" s="632" t="n"/>
      <c r="R558" s="632" t="n"/>
      <c r="S558" s="632" t="n"/>
      <c r="T558" s="632" t="n"/>
      <c r="U558" s="632" t="n"/>
      <c r="V558" s="632" t="n"/>
      <c r="W558" s="632" t="n"/>
      <c r="X558" s="632" t="n"/>
      <c r="Y558" s="632" t="n"/>
      <c r="Z558" s="632" t="n"/>
      <c r="AA558" s="632" t="n"/>
      <c r="AB558" s="632" t="n"/>
      <c r="AC558" s="632" t="n"/>
      <c r="AD558" s="632" t="n"/>
    </row>
    <row r="559">
      <c r="A559" s="631" t="inlineStr">
        <is>
          <t>KVV</t>
        </is>
      </c>
      <c r="B559" s="631" t="n">
        <v>3000</v>
      </c>
      <c r="C559" s="631" t="n">
        <v>1750</v>
      </c>
      <c r="D559" s="640">
        <f>$A559&amp;B559&amp;C559</f>
        <v/>
      </c>
      <c r="E559" s="1040">
        <f>SUM(G559:AD559)</f>
        <v/>
      </c>
      <c r="F559" s="632" t="n">
        <v>15</v>
      </c>
      <c r="G559" s="633">
        <f>F559*CCBASE!$B$51</f>
        <v/>
      </c>
      <c r="H559" s="633" t="n"/>
      <c r="I559" s="633" t="n"/>
      <c r="J559" s="633">
        <f>CCBASE!$I$29*B559/1000</f>
        <v/>
      </c>
      <c r="K559" s="633" t="n"/>
      <c r="L559" s="633" t="n"/>
      <c r="M559" s="633" t="n"/>
      <c r="N559" s="633" t="n"/>
      <c r="O559" s="633" t="n"/>
      <c r="P559" s="632" t="n"/>
      <c r="Q559" s="632" t="n"/>
      <c r="R559" s="632" t="n"/>
      <c r="S559" s="632" t="n"/>
      <c r="T559" s="632" t="n"/>
      <c r="U559" s="632" t="n"/>
      <c r="V559" s="632" t="n"/>
      <c r="W559" s="632" t="n"/>
      <c r="X559" s="632" t="n"/>
      <c r="Y559" s="632" t="n"/>
      <c r="Z559" s="632" t="n"/>
      <c r="AA559" s="632" t="n"/>
      <c r="AB559" s="632" t="n"/>
      <c r="AC559" s="632" t="n"/>
      <c r="AD559" s="632" t="n"/>
    </row>
    <row r="560">
      <c r="A560" s="631" t="inlineStr">
        <is>
          <t>KVV</t>
        </is>
      </c>
      <c r="B560" s="631" t="n">
        <v>1000</v>
      </c>
      <c r="C560" s="631" t="n">
        <v>2000</v>
      </c>
      <c r="D560" s="640">
        <f>$A560&amp;B560&amp;C560</f>
        <v/>
      </c>
      <c r="E560" s="1040">
        <f>SUM(G560:AD560)</f>
        <v/>
      </c>
      <c r="F560" s="632" t="n">
        <v>10</v>
      </c>
      <c r="G560" s="633">
        <f>F560*CCBASE!$B$51</f>
        <v/>
      </c>
      <c r="H560" s="633" t="n"/>
      <c r="I560" s="633" t="n"/>
      <c r="J560" s="633">
        <f>CCBASE!$I$30*B560/1000</f>
        <v/>
      </c>
      <c r="K560" s="633" t="n"/>
      <c r="L560" s="633" t="n"/>
      <c r="M560" s="633" t="n"/>
      <c r="N560" s="633" t="n"/>
      <c r="O560" s="633" t="n"/>
      <c r="P560" s="632" t="n"/>
      <c r="Q560" s="632" t="n"/>
      <c r="R560" s="632" t="n"/>
      <c r="S560" s="632" t="n"/>
      <c r="T560" s="632" t="n"/>
      <c r="U560" s="632" t="n"/>
      <c r="V560" s="632" t="n"/>
      <c r="W560" s="632" t="n"/>
      <c r="X560" s="632" t="n"/>
      <c r="Y560" s="632" t="n"/>
      <c r="Z560" s="632" t="n"/>
      <c r="AA560" s="632" t="n"/>
      <c r="AB560" s="632" t="n"/>
      <c r="AC560" s="632" t="n"/>
      <c r="AD560" s="632" t="n"/>
    </row>
    <row r="561">
      <c r="A561" s="631" t="inlineStr">
        <is>
          <t>KVV</t>
        </is>
      </c>
      <c r="B561" s="631" t="n">
        <v>1250</v>
      </c>
      <c r="C561" s="631" t="n">
        <v>2000</v>
      </c>
      <c r="D561" s="640">
        <f>$A561&amp;B561&amp;C561</f>
        <v/>
      </c>
      <c r="E561" s="1040">
        <f>SUM(G561:AD561)</f>
        <v/>
      </c>
      <c r="F561" s="632" t="n">
        <v>10</v>
      </c>
      <c r="G561" s="633">
        <f>F561*CCBASE!$B$51</f>
        <v/>
      </c>
      <c r="H561" s="633" t="n"/>
      <c r="I561" s="633" t="n"/>
      <c r="J561" s="633">
        <f>CCBASE!$I$30*B561/1000</f>
        <v/>
      </c>
      <c r="K561" s="633" t="n"/>
      <c r="L561" s="633" t="n"/>
      <c r="M561" s="633" t="n"/>
      <c r="N561" s="633" t="n"/>
      <c r="O561" s="633" t="n"/>
      <c r="P561" s="632" t="n"/>
      <c r="Q561" s="632" t="n"/>
      <c r="R561" s="632" t="n"/>
      <c r="S561" s="632" t="n"/>
      <c r="T561" s="632" t="n"/>
      <c r="U561" s="632" t="n"/>
      <c r="V561" s="632" t="n"/>
      <c r="W561" s="632" t="n"/>
      <c r="X561" s="632" t="n"/>
      <c r="Y561" s="632" t="n"/>
      <c r="Z561" s="632" t="n"/>
      <c r="AA561" s="632" t="n"/>
      <c r="AB561" s="632" t="n"/>
      <c r="AC561" s="632" t="n"/>
      <c r="AD561" s="632" t="n"/>
    </row>
    <row r="562">
      <c r="A562" s="631" t="inlineStr">
        <is>
          <t>KVV</t>
        </is>
      </c>
      <c r="B562" s="631" t="n">
        <v>1500</v>
      </c>
      <c r="C562" s="631" t="n">
        <v>2000</v>
      </c>
      <c r="D562" s="640">
        <f>$A562&amp;B562&amp;C562</f>
        <v/>
      </c>
      <c r="E562" s="1040">
        <f>SUM(G562:AD562)</f>
        <v/>
      </c>
      <c r="F562" s="632" t="n">
        <v>10</v>
      </c>
      <c r="G562" s="633">
        <f>F562*CCBASE!$B$51</f>
        <v/>
      </c>
      <c r="H562" s="633" t="n"/>
      <c r="I562" s="633" t="n"/>
      <c r="J562" s="633">
        <f>CCBASE!$I$30*B562/1000</f>
        <v/>
      </c>
      <c r="K562" s="633" t="n"/>
      <c r="L562" s="633" t="n"/>
      <c r="M562" s="633" t="n"/>
      <c r="N562" s="633" t="n"/>
      <c r="O562" s="633" t="n"/>
      <c r="P562" s="632" t="n"/>
      <c r="Q562" s="632" t="n"/>
      <c r="R562" s="632" t="n"/>
      <c r="S562" s="632" t="n"/>
      <c r="T562" s="632" t="n"/>
      <c r="U562" s="632" t="n"/>
      <c r="V562" s="632" t="n"/>
      <c r="W562" s="632" t="n"/>
      <c r="X562" s="632" t="n"/>
      <c r="Y562" s="632" t="n"/>
      <c r="Z562" s="632" t="n"/>
      <c r="AA562" s="632" t="n"/>
      <c r="AB562" s="632" t="n"/>
      <c r="AC562" s="632" t="n"/>
      <c r="AD562" s="632" t="n"/>
    </row>
    <row r="563">
      <c r="A563" s="631" t="inlineStr">
        <is>
          <t>KVV</t>
        </is>
      </c>
      <c r="B563" s="631" t="n">
        <v>1750</v>
      </c>
      <c r="C563" s="631" t="n">
        <v>2000</v>
      </c>
      <c r="D563" s="640">
        <f>$A563&amp;B563&amp;C563</f>
        <v/>
      </c>
      <c r="E563" s="1040">
        <f>SUM(G563:AD563)</f>
        <v/>
      </c>
      <c r="F563" s="632" t="n">
        <v>12</v>
      </c>
      <c r="G563" s="633">
        <f>F563*CCBASE!$B$51</f>
        <v/>
      </c>
      <c r="H563" s="633" t="n"/>
      <c r="I563" s="633" t="n"/>
      <c r="J563" s="633">
        <f>CCBASE!$I$30*B563/1000</f>
        <v/>
      </c>
      <c r="K563" s="633" t="n"/>
      <c r="L563" s="633" t="n"/>
      <c r="M563" s="633" t="n"/>
      <c r="N563" s="633" t="n"/>
      <c r="O563" s="633" t="n"/>
      <c r="P563" s="632" t="n"/>
      <c r="Q563" s="632" t="n"/>
      <c r="R563" s="632" t="n"/>
      <c r="S563" s="632" t="n"/>
      <c r="T563" s="632" t="n"/>
      <c r="U563" s="632" t="n"/>
      <c r="V563" s="632" t="n"/>
      <c r="W563" s="632" t="n"/>
      <c r="X563" s="632" t="n"/>
      <c r="Y563" s="632" t="n"/>
      <c r="Z563" s="632" t="n"/>
      <c r="AA563" s="632" t="n"/>
      <c r="AB563" s="632" t="n"/>
      <c r="AC563" s="632" t="n"/>
      <c r="AD563" s="632" t="n"/>
    </row>
    <row r="564">
      <c r="A564" s="631" t="inlineStr">
        <is>
          <t>KVV</t>
        </is>
      </c>
      <c r="B564" s="631" t="n">
        <v>2000</v>
      </c>
      <c r="C564" s="631" t="n">
        <v>2000</v>
      </c>
      <c r="D564" s="640">
        <f>$A564&amp;B564&amp;C564</f>
        <v/>
      </c>
      <c r="E564" s="1040">
        <f>SUM(G564:AD564)</f>
        <v/>
      </c>
      <c r="F564" s="632" t="n">
        <v>12</v>
      </c>
      <c r="G564" s="633">
        <f>F564*CCBASE!$B$51</f>
        <v/>
      </c>
      <c r="H564" s="633" t="n"/>
      <c r="I564" s="633" t="n"/>
      <c r="J564" s="633">
        <f>CCBASE!$I$30*B564/1000</f>
        <v/>
      </c>
      <c r="K564" s="633" t="n"/>
      <c r="L564" s="633" t="n"/>
      <c r="M564" s="633" t="n"/>
      <c r="N564" s="633" t="n"/>
      <c r="O564" s="633" t="n"/>
      <c r="P564" s="632" t="n"/>
      <c r="Q564" s="632" t="n"/>
      <c r="R564" s="632" t="n"/>
      <c r="S564" s="632" t="n"/>
      <c r="T564" s="632" t="n"/>
      <c r="U564" s="632" t="n"/>
      <c r="V564" s="632" t="n"/>
      <c r="W564" s="632" t="n"/>
      <c r="X564" s="632" t="n"/>
      <c r="Y564" s="632" t="n"/>
      <c r="Z564" s="632" t="n"/>
      <c r="AA564" s="632" t="n"/>
      <c r="AB564" s="632" t="n"/>
      <c r="AC564" s="632" t="n"/>
      <c r="AD564" s="632" t="n"/>
    </row>
    <row r="565">
      <c r="A565" s="631" t="inlineStr">
        <is>
          <t>KVV</t>
        </is>
      </c>
      <c r="B565" s="631" t="n">
        <v>2250</v>
      </c>
      <c r="C565" s="631" t="n">
        <v>2000</v>
      </c>
      <c r="D565" s="640">
        <f>$A565&amp;B565&amp;C565</f>
        <v/>
      </c>
      <c r="E565" s="1040">
        <f>SUM(G565:AD565)</f>
        <v/>
      </c>
      <c r="F565" s="632" t="n">
        <v>12</v>
      </c>
      <c r="G565" s="633">
        <f>F565*CCBASE!$B$51</f>
        <v/>
      </c>
      <c r="H565" s="633" t="n"/>
      <c r="I565" s="633" t="n"/>
      <c r="J565" s="633">
        <f>CCBASE!$I$30*B565/1000</f>
        <v/>
      </c>
      <c r="K565" s="633" t="n"/>
      <c r="L565" s="633" t="n"/>
      <c r="M565" s="633" t="n"/>
      <c r="N565" s="633" t="n"/>
      <c r="O565" s="633" t="n"/>
      <c r="P565" s="632" t="n"/>
      <c r="Q565" s="632" t="n"/>
      <c r="R565" s="632" t="n"/>
      <c r="S565" s="632" t="n"/>
      <c r="T565" s="632" t="n"/>
      <c r="U565" s="632" t="n"/>
      <c r="V565" s="632" t="n"/>
      <c r="W565" s="632" t="n"/>
      <c r="X565" s="632" t="n"/>
      <c r="Y565" s="632" t="n"/>
      <c r="Z565" s="632" t="n"/>
      <c r="AA565" s="632" t="n"/>
      <c r="AB565" s="632" t="n"/>
      <c r="AC565" s="632" t="n"/>
      <c r="AD565" s="632" t="n"/>
    </row>
    <row r="566">
      <c r="A566" s="631" t="inlineStr">
        <is>
          <t>KVV</t>
        </is>
      </c>
      <c r="B566" s="631" t="n">
        <v>2500</v>
      </c>
      <c r="C566" s="631" t="n">
        <v>2000</v>
      </c>
      <c r="D566" s="640">
        <f>$A566&amp;B566&amp;C566</f>
        <v/>
      </c>
      <c r="E566" s="1040">
        <f>SUM(G566:AD566)</f>
        <v/>
      </c>
      <c r="F566" s="632" t="n">
        <v>15</v>
      </c>
      <c r="G566" s="633">
        <f>F566*CCBASE!$B$51</f>
        <v/>
      </c>
      <c r="H566" s="633" t="n"/>
      <c r="I566" s="633" t="n"/>
      <c r="J566" s="633">
        <f>CCBASE!$I$30*B566/1000</f>
        <v/>
      </c>
      <c r="K566" s="633" t="n"/>
      <c r="L566" s="633" t="n"/>
      <c r="M566" s="633" t="n"/>
      <c r="N566" s="633" t="n"/>
      <c r="O566" s="633" t="n"/>
      <c r="P566" s="632" t="n"/>
      <c r="Q566" s="632" t="n"/>
      <c r="R566" s="632" t="n"/>
      <c r="S566" s="632" t="n"/>
      <c r="T566" s="632" t="n"/>
      <c r="U566" s="632" t="n"/>
      <c r="V566" s="632" t="n"/>
      <c r="W566" s="632" t="n"/>
      <c r="X566" s="632" t="n"/>
      <c r="Y566" s="632" t="n"/>
      <c r="Z566" s="632" t="n"/>
      <c r="AA566" s="632" t="n"/>
      <c r="AB566" s="632" t="n"/>
      <c r="AC566" s="632" t="n"/>
      <c r="AD566" s="632" t="n"/>
    </row>
    <row r="567">
      <c r="A567" s="631" t="inlineStr">
        <is>
          <t>KVV</t>
        </is>
      </c>
      <c r="B567" s="631" t="n">
        <v>2750</v>
      </c>
      <c r="C567" s="631" t="n">
        <v>2000</v>
      </c>
      <c r="D567" s="640">
        <f>$A567&amp;B567&amp;C567</f>
        <v/>
      </c>
      <c r="E567" s="1040">
        <f>SUM(G567:AD567)</f>
        <v/>
      </c>
      <c r="F567" s="632" t="n">
        <v>15</v>
      </c>
      <c r="G567" s="633">
        <f>F567*CCBASE!$B$51</f>
        <v/>
      </c>
      <c r="H567" s="633" t="n"/>
      <c r="I567" s="633" t="n"/>
      <c r="J567" s="633">
        <f>CCBASE!$I$30*B567/1000</f>
        <v/>
      </c>
      <c r="K567" s="633" t="n"/>
      <c r="L567" s="633" t="n"/>
      <c r="M567" s="633" t="n"/>
      <c r="N567" s="633" t="n"/>
      <c r="O567" s="633" t="n"/>
      <c r="P567" s="632" t="n"/>
      <c r="Q567" s="632" t="n"/>
      <c r="R567" s="632" t="n"/>
      <c r="S567" s="632" t="n"/>
      <c r="T567" s="632" t="n"/>
      <c r="U567" s="632" t="n"/>
      <c r="V567" s="632" t="n"/>
      <c r="W567" s="632" t="n"/>
      <c r="X567" s="632" t="n"/>
      <c r="Y567" s="632" t="n"/>
      <c r="Z567" s="632" t="n"/>
      <c r="AA567" s="632" t="n"/>
      <c r="AB567" s="632" t="n"/>
      <c r="AC567" s="632" t="n"/>
      <c r="AD567" s="632" t="n"/>
    </row>
    <row r="568">
      <c r="A568" s="631" t="inlineStr">
        <is>
          <t>KVV</t>
        </is>
      </c>
      <c r="B568" s="631" t="n">
        <v>3000</v>
      </c>
      <c r="C568" s="631" t="n">
        <v>2000</v>
      </c>
      <c r="D568" s="640">
        <f>$A568&amp;B568&amp;C568</f>
        <v/>
      </c>
      <c r="E568" s="1040">
        <f>SUM(G568:AD568)</f>
        <v/>
      </c>
      <c r="F568" s="632" t="n">
        <v>15</v>
      </c>
      <c r="G568" s="633">
        <f>F568*CCBASE!$B$51</f>
        <v/>
      </c>
      <c r="H568" s="633" t="n"/>
      <c r="I568" s="633" t="n"/>
      <c r="J568" s="633">
        <f>CCBASE!$I$30*B568/1000</f>
        <v/>
      </c>
      <c r="K568" s="633" t="n"/>
      <c r="L568" s="633" t="n"/>
      <c r="M568" s="633" t="n"/>
      <c r="N568" s="633" t="n"/>
      <c r="O568" s="633" t="n"/>
      <c r="P568" s="632" t="n"/>
      <c r="Q568" s="632" t="n"/>
      <c r="R568" s="632" t="n"/>
      <c r="S568" s="632" t="n"/>
      <c r="T568" s="632" t="n"/>
      <c r="U568" s="632" t="n"/>
      <c r="V568" s="632" t="n"/>
      <c r="W568" s="632" t="n"/>
      <c r="X568" s="632" t="n"/>
      <c r="Y568" s="632" t="n"/>
      <c r="Z568" s="632" t="n"/>
      <c r="AA568" s="632" t="n"/>
      <c r="AB568" s="632" t="n"/>
      <c r="AC568" s="632" t="n"/>
      <c r="AD568" s="632" t="n"/>
    </row>
    <row r="569">
      <c r="A569" s="631" t="inlineStr">
        <is>
          <t>CP</t>
        </is>
      </c>
      <c r="B569" s="631" t="n">
        <v>1</v>
      </c>
      <c r="C569" s="631" t="inlineStr">
        <is>
          <t>S</t>
        </is>
      </c>
      <c r="D569" s="640">
        <f>$A569&amp;B569&amp;C569</f>
        <v/>
      </c>
      <c r="E569" s="1040" t="n">
        <v>3957.74</v>
      </c>
      <c r="F569" s="632" t="n">
        <v>6</v>
      </c>
      <c r="G569" s="633">
        <f>F569*CCBASE!$B$51</f>
        <v/>
      </c>
      <c r="H569" s="633" t="n"/>
      <c r="I569" s="638" t="n"/>
      <c r="J569" s="638" t="n"/>
      <c r="K569" s="638" t="n"/>
      <c r="L569" s="638" t="n"/>
      <c r="M569" s="638" t="n"/>
      <c r="N569" s="638" t="n"/>
      <c r="O569" s="638" t="n"/>
      <c r="P569" s="638" t="n"/>
      <c r="Q569" s="638" t="n"/>
      <c r="R569" s="638" t="n"/>
      <c r="S569" s="638" t="n"/>
      <c r="T569" s="638" t="n"/>
      <c r="U569" s="638" t="n"/>
      <c r="V569" s="638" t="n"/>
      <c r="W569" s="638" t="n"/>
      <c r="X569" s="638">
        <f>'Base Costs'!$R$33</f>
        <v/>
      </c>
      <c r="Y569" s="638">
        <f>'Base Costs'!$R$23</f>
        <v/>
      </c>
      <c r="Z569" s="638">
        <f>'Base Costs'!R29</f>
        <v/>
      </c>
      <c r="AA569" s="638">
        <f>'Base Costs'!R25</f>
        <v/>
      </c>
      <c r="AB569" s="633">
        <f>CCBASE!$I$48</f>
        <v/>
      </c>
      <c r="AC569" s="638">
        <f>'Base Costs'!$R$24</f>
        <v/>
      </c>
      <c r="AD569" s="638" t="n"/>
    </row>
    <row r="570">
      <c r="A570" s="631" t="inlineStr">
        <is>
          <t>CP</t>
        </is>
      </c>
      <c r="B570" s="631" t="n">
        <v>2</v>
      </c>
      <c r="C570" s="631" t="inlineStr">
        <is>
          <t>S</t>
        </is>
      </c>
      <c r="D570" s="640">
        <f>$A570&amp;B570&amp;C570</f>
        <v/>
      </c>
      <c r="E570" s="1040" t="n">
        <v>4249.6</v>
      </c>
      <c r="F570" s="632" t="n">
        <v>6</v>
      </c>
      <c r="G570" s="633">
        <f>F570*CCBASE!$B$51</f>
        <v/>
      </c>
      <c r="H570" s="633" t="n"/>
      <c r="I570" s="638" t="n"/>
      <c r="J570" s="638" t="n"/>
      <c r="K570" s="638" t="n"/>
      <c r="L570" s="638" t="n"/>
      <c r="M570" s="638" t="n"/>
      <c r="N570" s="638" t="n"/>
      <c r="O570" s="638" t="n"/>
      <c r="P570" s="638" t="n"/>
      <c r="Q570" s="638" t="n"/>
      <c r="R570" s="638" t="n"/>
      <c r="S570" s="638" t="n"/>
      <c r="T570" s="638" t="n"/>
      <c r="U570" s="638" t="n"/>
      <c r="V570" s="638" t="n"/>
      <c r="W570" s="638" t="n"/>
      <c r="X570" s="638">
        <f>'Base Costs'!$R$33</f>
        <v/>
      </c>
      <c r="Y570" s="638">
        <f>'Base Costs'!$R$23</f>
        <v/>
      </c>
      <c r="Z570" s="638">
        <f>'Base Costs'!R30</f>
        <v/>
      </c>
      <c r="AA570" s="638">
        <f>'Base Costs'!R26</f>
        <v/>
      </c>
      <c r="AB570" s="633">
        <f>CCBASE!$I$48</f>
        <v/>
      </c>
      <c r="AC570" s="638">
        <f>'Base Costs'!$R$24</f>
        <v/>
      </c>
      <c r="AD570" s="638" t="n"/>
    </row>
    <row r="571">
      <c r="A571" s="631" t="inlineStr">
        <is>
          <t>CP</t>
        </is>
      </c>
      <c r="B571" s="631" t="n">
        <v>3</v>
      </c>
      <c r="C571" s="631" t="inlineStr">
        <is>
          <t>S</t>
        </is>
      </c>
      <c r="D571" s="640">
        <f>$A571&amp;B571&amp;C571</f>
        <v/>
      </c>
      <c r="E571" s="1040" t="n">
        <v>4541.45</v>
      </c>
      <c r="F571" s="632" t="n">
        <v>6</v>
      </c>
      <c r="G571" s="633">
        <f>F571*CCBASE!$B$51</f>
        <v/>
      </c>
      <c r="H571" s="633" t="n"/>
      <c r="I571" s="638" t="n"/>
      <c r="J571" s="638" t="n"/>
      <c r="K571" s="638" t="n"/>
      <c r="L571" s="638" t="n"/>
      <c r="M571" s="638" t="n"/>
      <c r="N571" s="638" t="n"/>
      <c r="O571" s="638" t="n"/>
      <c r="P571" s="638" t="n"/>
      <c r="Q571" s="638" t="n"/>
      <c r="R571" s="638" t="n"/>
      <c r="S571" s="638" t="n"/>
      <c r="T571" s="638" t="n"/>
      <c r="U571" s="638" t="n"/>
      <c r="V571" s="638" t="n"/>
      <c r="W571" s="638" t="n"/>
      <c r="X571" s="638">
        <f>'Base Costs'!$R$33</f>
        <v/>
      </c>
      <c r="Y571" s="638">
        <f>'Base Costs'!$R$23</f>
        <v/>
      </c>
      <c r="Z571" s="638">
        <f>'Base Costs'!R31</f>
        <v/>
      </c>
      <c r="AA571" s="638">
        <f>'Base Costs'!R27</f>
        <v/>
      </c>
      <c r="AB571" s="633">
        <f>CCBASE!$I$48</f>
        <v/>
      </c>
      <c r="AC571" s="638">
        <f>'Base Costs'!$R$24</f>
        <v/>
      </c>
      <c r="AD571" s="638" t="n"/>
    </row>
    <row r="572">
      <c r="A572" s="631" t="inlineStr">
        <is>
          <t>CP</t>
        </is>
      </c>
      <c r="B572" s="631" t="n">
        <v>4</v>
      </c>
      <c r="C572" s="631" t="inlineStr">
        <is>
          <t>S</t>
        </is>
      </c>
      <c r="D572" s="640">
        <f>$A572&amp;B572&amp;C572</f>
        <v/>
      </c>
      <c r="E572" s="1040" t="n">
        <v>4611.61</v>
      </c>
      <c r="F572" s="632" t="n">
        <v>6</v>
      </c>
      <c r="G572" s="633">
        <f>F572*CCBASE!$B$51</f>
        <v/>
      </c>
      <c r="H572" s="633" t="n"/>
      <c r="I572" s="638" t="n"/>
      <c r="J572" s="638" t="n"/>
      <c r="K572" s="638" t="n"/>
      <c r="L572" s="638" t="n"/>
      <c r="M572" s="638" t="n"/>
      <c r="N572" s="638" t="n"/>
      <c r="O572" s="638" t="n"/>
      <c r="P572" s="638" t="n"/>
      <c r="Q572" s="638" t="n"/>
      <c r="R572" s="638" t="n"/>
      <c r="S572" s="638" t="n"/>
      <c r="T572" s="638" t="n"/>
      <c r="U572" s="638" t="n"/>
      <c r="V572" s="638" t="n"/>
      <c r="W572" s="638" t="n"/>
      <c r="X572" s="638">
        <f>'Base Costs'!$R$33</f>
        <v/>
      </c>
      <c r="Y572" s="638">
        <f>'Base Costs'!$R$23</f>
        <v/>
      </c>
      <c r="Z572" s="638">
        <f>'Base Costs'!R32</f>
        <v/>
      </c>
      <c r="AA572" s="638">
        <f>'Base Costs'!R28</f>
        <v/>
      </c>
      <c r="AB572" s="633">
        <f>CCBASE!$I$48</f>
        <v/>
      </c>
      <c r="AC572" s="638">
        <f>'Base Costs'!$R$24</f>
        <v/>
      </c>
      <c r="AD572" s="638" t="n"/>
    </row>
    <row r="573">
      <c r="A573" s="631" t="inlineStr">
        <is>
          <t>KVX-P</t>
        </is>
      </c>
      <c r="B573" s="631" t="n">
        <v>1000</v>
      </c>
      <c r="C573" s="631" t="n">
        <v>1000</v>
      </c>
      <c r="D573" s="631">
        <f>$A573&amp;B573&amp;C573</f>
        <v/>
      </c>
      <c r="E573" s="1040">
        <f>SUM(G573:AD573)</f>
        <v/>
      </c>
      <c r="F573" s="632" t="n">
        <v>13</v>
      </c>
      <c r="G573" s="633">
        <f>F573*CCBASE!$B$51</f>
        <v/>
      </c>
      <c r="H573" s="633">
        <f>CCBASE!$I$12*B573/1000</f>
        <v/>
      </c>
      <c r="I573" s="633" t="n"/>
      <c r="J573" s="633" t="n"/>
      <c r="K573" s="633" t="n"/>
      <c r="L573" s="632" t="n"/>
      <c r="M573" s="633" t="n"/>
      <c r="N573" s="633" t="n"/>
      <c r="O573" s="633" t="n"/>
      <c r="P573" s="633" t="n"/>
      <c r="Q573" s="633">
        <f>CCBASE!$I$51</f>
        <v/>
      </c>
      <c r="R573" s="633">
        <f>CCBASE!$I$4</f>
        <v/>
      </c>
      <c r="S573" s="633">
        <f>CCBASE!$I$8</f>
        <v/>
      </c>
      <c r="T573" s="632" t="n"/>
      <c r="U573" s="633" t="n"/>
      <c r="V573" s="633" t="n"/>
      <c r="W573" s="633" t="n"/>
      <c r="X573" s="633" t="n"/>
      <c r="Y573" s="633" t="n"/>
      <c r="Z573" s="633" t="n"/>
      <c r="AA573" s="633" t="n"/>
      <c r="AB573" s="633" t="n"/>
      <c r="AC573" s="633" t="n"/>
      <c r="AD573" s="633" t="n"/>
      <c r="AI573" s="635" t="n"/>
      <c r="AJ573" s="635" t="n"/>
      <c r="AK573" s="636" t="n"/>
      <c r="AL573" s="636" t="n"/>
      <c r="AM573" s="636" t="n"/>
      <c r="AN573" s="636" t="n"/>
      <c r="AO573" s="636" t="n"/>
      <c r="AP573" s="636" t="n"/>
      <c r="AQ573" s="636" t="n"/>
      <c r="AR573" s="636" t="n"/>
      <c r="AS573" s="636" t="n"/>
    </row>
    <row r="574">
      <c r="A574" s="631" t="inlineStr">
        <is>
          <t>KVX-P</t>
        </is>
      </c>
      <c r="B574" s="631" t="n">
        <v>1250</v>
      </c>
      <c r="C574" s="631" t="n">
        <v>1000</v>
      </c>
      <c r="D574" s="631">
        <f>$A574&amp;B574&amp;C574</f>
        <v/>
      </c>
      <c r="E574" s="1040">
        <f>SUM(G574:AD574)</f>
        <v/>
      </c>
      <c r="F574" s="632" t="n">
        <v>13</v>
      </c>
      <c r="G574" s="633">
        <f>F574*CCBASE!$B$51</f>
        <v/>
      </c>
      <c r="H574" s="633">
        <f>CCBASE!$I$12*B574/1000</f>
        <v/>
      </c>
      <c r="I574" s="633" t="n"/>
      <c r="J574" s="633" t="n"/>
      <c r="K574" s="633" t="n"/>
      <c r="L574" s="632" t="n"/>
      <c r="M574" s="633" t="n"/>
      <c r="N574" s="633" t="n"/>
      <c r="O574" s="633" t="n"/>
      <c r="P574" s="633" t="n"/>
      <c r="Q574" s="633">
        <f>CCBASE!$I$51</f>
        <v/>
      </c>
      <c r="R574" s="633">
        <f>CCBASE!$I$4</f>
        <v/>
      </c>
      <c r="S574" s="633">
        <f>CCBASE!$I$8</f>
        <v/>
      </c>
      <c r="T574" s="632" t="n"/>
      <c r="U574" s="633" t="n"/>
      <c r="V574" s="633" t="n"/>
      <c r="W574" s="633" t="n"/>
      <c r="X574" s="633" t="n"/>
      <c r="Y574" s="633" t="n"/>
      <c r="Z574" s="633" t="n"/>
      <c r="AA574" s="633" t="n"/>
      <c r="AB574" s="633" t="n"/>
      <c r="AC574" s="633" t="n"/>
      <c r="AD574" s="633" t="n"/>
      <c r="AI574" s="635" t="n"/>
      <c r="AJ574" s="635" t="n"/>
      <c r="AK574" s="636" t="n"/>
      <c r="AL574" s="636" t="n"/>
      <c r="AM574" s="636" t="n"/>
      <c r="AN574" s="636" t="n"/>
      <c r="AO574" s="636" t="n"/>
      <c r="AP574" s="636" t="n"/>
      <c r="AQ574" s="636" t="n"/>
      <c r="AR574" s="636" t="n"/>
      <c r="AS574" s="636" t="n"/>
    </row>
    <row r="575">
      <c r="A575" s="631" t="inlineStr">
        <is>
          <t>KVX-P</t>
        </is>
      </c>
      <c r="B575" s="631" t="n">
        <v>1500</v>
      </c>
      <c r="C575" s="631" t="n">
        <v>1000</v>
      </c>
      <c r="D575" s="631">
        <f>$A575&amp;B575&amp;C575</f>
        <v/>
      </c>
      <c r="E575" s="1040">
        <f>SUM(G575:AD575)</f>
        <v/>
      </c>
      <c r="F575" s="632" t="n">
        <v>13</v>
      </c>
      <c r="G575" s="633">
        <f>F575*CCBASE!$B$51</f>
        <v/>
      </c>
      <c r="H575" s="633">
        <f>CCBASE!$I$12*B575/1000</f>
        <v/>
      </c>
      <c r="I575" s="633" t="n"/>
      <c r="J575" s="633" t="n"/>
      <c r="K575" s="633" t="n"/>
      <c r="L575" s="632" t="n"/>
      <c r="M575" s="633" t="n"/>
      <c r="N575" s="633" t="n"/>
      <c r="O575" s="633" t="n"/>
      <c r="P575" s="633" t="n"/>
      <c r="Q575" s="633">
        <f>CCBASE!$I$51</f>
        <v/>
      </c>
      <c r="R575" s="633">
        <f>CCBASE!$I$4</f>
        <v/>
      </c>
      <c r="S575" s="633">
        <f>CCBASE!$I$8</f>
        <v/>
      </c>
      <c r="T575" s="632" t="n"/>
      <c r="U575" s="633" t="n"/>
      <c r="V575" s="633" t="n"/>
      <c r="W575" s="633" t="n"/>
      <c r="X575" s="633" t="n"/>
      <c r="Y575" s="633" t="n"/>
      <c r="Z575" s="633" t="n"/>
      <c r="AA575" s="633" t="n"/>
      <c r="AB575" s="633" t="n"/>
      <c r="AC575" s="633" t="n"/>
      <c r="AD575" s="633" t="n"/>
      <c r="AI575" s="635" t="n"/>
      <c r="AJ575" s="635" t="n"/>
      <c r="AK575" s="636" t="n"/>
      <c r="AL575" s="636" t="n"/>
      <c r="AM575" s="636" t="n"/>
      <c r="AN575" s="636" t="n"/>
      <c r="AO575" s="636" t="n"/>
      <c r="AP575" s="636" t="n"/>
      <c r="AQ575" s="636" t="n"/>
      <c r="AR575" s="636" t="n"/>
      <c r="AS575" s="636" t="n"/>
    </row>
    <row r="576" ht="17" customHeight="1" s="1085" thickBot="1">
      <c r="A576" s="641" t="inlineStr">
        <is>
          <t>KVX-P</t>
        </is>
      </c>
      <c r="B576" s="641" t="n">
        <v>2000</v>
      </c>
      <c r="C576" s="641" t="n">
        <v>1000</v>
      </c>
      <c r="D576" s="641">
        <f>$A576&amp;B576&amp;C576</f>
        <v/>
      </c>
      <c r="E576" s="1040">
        <f>SUM(G576:AD576)</f>
        <v/>
      </c>
      <c r="F576" s="642" t="n">
        <v>13</v>
      </c>
      <c r="G576" s="643">
        <f>F576*CCBASE!$B$51</f>
        <v/>
      </c>
      <c r="H576" s="643">
        <f>CCBASE!$I$12*B576/1000</f>
        <v/>
      </c>
      <c r="I576" s="643" t="n"/>
      <c r="J576" s="643" t="n"/>
      <c r="K576" s="643" t="n"/>
      <c r="L576" s="642" t="n"/>
      <c r="M576" s="643" t="n"/>
      <c r="N576" s="643" t="n"/>
      <c r="O576" s="643" t="n"/>
      <c r="P576" s="643" t="n"/>
      <c r="Q576" s="643">
        <f>CCBASE!$I$51</f>
        <v/>
      </c>
      <c r="R576" s="643">
        <f>CCBASE!$I$4</f>
        <v/>
      </c>
      <c r="S576" s="643">
        <f>CCBASE!$I$8</f>
        <v/>
      </c>
      <c r="T576" s="642" t="n"/>
      <c r="U576" s="643" t="n"/>
      <c r="V576" s="643" t="n"/>
      <c r="W576" s="643" t="n"/>
      <c r="X576" s="643" t="n"/>
      <c r="Y576" s="643" t="n"/>
      <c r="Z576" s="643" t="n"/>
      <c r="AA576" s="643" t="n"/>
      <c r="AB576" s="643" t="n"/>
      <c r="AC576" s="643" t="n"/>
      <c r="AD576" s="643" t="n"/>
      <c r="AI576" s="635" t="n"/>
      <c r="AJ576" s="635" t="n"/>
      <c r="AK576" s="636" t="n"/>
      <c r="AL576" s="636" t="n"/>
      <c r="AM576" s="636" t="n"/>
      <c r="AN576" s="636" t="n"/>
      <c r="AO576" s="636" t="n"/>
      <c r="AP576" s="636" t="n"/>
      <c r="AQ576" s="636" t="n"/>
      <c r="AR576" s="636" t="n"/>
      <c r="AS576" s="636" t="n"/>
    </row>
    <row r="577" ht="17" customHeight="1" s="1085" thickBot="1">
      <c r="A577" s="644" t="inlineStr">
        <is>
          <t>KVX-M</t>
        </is>
      </c>
      <c r="B577" s="645" t="n">
        <v>1000</v>
      </c>
      <c r="C577" s="645" t="n">
        <v>1000</v>
      </c>
      <c r="D577" s="646">
        <f>$A577&amp;B577&amp;C577</f>
        <v/>
      </c>
      <c r="E577" s="1040">
        <f>SUM(G577:AD577)</f>
        <v/>
      </c>
      <c r="F577" s="647" t="n">
        <v>17</v>
      </c>
      <c r="G577" s="648">
        <f>F577*CCBASE!$B$51</f>
        <v/>
      </c>
      <c r="H577" s="648">
        <f>CCBASE!$I$12*B577/1000</f>
        <v/>
      </c>
      <c r="I577" s="648" t="n"/>
      <c r="J577" s="648" t="n"/>
      <c r="K577" s="648" t="n"/>
      <c r="L577" s="647" t="n"/>
      <c r="M577" s="648">
        <f>CCBASE!$I$15*B577/1000</f>
        <v/>
      </c>
      <c r="N577" s="648">
        <f>CCBASE!$I$7*B577/1000</f>
        <v/>
      </c>
      <c r="O577" s="648">
        <f>CCBASE!$I$45*B577/1000</f>
        <v/>
      </c>
      <c r="P577" s="648" t="n"/>
      <c r="Q577" s="648">
        <f>CCBASE!$I$51</f>
        <v/>
      </c>
      <c r="R577" s="648">
        <f>CCBASE!$I$4</f>
        <v/>
      </c>
      <c r="S577" s="648">
        <f>CCBASE!$I$8</f>
        <v/>
      </c>
      <c r="T577" s="647" t="n"/>
      <c r="U577" s="649">
        <f>CCBASE!$I$47</f>
        <v/>
      </c>
      <c r="V577" s="648" t="n"/>
      <c r="W577" s="648">
        <f>CCBASE!$I$40*B577/1000</f>
        <v/>
      </c>
      <c r="X577" s="648" t="n"/>
      <c r="Y577" s="648" t="n"/>
      <c r="Z577" s="648" t="n"/>
      <c r="AA577" s="648" t="n"/>
      <c r="AB577" s="648" t="n"/>
      <c r="AC577" s="648" t="n"/>
      <c r="AD577" s="650">
        <f>CCBASE!$I$32*2</f>
        <v/>
      </c>
      <c r="AI577" s="635" t="n"/>
      <c r="AJ577" s="635" t="n"/>
      <c r="AK577" s="636" t="n"/>
      <c r="AL577" s="636" t="n"/>
      <c r="AM577" s="636" t="n"/>
      <c r="AN577" s="636" t="n"/>
      <c r="AO577" s="636" t="n"/>
      <c r="AP577" s="636" t="n"/>
      <c r="AQ577" s="636" t="n"/>
      <c r="AR577" s="636" t="n"/>
      <c r="AS577" s="636" t="n"/>
    </row>
    <row r="578" ht="17" customHeight="1" s="1085" thickBot="1">
      <c r="A578" s="644" t="inlineStr">
        <is>
          <t>KVX-M</t>
        </is>
      </c>
      <c r="B578" s="631" t="n">
        <v>1250</v>
      </c>
      <c r="C578" s="631" t="n">
        <v>1000</v>
      </c>
      <c r="D578" s="651">
        <f>$A578&amp;B578&amp;C578</f>
        <v/>
      </c>
      <c r="E578" s="1040">
        <f>SUM(G578:AD578)</f>
        <v/>
      </c>
      <c r="F578" s="632" t="n">
        <v>17</v>
      </c>
      <c r="G578" s="633">
        <f>F578*CCBASE!$B$51</f>
        <v/>
      </c>
      <c r="H578" s="633">
        <f>CCBASE!$I$12*B578/1000</f>
        <v/>
      </c>
      <c r="I578" s="633" t="n"/>
      <c r="J578" s="633" t="n"/>
      <c r="K578" s="633" t="n"/>
      <c r="L578" s="632" t="n"/>
      <c r="M578" s="633">
        <f>CCBASE!$I$15*B578/1000</f>
        <v/>
      </c>
      <c r="N578" s="633">
        <f>CCBASE!$I$7*B578/1000</f>
        <v/>
      </c>
      <c r="O578" s="633">
        <f>CCBASE!$I$45*B578/1000</f>
        <v/>
      </c>
      <c r="P578" s="633" t="n"/>
      <c r="Q578" s="633">
        <f>CCBASE!$I$51</f>
        <v/>
      </c>
      <c r="R578" s="633">
        <f>CCBASE!$I$4</f>
        <v/>
      </c>
      <c r="S578" s="633">
        <f>CCBASE!$I$8</f>
        <v/>
      </c>
      <c r="T578" s="632" t="n"/>
      <c r="U578" s="638">
        <f>CCBASE!$I$47</f>
        <v/>
      </c>
      <c r="V578" s="633" t="n"/>
      <c r="W578" s="633">
        <f>CCBASE!$I$40*B578/1000</f>
        <v/>
      </c>
      <c r="X578" s="633" t="n"/>
      <c r="Y578" s="633" t="n"/>
      <c r="Z578" s="633" t="n"/>
      <c r="AA578" s="633" t="n"/>
      <c r="AB578" s="633" t="n"/>
      <c r="AC578" s="633" t="n"/>
      <c r="AD578" s="652">
        <f>CCBASE!$I$32*2</f>
        <v/>
      </c>
      <c r="AI578" s="635" t="n"/>
      <c r="AJ578" s="635" t="n"/>
      <c r="AK578" s="636" t="n"/>
      <c r="AL578" s="636" t="n"/>
      <c r="AM578" s="636" t="n"/>
      <c r="AN578" s="636" t="n"/>
      <c r="AO578" s="636" t="n"/>
      <c r="AP578" s="636" t="n"/>
      <c r="AQ578" s="636" t="n"/>
      <c r="AR578" s="636" t="n"/>
      <c r="AS578" s="636" t="n"/>
    </row>
    <row r="579" ht="17" customHeight="1" s="1085" thickBot="1">
      <c r="A579" s="644" t="inlineStr">
        <is>
          <t>KVX-M</t>
        </is>
      </c>
      <c r="B579" s="631" t="n">
        <v>1500</v>
      </c>
      <c r="C579" s="631" t="n">
        <v>1000</v>
      </c>
      <c r="D579" s="651">
        <f>$A579&amp;B579&amp;C579</f>
        <v/>
      </c>
      <c r="E579" s="1040">
        <f>SUM(G579:AD579)</f>
        <v/>
      </c>
      <c r="F579" s="632" t="n">
        <v>17</v>
      </c>
      <c r="G579" s="633">
        <f>F579*CCBASE!$B$51</f>
        <v/>
      </c>
      <c r="H579" s="633">
        <f>CCBASE!$I$12*B579/1000</f>
        <v/>
      </c>
      <c r="I579" s="633" t="n"/>
      <c r="J579" s="633" t="n"/>
      <c r="K579" s="633" t="n"/>
      <c r="L579" s="632" t="n"/>
      <c r="M579" s="633">
        <f>CCBASE!$I$15*B579/1000</f>
        <v/>
      </c>
      <c r="N579" s="633">
        <f>CCBASE!$I$7*B579/1000</f>
        <v/>
      </c>
      <c r="O579" s="633">
        <f>CCBASE!$I$45*B579/1000</f>
        <v/>
      </c>
      <c r="P579" s="633" t="n"/>
      <c r="Q579" s="633">
        <f>CCBASE!$I$51</f>
        <v/>
      </c>
      <c r="R579" s="633">
        <f>CCBASE!$I$4</f>
        <v/>
      </c>
      <c r="S579" s="633">
        <f>CCBASE!$I$8</f>
        <v/>
      </c>
      <c r="T579" s="632" t="n"/>
      <c r="U579" s="638">
        <f>CCBASE!$I$47</f>
        <v/>
      </c>
      <c r="V579" s="633" t="n"/>
      <c r="W579" s="633">
        <f>CCBASE!$I$40*B579/1000</f>
        <v/>
      </c>
      <c r="X579" s="633" t="n"/>
      <c r="Y579" s="633" t="n"/>
      <c r="Z579" s="633" t="n"/>
      <c r="AA579" s="633" t="n"/>
      <c r="AB579" s="633" t="n"/>
      <c r="AC579" s="633" t="n"/>
      <c r="AD579" s="652">
        <f>CCBASE!$I$32*2</f>
        <v/>
      </c>
      <c r="AI579" s="635" t="n"/>
      <c r="AJ579" s="635" t="n"/>
      <c r="AK579" s="636" t="n"/>
      <c r="AL579" s="636" t="n"/>
      <c r="AM579" s="636" t="n"/>
      <c r="AN579" s="636" t="n"/>
      <c r="AO579" s="636" t="n"/>
      <c r="AP579" s="636" t="n"/>
      <c r="AQ579" s="636" t="n"/>
      <c r="AR579" s="636" t="n"/>
      <c r="AS579" s="636" t="n"/>
    </row>
    <row r="580" ht="17" customHeight="1" s="1085" thickBot="1">
      <c r="A580" s="644" t="inlineStr">
        <is>
          <t>KVX-M</t>
        </is>
      </c>
      <c r="B580" s="631" t="n">
        <v>1750</v>
      </c>
      <c r="C580" s="631" t="n">
        <v>1000</v>
      </c>
      <c r="D580" s="651">
        <f>$A580&amp;B580&amp;C580</f>
        <v/>
      </c>
      <c r="E580" s="1040">
        <f>SUM(G580:AD580)</f>
        <v/>
      </c>
      <c r="F580" s="632" t="n">
        <v>18</v>
      </c>
      <c r="G580" s="633">
        <f>F580*CCBASE!$B$51</f>
        <v/>
      </c>
      <c r="H580" s="633">
        <f>CCBASE!$I$12*B580/1000</f>
        <v/>
      </c>
      <c r="I580" s="633" t="n"/>
      <c r="J580" s="633" t="n"/>
      <c r="K580" s="633" t="n"/>
      <c r="L580" s="632" t="n"/>
      <c r="M580" s="633">
        <f>CCBASE!$I$15*B580/1000</f>
        <v/>
      </c>
      <c r="N580" s="633">
        <f>CCBASE!$I$7*B580/1000</f>
        <v/>
      </c>
      <c r="O580" s="633">
        <f>CCBASE!$I$45*B580/1000</f>
        <v/>
      </c>
      <c r="P580" s="633" t="n"/>
      <c r="Q580" s="633">
        <f>CCBASE!$I$51</f>
        <v/>
      </c>
      <c r="R580" s="633">
        <f>CCBASE!$I$4</f>
        <v/>
      </c>
      <c r="S580" s="633">
        <f>CCBASE!$I$8</f>
        <v/>
      </c>
      <c r="T580" s="632" t="n"/>
      <c r="U580" s="638">
        <f>CCBASE!$I$47</f>
        <v/>
      </c>
      <c r="V580" s="633" t="n"/>
      <c r="W580" s="633">
        <f>CCBASE!$I$40*B580/1000</f>
        <v/>
      </c>
      <c r="X580" s="633" t="n"/>
      <c r="Y580" s="633" t="n"/>
      <c r="Z580" s="633" t="n"/>
      <c r="AA580" s="633" t="n"/>
      <c r="AB580" s="633" t="n"/>
      <c r="AC580" s="633" t="n"/>
      <c r="AD580" s="652">
        <f>CCBASE!$I$32*2</f>
        <v/>
      </c>
      <c r="AI580" s="635" t="n"/>
      <c r="AJ580" s="635" t="n"/>
      <c r="AN580" s="636" t="n"/>
      <c r="AO580" s="636" t="n"/>
      <c r="AP580" s="636" t="n"/>
      <c r="AQ580" s="636" t="n"/>
      <c r="AR580" s="636" t="n"/>
      <c r="AS580" s="636" t="n"/>
    </row>
    <row r="581" ht="17" customHeight="1" s="1085" thickBot="1">
      <c r="A581" s="644" t="inlineStr">
        <is>
          <t>KVX-M</t>
        </is>
      </c>
      <c r="B581" s="631" t="n">
        <v>2000</v>
      </c>
      <c r="C581" s="631" t="n">
        <v>1000</v>
      </c>
      <c r="D581" s="651">
        <f>$A581&amp;B581&amp;C581</f>
        <v/>
      </c>
      <c r="E581" s="1040">
        <f>SUM(G581:AD581)</f>
        <v/>
      </c>
      <c r="F581" s="632" t="n">
        <v>18</v>
      </c>
      <c r="G581" s="633">
        <f>F581*CCBASE!$B$51</f>
        <v/>
      </c>
      <c r="H581" s="633">
        <f>CCBASE!$I$12*B581/1000</f>
        <v/>
      </c>
      <c r="I581" s="633" t="n"/>
      <c r="J581" s="633" t="n"/>
      <c r="K581" s="633" t="n"/>
      <c r="L581" s="632" t="n"/>
      <c r="M581" s="633">
        <f>CCBASE!$I$15*B581/1000</f>
        <v/>
      </c>
      <c r="N581" s="633">
        <f>CCBASE!$I$7*B581/1000</f>
        <v/>
      </c>
      <c r="O581" s="633">
        <f>CCBASE!$I$45*B581/1000</f>
        <v/>
      </c>
      <c r="P581" s="633" t="n"/>
      <c r="Q581" s="633">
        <f>CCBASE!$I$51</f>
        <v/>
      </c>
      <c r="R581" s="633">
        <f>CCBASE!$I$4</f>
        <v/>
      </c>
      <c r="S581" s="633">
        <f>CCBASE!$I$8</f>
        <v/>
      </c>
      <c r="T581" s="632" t="n"/>
      <c r="U581" s="638">
        <f>CCBASE!$I$47</f>
        <v/>
      </c>
      <c r="V581" s="633" t="n"/>
      <c r="W581" s="633">
        <f>CCBASE!$I$40*B581/1000</f>
        <v/>
      </c>
      <c r="X581" s="633" t="n"/>
      <c r="Y581" s="633" t="n"/>
      <c r="Z581" s="633" t="n"/>
      <c r="AA581" s="633" t="n"/>
      <c r="AB581" s="633" t="n"/>
      <c r="AC581" s="633" t="n"/>
      <c r="AD581" s="652">
        <f>CCBASE!$I$32*2</f>
        <v/>
      </c>
      <c r="AI581" s="635" t="n"/>
      <c r="AJ581" s="635" t="n"/>
      <c r="AN581" s="636" t="n"/>
      <c r="AO581" s="636" t="n"/>
      <c r="AP581" s="636" t="n"/>
      <c r="AQ581" s="636" t="n"/>
      <c r="AR581" s="636" t="n"/>
      <c r="AS581" s="636" t="n"/>
    </row>
    <row r="582" ht="17" customHeight="1" s="1085" thickBot="1">
      <c r="A582" s="644" t="inlineStr">
        <is>
          <t>KVX-M</t>
        </is>
      </c>
      <c r="B582" s="631" t="n">
        <v>2250</v>
      </c>
      <c r="C582" s="631" t="n">
        <v>1000</v>
      </c>
      <c r="D582" s="651">
        <f>$A582&amp;B582&amp;C582</f>
        <v/>
      </c>
      <c r="E582" s="1040">
        <f>SUM(G582:AD582)</f>
        <v/>
      </c>
      <c r="F582" s="632" t="n">
        <v>18</v>
      </c>
      <c r="G582" s="633">
        <f>F582*CCBASE!$B$51</f>
        <v/>
      </c>
      <c r="H582" s="633">
        <f>CCBASE!$I$12*B582/1000</f>
        <v/>
      </c>
      <c r="I582" s="633" t="n"/>
      <c r="J582" s="633" t="n"/>
      <c r="K582" s="633" t="n"/>
      <c r="L582" s="632" t="n"/>
      <c r="M582" s="633">
        <f>CCBASE!$I$15*B582/1000</f>
        <v/>
      </c>
      <c r="N582" s="633">
        <f>CCBASE!$I$7*B582/1000</f>
        <v/>
      </c>
      <c r="O582" s="633">
        <f>CCBASE!$I$45*B582/1000</f>
        <v/>
      </c>
      <c r="P582" s="633" t="n"/>
      <c r="Q582" s="633">
        <f>CCBASE!$I$51</f>
        <v/>
      </c>
      <c r="R582" s="633">
        <f>CCBASE!$I$4</f>
        <v/>
      </c>
      <c r="S582" s="633">
        <f>CCBASE!$I$8</f>
        <v/>
      </c>
      <c r="T582" s="632" t="n"/>
      <c r="U582" s="638">
        <f>CCBASE!$I$47*2</f>
        <v/>
      </c>
      <c r="V582" s="633" t="n"/>
      <c r="W582" s="633">
        <f>CCBASE!$I$40*B582/1000</f>
        <v/>
      </c>
      <c r="X582" s="633" t="n"/>
      <c r="Y582" s="633" t="n"/>
      <c r="Z582" s="633" t="n"/>
      <c r="AA582" s="633" t="n"/>
      <c r="AB582" s="633" t="n"/>
      <c r="AC582" s="633" t="n"/>
      <c r="AD582" s="652">
        <f>CCBASE!$I$32*2</f>
        <v/>
      </c>
      <c r="AI582" s="635" t="n"/>
      <c r="AJ582" s="635" t="n"/>
      <c r="AN582" s="636" t="n"/>
      <c r="AO582" s="636" t="n"/>
      <c r="AP582" s="636" t="n"/>
      <c r="AQ582" s="636" t="n"/>
      <c r="AR582" s="636" t="n"/>
      <c r="AS582" s="636" t="n"/>
    </row>
    <row r="583" ht="17" customHeight="1" s="1085" thickBot="1">
      <c r="A583" s="644" t="inlineStr">
        <is>
          <t>KVX-M</t>
        </is>
      </c>
      <c r="B583" s="631" t="n">
        <v>2500</v>
      </c>
      <c r="C583" s="631" t="n">
        <v>1000</v>
      </c>
      <c r="D583" s="651">
        <f>$A583&amp;B583&amp;C583</f>
        <v/>
      </c>
      <c r="E583" s="1040">
        <f>SUM(G583:AD583)</f>
        <v/>
      </c>
      <c r="F583" s="632" t="n">
        <v>19</v>
      </c>
      <c r="G583" s="633">
        <f>F583*CCBASE!$B$51</f>
        <v/>
      </c>
      <c r="H583" s="633">
        <f>CCBASE!$I$12*B583/1000</f>
        <v/>
      </c>
      <c r="I583" s="633" t="n"/>
      <c r="J583" s="633" t="n"/>
      <c r="K583" s="633" t="n"/>
      <c r="L583" s="632" t="n"/>
      <c r="M583" s="633">
        <f>CCBASE!$I$15*B583/1000</f>
        <v/>
      </c>
      <c r="N583" s="633">
        <f>CCBASE!$I$7*B583/1000</f>
        <v/>
      </c>
      <c r="O583" s="633">
        <f>CCBASE!$I$45*B583/1000</f>
        <v/>
      </c>
      <c r="P583" s="633" t="n"/>
      <c r="Q583" s="633">
        <f>CCBASE!$I$51</f>
        <v/>
      </c>
      <c r="R583" s="633">
        <f>CCBASE!$I$4</f>
        <v/>
      </c>
      <c r="S583" s="633">
        <f>CCBASE!$I$8</f>
        <v/>
      </c>
      <c r="T583" s="632" t="n"/>
      <c r="U583" s="638">
        <f>CCBASE!$I$47*2</f>
        <v/>
      </c>
      <c r="V583" s="633" t="n"/>
      <c r="W583" s="633">
        <f>CCBASE!$I$40*B583/1000</f>
        <v/>
      </c>
      <c r="X583" s="633" t="n"/>
      <c r="Y583" s="633" t="n"/>
      <c r="Z583" s="633" t="n"/>
      <c r="AA583" s="633" t="n"/>
      <c r="AB583" s="633" t="n"/>
      <c r="AC583" s="633" t="n"/>
      <c r="AD583" s="652">
        <f>CCBASE!$I$32*2</f>
        <v/>
      </c>
      <c r="AI583" s="635" t="n"/>
      <c r="AJ583" s="635" t="n"/>
      <c r="AN583" s="636" t="n"/>
      <c r="AO583" s="636" t="n"/>
      <c r="AP583" s="636" t="n"/>
      <c r="AQ583" s="636" t="n"/>
      <c r="AR583" s="636" t="n"/>
      <c r="AS583" s="636" t="n"/>
    </row>
    <row r="584" ht="17" customHeight="1" s="1085" thickBot="1">
      <c r="A584" s="644" t="inlineStr">
        <is>
          <t>KVX-M</t>
        </is>
      </c>
      <c r="B584" s="631" t="n">
        <v>2750</v>
      </c>
      <c r="C584" s="631" t="n">
        <v>1000</v>
      </c>
      <c r="D584" s="651">
        <f>$A584&amp;B584&amp;C584</f>
        <v/>
      </c>
      <c r="E584" s="1040">
        <f>SUM(G584:AD584)</f>
        <v/>
      </c>
      <c r="F584" s="632" t="n">
        <v>19</v>
      </c>
      <c r="G584" s="633">
        <f>F584*CCBASE!$B$51</f>
        <v/>
      </c>
      <c r="H584" s="633">
        <f>CCBASE!$I$12*B584/1000</f>
        <v/>
      </c>
      <c r="I584" s="633" t="n"/>
      <c r="J584" s="633" t="n"/>
      <c r="K584" s="633" t="n"/>
      <c r="L584" s="632" t="n"/>
      <c r="M584" s="633">
        <f>CCBASE!$I$15*B584/1000</f>
        <v/>
      </c>
      <c r="N584" s="633">
        <f>CCBASE!$I$7*B584/1000</f>
        <v/>
      </c>
      <c r="O584" s="633">
        <f>CCBASE!$I$45*B584/1000</f>
        <v/>
      </c>
      <c r="P584" s="633" t="n"/>
      <c r="Q584" s="633">
        <f>CCBASE!$I$51</f>
        <v/>
      </c>
      <c r="R584" s="633">
        <f>CCBASE!$I$4</f>
        <v/>
      </c>
      <c r="S584" s="633">
        <f>CCBASE!$I$8</f>
        <v/>
      </c>
      <c r="T584" s="632" t="n"/>
      <c r="U584" s="638">
        <f>CCBASE!$I$47*2</f>
        <v/>
      </c>
      <c r="V584" s="633" t="n"/>
      <c r="W584" s="633">
        <f>CCBASE!$I$40*B584/1000</f>
        <v/>
      </c>
      <c r="X584" s="633" t="n"/>
      <c r="Y584" s="633" t="n"/>
      <c r="Z584" s="633" t="n"/>
      <c r="AA584" s="633" t="n"/>
      <c r="AB584" s="633" t="n"/>
      <c r="AC584" s="633" t="n"/>
      <c r="AD584" s="652">
        <f>CCBASE!$I$32*2</f>
        <v/>
      </c>
      <c r="AI584" s="635" t="n"/>
      <c r="AJ584" s="635" t="n"/>
      <c r="AN584" s="636" t="n"/>
      <c r="AO584" s="636" t="n"/>
      <c r="AP584" s="636" t="n"/>
      <c r="AQ584" s="636" t="n"/>
      <c r="AR584" s="636" t="n"/>
      <c r="AS584" s="636" t="n"/>
    </row>
    <row r="585" ht="17" customHeight="1" s="1085" thickBot="1">
      <c r="A585" s="644" t="inlineStr">
        <is>
          <t>KVX-M</t>
        </is>
      </c>
      <c r="B585" s="631" t="n">
        <v>3000</v>
      </c>
      <c r="C585" s="631" t="n">
        <v>1000</v>
      </c>
      <c r="D585" s="651">
        <f>$A585&amp;B585&amp;C585</f>
        <v/>
      </c>
      <c r="E585" s="1040">
        <f>SUM(G585:AD585)</f>
        <v/>
      </c>
      <c r="F585" s="632" t="n">
        <v>19</v>
      </c>
      <c r="G585" s="633">
        <f>F585*CCBASE!$B$51</f>
        <v/>
      </c>
      <c r="H585" s="633">
        <f>CCBASE!$I$12*B585/1000</f>
        <v/>
      </c>
      <c r="I585" s="633" t="n"/>
      <c r="J585" s="633" t="n"/>
      <c r="K585" s="633" t="n"/>
      <c r="L585" s="632" t="n"/>
      <c r="M585" s="633">
        <f>CCBASE!$I$15*B585/1000</f>
        <v/>
      </c>
      <c r="N585" s="633">
        <f>CCBASE!$I$7*B585/1000</f>
        <v/>
      </c>
      <c r="O585" s="633">
        <f>CCBASE!$I$45*B585/1000</f>
        <v/>
      </c>
      <c r="P585" s="633" t="n"/>
      <c r="Q585" s="633">
        <f>CCBASE!$I$51</f>
        <v/>
      </c>
      <c r="R585" s="633">
        <f>CCBASE!$I$4</f>
        <v/>
      </c>
      <c r="S585" s="633">
        <f>CCBASE!$I$8</f>
        <v/>
      </c>
      <c r="T585" s="632" t="n"/>
      <c r="U585" s="638">
        <f>CCBASE!$I$47*2</f>
        <v/>
      </c>
      <c r="V585" s="633" t="n"/>
      <c r="W585" s="633">
        <f>CCBASE!$I$40*B585/1000</f>
        <v/>
      </c>
      <c r="X585" s="633" t="n"/>
      <c r="Y585" s="633" t="n"/>
      <c r="Z585" s="633" t="n"/>
      <c r="AA585" s="633" t="n"/>
      <c r="AB585" s="633" t="n"/>
      <c r="AC585" s="633" t="n"/>
      <c r="AD585" s="652">
        <f>CCBASE!$I$32*2</f>
        <v/>
      </c>
      <c r="AI585" s="635" t="n"/>
      <c r="AJ585" s="635" t="n"/>
      <c r="AN585" s="636" t="n"/>
      <c r="AO585" s="636" t="n"/>
      <c r="AP585" s="636" t="n"/>
      <c r="AQ585" s="636" t="n"/>
      <c r="AR585" s="636" t="n"/>
      <c r="AS585" s="636" t="n"/>
    </row>
    <row r="586" ht="17" customHeight="1" s="1085" thickBot="1">
      <c r="A586" s="644" t="inlineStr">
        <is>
          <t>KVX-M</t>
        </is>
      </c>
      <c r="B586" s="631" t="n">
        <v>1000</v>
      </c>
      <c r="C586" s="631" t="n">
        <v>1250</v>
      </c>
      <c r="D586" s="651">
        <f>$A586&amp;B586&amp;C586</f>
        <v/>
      </c>
      <c r="E586" s="1040">
        <f>SUM(G586:AD586)</f>
        <v/>
      </c>
      <c r="F586" s="647" t="n">
        <v>17</v>
      </c>
      <c r="G586" s="633">
        <f>F586*CCBASE!$B$51</f>
        <v/>
      </c>
      <c r="H586" s="633">
        <f>CCBASE!$I$12*B586/1000</f>
        <v/>
      </c>
      <c r="I586" s="633" t="n"/>
      <c r="J586" s="633" t="n"/>
      <c r="K586" s="633" t="n"/>
      <c r="L586" s="632" t="n"/>
      <c r="M586" s="633">
        <f>CCBASE!$I$15*B586/1000</f>
        <v/>
      </c>
      <c r="N586" s="633">
        <f>CCBASE!$I$7*B586/1000</f>
        <v/>
      </c>
      <c r="O586" s="633">
        <f>CCBASE!$I$45*B586/1000</f>
        <v/>
      </c>
      <c r="P586" s="633" t="n"/>
      <c r="Q586" s="633">
        <f>CCBASE!$I$51</f>
        <v/>
      </c>
      <c r="R586" s="633">
        <f>CCBASE!$I$4</f>
        <v/>
      </c>
      <c r="S586" s="633">
        <f>CCBASE!$I$8</f>
        <v/>
      </c>
      <c r="T586" s="632" t="n"/>
      <c r="U586" s="638">
        <f>CCBASE!$I$47</f>
        <v/>
      </c>
      <c r="V586" s="633" t="n"/>
      <c r="W586" s="633">
        <f>CCBASE!$I$40*B586/1000</f>
        <v/>
      </c>
      <c r="X586" s="633" t="n"/>
      <c r="Y586" s="633" t="n"/>
      <c r="Z586" s="633" t="n"/>
      <c r="AA586" s="633" t="n"/>
      <c r="AB586" s="633" t="n"/>
      <c r="AC586" s="633" t="n"/>
      <c r="AD586" s="652">
        <f>CCBASE!$I$32*2</f>
        <v/>
      </c>
      <c r="AI586" s="635" t="n"/>
      <c r="AJ586" s="635" t="n"/>
      <c r="AK586" s="636" t="n"/>
      <c r="AL586" s="636" t="n"/>
      <c r="AM586" s="636" t="n"/>
      <c r="AN586" s="636" t="n"/>
      <c r="AO586" s="636" t="n"/>
      <c r="AP586" s="636" t="n"/>
      <c r="AQ586" s="636" t="n"/>
      <c r="AR586" s="636" t="n"/>
      <c r="AS586" s="636" t="n"/>
    </row>
    <row r="587" ht="17" customHeight="1" s="1085" thickBot="1">
      <c r="A587" s="644" t="inlineStr">
        <is>
          <t>KVX-M</t>
        </is>
      </c>
      <c r="B587" s="631" t="n">
        <v>1250</v>
      </c>
      <c r="C587" s="631" t="n">
        <v>1250</v>
      </c>
      <c r="D587" s="651">
        <f>$A587&amp;B587&amp;C587</f>
        <v/>
      </c>
      <c r="E587" s="1040">
        <f>SUM(G587:AD587)</f>
        <v/>
      </c>
      <c r="F587" s="632" t="n">
        <v>17</v>
      </c>
      <c r="G587" s="633">
        <f>F587*CCBASE!$B$51</f>
        <v/>
      </c>
      <c r="H587" s="633">
        <f>CCBASE!$I$12*B587/1000</f>
        <v/>
      </c>
      <c r="I587" s="633" t="n"/>
      <c r="J587" s="633" t="n"/>
      <c r="K587" s="633" t="n"/>
      <c r="L587" s="632" t="n"/>
      <c r="M587" s="633">
        <f>CCBASE!$I$15*B587/1000</f>
        <v/>
      </c>
      <c r="N587" s="633">
        <f>CCBASE!$I$7*B587/1000</f>
        <v/>
      </c>
      <c r="O587" s="633">
        <f>CCBASE!$I$45*B587/1000</f>
        <v/>
      </c>
      <c r="P587" s="633" t="n"/>
      <c r="Q587" s="633">
        <f>CCBASE!$I$51</f>
        <v/>
      </c>
      <c r="R587" s="633">
        <f>CCBASE!$I$4</f>
        <v/>
      </c>
      <c r="S587" s="633">
        <f>CCBASE!$I$8</f>
        <v/>
      </c>
      <c r="T587" s="632" t="n"/>
      <c r="U587" s="638">
        <f>CCBASE!$I$47</f>
        <v/>
      </c>
      <c r="V587" s="633" t="n"/>
      <c r="W587" s="633">
        <f>CCBASE!$I$40*B587/1000</f>
        <v/>
      </c>
      <c r="X587" s="633" t="n"/>
      <c r="Y587" s="633" t="n"/>
      <c r="Z587" s="633" t="n"/>
      <c r="AA587" s="633" t="n"/>
      <c r="AB587" s="633" t="n"/>
      <c r="AC587" s="633" t="n"/>
      <c r="AD587" s="652">
        <f>CCBASE!$I$32*2</f>
        <v/>
      </c>
      <c r="AI587" s="635" t="n"/>
      <c r="AJ587" s="635" t="n"/>
      <c r="AK587" s="636" t="n"/>
      <c r="AL587" s="636" t="n"/>
      <c r="AM587" s="636" t="n"/>
      <c r="AN587" s="636" t="n"/>
      <c r="AO587" s="636" t="n"/>
      <c r="AP587" s="636" t="n"/>
      <c r="AQ587" s="636" t="n"/>
      <c r="AR587" s="636" t="n"/>
      <c r="AS587" s="636" t="n"/>
    </row>
    <row r="588" ht="17" customHeight="1" s="1085" thickBot="1">
      <c r="A588" s="644" t="inlineStr">
        <is>
          <t>KVX-M</t>
        </is>
      </c>
      <c r="B588" s="631" t="n">
        <v>1500</v>
      </c>
      <c r="C588" s="631" t="n">
        <v>1250</v>
      </c>
      <c r="D588" s="651">
        <f>$A588&amp;B588&amp;C588</f>
        <v/>
      </c>
      <c r="E588" s="1040">
        <f>SUM(G588:AD588)</f>
        <v/>
      </c>
      <c r="F588" s="632" t="n">
        <v>17</v>
      </c>
      <c r="G588" s="633">
        <f>F588*CCBASE!$B$51</f>
        <v/>
      </c>
      <c r="H588" s="633">
        <f>CCBASE!$I$12*B588/1000</f>
        <v/>
      </c>
      <c r="I588" s="633" t="n"/>
      <c r="J588" s="633" t="n"/>
      <c r="K588" s="633" t="n"/>
      <c r="L588" s="632" t="n"/>
      <c r="M588" s="633">
        <f>CCBASE!$I$15*B588/1000</f>
        <v/>
      </c>
      <c r="N588" s="633">
        <f>CCBASE!$I$7*B588/1000</f>
        <v/>
      </c>
      <c r="O588" s="633">
        <f>CCBASE!$I$45*B588/1000</f>
        <v/>
      </c>
      <c r="P588" s="633" t="n"/>
      <c r="Q588" s="633">
        <f>CCBASE!$I$51</f>
        <v/>
      </c>
      <c r="R588" s="633">
        <f>CCBASE!$I$4</f>
        <v/>
      </c>
      <c r="S588" s="633">
        <f>CCBASE!$I$8</f>
        <v/>
      </c>
      <c r="T588" s="632" t="n"/>
      <c r="U588" s="638">
        <f>CCBASE!$I$47</f>
        <v/>
      </c>
      <c r="V588" s="633" t="n"/>
      <c r="W588" s="633">
        <f>CCBASE!$I$40*B588/1000</f>
        <v/>
      </c>
      <c r="X588" s="633" t="n"/>
      <c r="Y588" s="633" t="n"/>
      <c r="Z588" s="633" t="n"/>
      <c r="AA588" s="633" t="n"/>
      <c r="AB588" s="633" t="n"/>
      <c r="AC588" s="633" t="n"/>
      <c r="AD588" s="652">
        <f>CCBASE!$I$32*2</f>
        <v/>
      </c>
      <c r="AI588" s="635" t="n"/>
      <c r="AJ588" s="635" t="n"/>
      <c r="AK588" s="636" t="n"/>
      <c r="AL588" s="636" t="n"/>
      <c r="AM588" s="636" t="n"/>
      <c r="AN588" s="636" t="n"/>
      <c r="AO588" s="636" t="n"/>
      <c r="AP588" s="636" t="n"/>
      <c r="AQ588" s="636" t="n"/>
      <c r="AR588" s="636" t="n"/>
      <c r="AS588" s="636" t="n"/>
    </row>
    <row r="589" ht="17" customHeight="1" s="1085" thickBot="1">
      <c r="A589" s="644" t="inlineStr">
        <is>
          <t>KVX-M</t>
        </is>
      </c>
      <c r="B589" s="631" t="n">
        <v>1750</v>
      </c>
      <c r="C589" s="631" t="n">
        <v>1250</v>
      </c>
      <c r="D589" s="651">
        <f>$A589&amp;B589&amp;C589</f>
        <v/>
      </c>
      <c r="E589" s="1040">
        <f>SUM(G589:AD589)</f>
        <v/>
      </c>
      <c r="F589" s="632" t="n">
        <v>18</v>
      </c>
      <c r="G589" s="633">
        <f>F589*CCBASE!$B$51</f>
        <v/>
      </c>
      <c r="H589" s="633">
        <f>CCBASE!$I$12*B589/1000</f>
        <v/>
      </c>
      <c r="I589" s="633" t="n"/>
      <c r="J589" s="633" t="n"/>
      <c r="K589" s="633" t="n"/>
      <c r="L589" s="632" t="n"/>
      <c r="M589" s="633">
        <f>CCBASE!$I$15*B589/1000</f>
        <v/>
      </c>
      <c r="N589" s="633">
        <f>CCBASE!$I$7*B589/1000</f>
        <v/>
      </c>
      <c r="O589" s="633">
        <f>CCBASE!$I$45*B589/1000</f>
        <v/>
      </c>
      <c r="P589" s="633" t="n"/>
      <c r="Q589" s="633">
        <f>CCBASE!$I$51</f>
        <v/>
      </c>
      <c r="R589" s="633">
        <f>CCBASE!$I$4</f>
        <v/>
      </c>
      <c r="S589" s="633">
        <f>CCBASE!$I$8</f>
        <v/>
      </c>
      <c r="T589" s="632" t="n"/>
      <c r="U589" s="638">
        <f>CCBASE!$I$47</f>
        <v/>
      </c>
      <c r="V589" s="633" t="n"/>
      <c r="W589" s="633">
        <f>CCBASE!$I$40*B589/1000</f>
        <v/>
      </c>
      <c r="X589" s="633" t="n"/>
      <c r="Y589" s="633" t="n"/>
      <c r="Z589" s="633" t="n"/>
      <c r="AA589" s="633" t="n"/>
      <c r="AB589" s="633" t="n"/>
      <c r="AC589" s="633" t="n"/>
      <c r="AD589" s="652">
        <f>CCBASE!$I$32*2</f>
        <v/>
      </c>
      <c r="AI589" s="635" t="n"/>
      <c r="AJ589" s="635" t="n"/>
      <c r="AN589" s="636" t="n"/>
      <c r="AO589" s="636" t="n"/>
      <c r="AP589" s="636" t="n"/>
      <c r="AQ589" s="636" t="n"/>
      <c r="AR589" s="636" t="n"/>
      <c r="AS589" s="636" t="n"/>
    </row>
    <row r="590" ht="17" customHeight="1" s="1085" thickBot="1">
      <c r="A590" s="644" t="inlineStr">
        <is>
          <t>KVX-M</t>
        </is>
      </c>
      <c r="B590" s="631" t="n">
        <v>2000</v>
      </c>
      <c r="C590" s="631" t="n">
        <v>1250</v>
      </c>
      <c r="D590" s="651">
        <f>$A590&amp;B590&amp;C590</f>
        <v/>
      </c>
      <c r="E590" s="1040">
        <f>SUM(G590:AD590)</f>
        <v/>
      </c>
      <c r="F590" s="632" t="n">
        <v>18</v>
      </c>
      <c r="G590" s="633">
        <f>F590*CCBASE!$B$51</f>
        <v/>
      </c>
      <c r="H590" s="633">
        <f>CCBASE!$I$12*B590/1000</f>
        <v/>
      </c>
      <c r="I590" s="633" t="n"/>
      <c r="J590" s="633" t="n"/>
      <c r="K590" s="633" t="n"/>
      <c r="L590" s="632" t="n"/>
      <c r="M590" s="633">
        <f>CCBASE!$I$15*B590/1000</f>
        <v/>
      </c>
      <c r="N590" s="633">
        <f>CCBASE!$I$7*B590/1000</f>
        <v/>
      </c>
      <c r="O590" s="633">
        <f>CCBASE!$I$45*B590/1000</f>
        <v/>
      </c>
      <c r="P590" s="633" t="n"/>
      <c r="Q590" s="633">
        <f>CCBASE!$I$51</f>
        <v/>
      </c>
      <c r="R590" s="633">
        <f>CCBASE!$I$4</f>
        <v/>
      </c>
      <c r="S590" s="633">
        <f>CCBASE!$I$8</f>
        <v/>
      </c>
      <c r="T590" s="632" t="n"/>
      <c r="U590" s="638">
        <f>CCBASE!$I$47</f>
        <v/>
      </c>
      <c r="V590" s="633" t="n"/>
      <c r="W590" s="633">
        <f>CCBASE!$I$40*B590/1000</f>
        <v/>
      </c>
      <c r="X590" s="633" t="n"/>
      <c r="Y590" s="633" t="n"/>
      <c r="Z590" s="633" t="n"/>
      <c r="AA590" s="633" t="n"/>
      <c r="AB590" s="633" t="n"/>
      <c r="AC590" s="633" t="n"/>
      <c r="AD590" s="652">
        <f>CCBASE!$I$32*2</f>
        <v/>
      </c>
      <c r="AI590" s="635" t="n"/>
      <c r="AJ590" s="635" t="n"/>
      <c r="AN590" s="636" t="n"/>
      <c r="AO590" s="636" t="n"/>
      <c r="AP590" s="636" t="n"/>
      <c r="AQ590" s="636" t="n"/>
      <c r="AR590" s="636" t="n"/>
      <c r="AS590" s="636" t="n"/>
    </row>
    <row r="591" ht="17" customHeight="1" s="1085" thickBot="1">
      <c r="A591" s="644" t="inlineStr">
        <is>
          <t>KVX-M</t>
        </is>
      </c>
      <c r="B591" s="631" t="n">
        <v>2250</v>
      </c>
      <c r="C591" s="631" t="n">
        <v>1250</v>
      </c>
      <c r="D591" s="651">
        <f>$A591&amp;B591&amp;C591</f>
        <v/>
      </c>
      <c r="E591" s="1040">
        <f>SUM(G591:AD591)</f>
        <v/>
      </c>
      <c r="F591" s="632" t="n">
        <v>18</v>
      </c>
      <c r="G591" s="633">
        <f>F591*CCBASE!$B$51</f>
        <v/>
      </c>
      <c r="H591" s="633">
        <f>CCBASE!$I$12*B591/1000</f>
        <v/>
      </c>
      <c r="I591" s="633" t="n"/>
      <c r="J591" s="633" t="n"/>
      <c r="K591" s="633" t="n"/>
      <c r="L591" s="632" t="n"/>
      <c r="M591" s="633">
        <f>CCBASE!$I$15*B591/1000</f>
        <v/>
      </c>
      <c r="N591" s="633">
        <f>CCBASE!$I$7*B591/1000</f>
        <v/>
      </c>
      <c r="O591" s="633">
        <f>CCBASE!$I$45*B591/1000</f>
        <v/>
      </c>
      <c r="P591" s="633" t="n"/>
      <c r="Q591" s="633">
        <f>CCBASE!$I$51</f>
        <v/>
      </c>
      <c r="R591" s="633">
        <f>CCBASE!$I$4</f>
        <v/>
      </c>
      <c r="S591" s="633">
        <f>CCBASE!$I$8</f>
        <v/>
      </c>
      <c r="T591" s="632" t="n"/>
      <c r="U591" s="638">
        <f>CCBASE!$I$47*2</f>
        <v/>
      </c>
      <c r="V591" s="633" t="n"/>
      <c r="W591" s="633">
        <f>CCBASE!$I$40*B591/1000</f>
        <v/>
      </c>
      <c r="X591" s="633" t="n"/>
      <c r="Y591" s="633" t="n"/>
      <c r="Z591" s="633" t="n"/>
      <c r="AA591" s="633" t="n"/>
      <c r="AB591" s="633" t="n"/>
      <c r="AC591" s="633" t="n"/>
      <c r="AD591" s="652">
        <f>CCBASE!$I$32*2</f>
        <v/>
      </c>
      <c r="AI591" s="635" t="n"/>
      <c r="AJ591" s="635" t="n"/>
      <c r="AN591" s="636" t="n"/>
      <c r="AO591" s="636" t="n"/>
      <c r="AP591" s="636" t="n"/>
      <c r="AQ591" s="636" t="n"/>
      <c r="AR591" s="636" t="n"/>
      <c r="AS591" s="636" t="n"/>
    </row>
    <row r="592" ht="17" customHeight="1" s="1085" thickBot="1">
      <c r="A592" s="644" t="inlineStr">
        <is>
          <t>KVX-M</t>
        </is>
      </c>
      <c r="B592" s="631" t="n">
        <v>2500</v>
      </c>
      <c r="C592" s="631" t="n">
        <v>1250</v>
      </c>
      <c r="D592" s="651">
        <f>$A592&amp;B592&amp;C592</f>
        <v/>
      </c>
      <c r="E592" s="1040">
        <f>SUM(G592:AD592)</f>
        <v/>
      </c>
      <c r="F592" s="632" t="n">
        <v>19</v>
      </c>
      <c r="G592" s="633">
        <f>F592*CCBASE!$B$51</f>
        <v/>
      </c>
      <c r="H592" s="633">
        <f>CCBASE!$I$12*B592/1000</f>
        <v/>
      </c>
      <c r="I592" s="633" t="n"/>
      <c r="J592" s="633" t="n"/>
      <c r="K592" s="633" t="n"/>
      <c r="L592" s="632" t="n"/>
      <c r="M592" s="633">
        <f>CCBASE!$I$15*B592/1000</f>
        <v/>
      </c>
      <c r="N592" s="633">
        <f>CCBASE!$I$7*B592/1000</f>
        <v/>
      </c>
      <c r="O592" s="633">
        <f>CCBASE!$I$45*B592/1000</f>
        <v/>
      </c>
      <c r="P592" s="633" t="n"/>
      <c r="Q592" s="633">
        <f>CCBASE!$I$51</f>
        <v/>
      </c>
      <c r="R592" s="633">
        <f>CCBASE!$I$4</f>
        <v/>
      </c>
      <c r="S592" s="633">
        <f>CCBASE!$I$8</f>
        <v/>
      </c>
      <c r="T592" s="632" t="n"/>
      <c r="U592" s="638">
        <f>CCBASE!$I$47*2</f>
        <v/>
      </c>
      <c r="V592" s="633" t="n"/>
      <c r="W592" s="633">
        <f>CCBASE!$I$40*B592/1000</f>
        <v/>
      </c>
      <c r="X592" s="633" t="n"/>
      <c r="Y592" s="633" t="n"/>
      <c r="Z592" s="633" t="n"/>
      <c r="AA592" s="633" t="n"/>
      <c r="AB592" s="633" t="n"/>
      <c r="AC592" s="633" t="n"/>
      <c r="AD592" s="652">
        <f>CCBASE!$I$32*2</f>
        <v/>
      </c>
      <c r="AI592" s="635" t="n"/>
      <c r="AJ592" s="635" t="n"/>
      <c r="AN592" s="636" t="n"/>
      <c r="AO592" s="636" t="n"/>
      <c r="AP592" s="636" t="n"/>
      <c r="AQ592" s="636" t="n"/>
      <c r="AR592" s="636" t="n"/>
      <c r="AS592" s="636" t="n"/>
    </row>
    <row r="593" ht="17" customHeight="1" s="1085" thickBot="1">
      <c r="A593" s="644" t="inlineStr">
        <is>
          <t>KVX-M</t>
        </is>
      </c>
      <c r="B593" s="631" t="n">
        <v>2750</v>
      </c>
      <c r="C593" s="631" t="n">
        <v>1250</v>
      </c>
      <c r="D593" s="651">
        <f>$A593&amp;B593&amp;C593</f>
        <v/>
      </c>
      <c r="E593" s="1040">
        <f>SUM(G593:AD593)</f>
        <v/>
      </c>
      <c r="F593" s="632" t="n">
        <v>19</v>
      </c>
      <c r="G593" s="633">
        <f>F593*CCBASE!$B$51</f>
        <v/>
      </c>
      <c r="H593" s="633">
        <f>CCBASE!$I$12*B593/1000</f>
        <v/>
      </c>
      <c r="I593" s="633" t="n"/>
      <c r="J593" s="633" t="n"/>
      <c r="K593" s="633" t="n"/>
      <c r="L593" s="632" t="n"/>
      <c r="M593" s="633">
        <f>CCBASE!$I$15*B593/1000</f>
        <v/>
      </c>
      <c r="N593" s="633">
        <f>CCBASE!$I$7*B593/1000</f>
        <v/>
      </c>
      <c r="O593" s="633">
        <f>CCBASE!$I$45*B593/1000</f>
        <v/>
      </c>
      <c r="P593" s="633" t="n"/>
      <c r="Q593" s="633">
        <f>CCBASE!$I$51</f>
        <v/>
      </c>
      <c r="R593" s="633">
        <f>CCBASE!$I$4</f>
        <v/>
      </c>
      <c r="S593" s="633">
        <f>CCBASE!$I$8</f>
        <v/>
      </c>
      <c r="T593" s="632" t="n"/>
      <c r="U593" s="638">
        <f>CCBASE!$I$47*2</f>
        <v/>
      </c>
      <c r="V593" s="633" t="n"/>
      <c r="W593" s="633">
        <f>CCBASE!$I$40*B593/1000</f>
        <v/>
      </c>
      <c r="X593" s="633" t="n"/>
      <c r="Y593" s="633" t="n"/>
      <c r="Z593" s="633" t="n"/>
      <c r="AA593" s="633" t="n"/>
      <c r="AB593" s="633" t="n"/>
      <c r="AC593" s="633" t="n"/>
      <c r="AD593" s="652">
        <f>CCBASE!$I$32*2</f>
        <v/>
      </c>
      <c r="AI593" s="635" t="n"/>
      <c r="AJ593" s="635" t="n"/>
      <c r="AN593" s="636" t="n"/>
      <c r="AO593" s="636" t="n"/>
      <c r="AP593" s="636" t="n"/>
      <c r="AQ593" s="636" t="n"/>
      <c r="AR593" s="636" t="n"/>
      <c r="AS593" s="636" t="n"/>
    </row>
    <row r="594" ht="17" customHeight="1" s="1085" thickBot="1">
      <c r="A594" s="644" t="inlineStr">
        <is>
          <t>KVX-M</t>
        </is>
      </c>
      <c r="B594" s="631" t="n">
        <v>3000</v>
      </c>
      <c r="C594" s="631" t="n">
        <v>1250</v>
      </c>
      <c r="D594" s="651">
        <f>$A594&amp;B594&amp;C594</f>
        <v/>
      </c>
      <c r="E594" s="1040">
        <f>SUM(G594:AD594)</f>
        <v/>
      </c>
      <c r="F594" s="632" t="n">
        <v>19</v>
      </c>
      <c r="G594" s="633">
        <f>F594*CCBASE!$B$51</f>
        <v/>
      </c>
      <c r="H594" s="633">
        <f>CCBASE!$I$12*B594/1000</f>
        <v/>
      </c>
      <c r="I594" s="633" t="n"/>
      <c r="J594" s="633" t="n"/>
      <c r="K594" s="633" t="n"/>
      <c r="L594" s="632" t="n"/>
      <c r="M594" s="633">
        <f>CCBASE!$I$15*B594/1000</f>
        <v/>
      </c>
      <c r="N594" s="633">
        <f>CCBASE!$I$7*B594/1000</f>
        <v/>
      </c>
      <c r="O594" s="633">
        <f>CCBASE!$I$45*B594/1000</f>
        <v/>
      </c>
      <c r="P594" s="633" t="n"/>
      <c r="Q594" s="633">
        <f>CCBASE!$I$51</f>
        <v/>
      </c>
      <c r="R594" s="633">
        <f>CCBASE!$I$4</f>
        <v/>
      </c>
      <c r="S594" s="633">
        <f>CCBASE!$I$8</f>
        <v/>
      </c>
      <c r="T594" s="632" t="n"/>
      <c r="U594" s="638">
        <f>CCBASE!$I$47*2</f>
        <v/>
      </c>
      <c r="V594" s="633" t="n"/>
      <c r="W594" s="633">
        <f>CCBASE!$I$40*B594/1000</f>
        <v/>
      </c>
      <c r="X594" s="633" t="n"/>
      <c r="Y594" s="633" t="n"/>
      <c r="Z594" s="633" t="n"/>
      <c r="AA594" s="633" t="n"/>
      <c r="AB594" s="633" t="n"/>
      <c r="AC594" s="633" t="n"/>
      <c r="AD594" s="652">
        <f>CCBASE!$I$32*2</f>
        <v/>
      </c>
      <c r="AI594" s="635" t="n"/>
      <c r="AJ594" s="635" t="n"/>
      <c r="AN594" s="636" t="n"/>
      <c r="AO594" s="636" t="n"/>
      <c r="AP594" s="636" t="n"/>
      <c r="AQ594" s="636" t="n"/>
      <c r="AR594" s="636" t="n"/>
      <c r="AS594" s="636" t="n"/>
    </row>
    <row r="595" ht="17" customHeight="1" s="1085" thickBot="1">
      <c r="A595" s="644" t="inlineStr">
        <is>
          <t>KVX-M</t>
        </is>
      </c>
      <c r="B595" s="631" t="n">
        <v>1000</v>
      </c>
      <c r="C595" s="631" t="n">
        <v>1500</v>
      </c>
      <c r="D595" s="651">
        <f>$A595&amp;B595&amp;C595</f>
        <v/>
      </c>
      <c r="E595" s="1040">
        <f>SUM(G595:AD595)</f>
        <v/>
      </c>
      <c r="F595" s="647" t="n">
        <v>17</v>
      </c>
      <c r="G595" s="633">
        <f>F595*CCBASE!$B$51</f>
        <v/>
      </c>
      <c r="H595" s="633">
        <f>CCBASE!$I$12*B595/1000</f>
        <v/>
      </c>
      <c r="I595" s="633" t="n"/>
      <c r="J595" s="633" t="n"/>
      <c r="K595" s="633" t="n"/>
      <c r="L595" s="632" t="n"/>
      <c r="M595" s="633">
        <f>CCBASE!$I$15*B595/1000</f>
        <v/>
      </c>
      <c r="N595" s="633">
        <f>CCBASE!$I$7*B595/1000</f>
        <v/>
      </c>
      <c r="O595" s="633">
        <f>CCBASE!$I$45*B595/1000</f>
        <v/>
      </c>
      <c r="P595" s="633" t="n"/>
      <c r="Q595" s="633">
        <f>CCBASE!$I$51</f>
        <v/>
      </c>
      <c r="R595" s="633">
        <f>CCBASE!$I$4</f>
        <v/>
      </c>
      <c r="S595" s="633">
        <f>CCBASE!$I$8</f>
        <v/>
      </c>
      <c r="T595" s="632" t="n"/>
      <c r="U595" s="638">
        <f>CCBASE!$I$47</f>
        <v/>
      </c>
      <c r="V595" s="633" t="n"/>
      <c r="W595" s="633">
        <f>CCBASE!$I$41*B595/1000</f>
        <v/>
      </c>
      <c r="X595" s="633" t="n"/>
      <c r="Y595" s="633" t="n"/>
      <c r="Z595" s="633" t="n"/>
      <c r="AA595" s="633" t="n"/>
      <c r="AB595" s="633" t="n"/>
      <c r="AC595" s="633" t="n"/>
      <c r="AD595" s="652">
        <f>CCBASE!$I$33*2</f>
        <v/>
      </c>
      <c r="AI595" s="635" t="n"/>
      <c r="AJ595" s="635" t="n"/>
      <c r="AN595" s="636" t="n"/>
      <c r="AO595" s="636" t="n"/>
      <c r="AP595" s="636" t="n"/>
      <c r="AQ595" s="636" t="n"/>
      <c r="AR595" s="636" t="n"/>
      <c r="AS595" s="636" t="n"/>
    </row>
    <row r="596" ht="17" customHeight="1" s="1085" thickBot="1">
      <c r="A596" s="644" t="inlineStr">
        <is>
          <t>KVX-M</t>
        </is>
      </c>
      <c r="B596" s="631" t="n">
        <v>1250</v>
      </c>
      <c r="C596" s="631" t="n">
        <v>1500</v>
      </c>
      <c r="D596" s="651">
        <f>$A596&amp;B596&amp;C596</f>
        <v/>
      </c>
      <c r="E596" s="1040">
        <f>SUM(G596:AD596)</f>
        <v/>
      </c>
      <c r="F596" s="632" t="n">
        <v>17</v>
      </c>
      <c r="G596" s="633">
        <f>F596*CCBASE!$B$51</f>
        <v/>
      </c>
      <c r="H596" s="633">
        <f>CCBASE!$I$12*B596/1000</f>
        <v/>
      </c>
      <c r="I596" s="633" t="n"/>
      <c r="J596" s="633" t="n"/>
      <c r="K596" s="633" t="n"/>
      <c r="L596" s="632" t="n"/>
      <c r="M596" s="633">
        <f>CCBASE!$I$15*B596/1000</f>
        <v/>
      </c>
      <c r="N596" s="633">
        <f>CCBASE!$I$7*B596/1000</f>
        <v/>
      </c>
      <c r="O596" s="633">
        <f>CCBASE!$I$45*B596/1000</f>
        <v/>
      </c>
      <c r="P596" s="633" t="n"/>
      <c r="Q596" s="633">
        <f>CCBASE!$I$51</f>
        <v/>
      </c>
      <c r="R596" s="633">
        <f>CCBASE!$I$4</f>
        <v/>
      </c>
      <c r="S596" s="633">
        <f>CCBASE!$I$8</f>
        <v/>
      </c>
      <c r="T596" s="632" t="n"/>
      <c r="U596" s="638">
        <f>CCBASE!$I$47</f>
        <v/>
      </c>
      <c r="V596" s="633" t="n"/>
      <c r="W596" s="633">
        <f>CCBASE!$I$41*B596/1000</f>
        <v/>
      </c>
      <c r="X596" s="633" t="n"/>
      <c r="Y596" s="633" t="n"/>
      <c r="Z596" s="633" t="n"/>
      <c r="AA596" s="633" t="n"/>
      <c r="AB596" s="633" t="n"/>
      <c r="AC596" s="633" t="n"/>
      <c r="AD596" s="652">
        <f>CCBASE!$I$33*2</f>
        <v/>
      </c>
      <c r="AI596" s="635" t="n"/>
      <c r="AJ596" s="635" t="n"/>
      <c r="AK596" s="636" t="n"/>
      <c r="AL596" s="636" t="n"/>
      <c r="AM596" s="636" t="n"/>
      <c r="AN596" s="636" t="n"/>
      <c r="AO596" s="636" t="n"/>
      <c r="AP596" s="636" t="n"/>
      <c r="AQ596" s="636" t="n"/>
      <c r="AR596" s="636" t="n"/>
      <c r="AS596" s="636" t="n"/>
    </row>
    <row r="597" ht="17" customHeight="1" s="1085" thickBot="1">
      <c r="A597" s="644" t="inlineStr">
        <is>
          <t>KVX-M</t>
        </is>
      </c>
      <c r="B597" s="631" t="n">
        <v>1500</v>
      </c>
      <c r="C597" s="631" t="n">
        <v>1500</v>
      </c>
      <c r="D597" s="651">
        <f>$A597&amp;B597&amp;C597</f>
        <v/>
      </c>
      <c r="E597" s="1040">
        <f>SUM(G597:AD597)</f>
        <v/>
      </c>
      <c r="F597" s="632" t="n">
        <v>17</v>
      </c>
      <c r="G597" s="633">
        <f>F597*CCBASE!$B$51</f>
        <v/>
      </c>
      <c r="H597" s="633">
        <f>CCBASE!$I$12*B597/1000</f>
        <v/>
      </c>
      <c r="I597" s="633" t="n"/>
      <c r="J597" s="633" t="n"/>
      <c r="K597" s="633" t="n"/>
      <c r="L597" s="632" t="n"/>
      <c r="M597" s="633">
        <f>CCBASE!$I$15*B597/1000</f>
        <v/>
      </c>
      <c r="N597" s="633">
        <f>CCBASE!$I$7*B597/1000</f>
        <v/>
      </c>
      <c r="O597" s="633">
        <f>CCBASE!$I$45*B597/1000</f>
        <v/>
      </c>
      <c r="P597" s="633" t="n"/>
      <c r="Q597" s="633">
        <f>CCBASE!$I$51</f>
        <v/>
      </c>
      <c r="R597" s="633">
        <f>CCBASE!$I$4</f>
        <v/>
      </c>
      <c r="S597" s="633">
        <f>CCBASE!$I$8</f>
        <v/>
      </c>
      <c r="T597" s="632" t="n"/>
      <c r="U597" s="638">
        <f>CCBASE!$I$47</f>
        <v/>
      </c>
      <c r="V597" s="633" t="n"/>
      <c r="W597" s="633">
        <f>CCBASE!$I$41*B597/1000</f>
        <v/>
      </c>
      <c r="X597" s="633" t="n"/>
      <c r="Y597" s="633" t="n"/>
      <c r="Z597" s="633" t="n"/>
      <c r="AA597" s="633" t="n"/>
      <c r="AB597" s="633" t="n"/>
      <c r="AC597" s="633" t="n"/>
      <c r="AD597" s="652">
        <f>CCBASE!$I$33*2</f>
        <v/>
      </c>
      <c r="AI597" s="635" t="n"/>
      <c r="AJ597" s="635" t="n"/>
      <c r="AK597" s="636" t="n"/>
      <c r="AL597" s="636" t="n"/>
      <c r="AM597" s="636" t="n"/>
      <c r="AN597" s="636" t="n"/>
      <c r="AO597" s="636" t="n"/>
      <c r="AP597" s="636" t="n"/>
      <c r="AQ597" s="636" t="n"/>
      <c r="AR597" s="636" t="n"/>
      <c r="AS597" s="636" t="n"/>
    </row>
    <row r="598" ht="17" customHeight="1" s="1085" thickBot="1">
      <c r="A598" s="644" t="inlineStr">
        <is>
          <t>KVX-M</t>
        </is>
      </c>
      <c r="B598" s="631" t="n">
        <v>1750</v>
      </c>
      <c r="C598" s="631" t="n">
        <v>1500</v>
      </c>
      <c r="D598" s="651">
        <f>$A598&amp;B598&amp;C598</f>
        <v/>
      </c>
      <c r="E598" s="1040">
        <f>SUM(G598:AD598)</f>
        <v/>
      </c>
      <c r="F598" s="632" t="n">
        <v>18</v>
      </c>
      <c r="G598" s="633">
        <f>F598*CCBASE!$B$51</f>
        <v/>
      </c>
      <c r="H598" s="633">
        <f>CCBASE!$I$12*B598/1000</f>
        <v/>
      </c>
      <c r="I598" s="633" t="n"/>
      <c r="J598" s="633" t="n"/>
      <c r="K598" s="633" t="n"/>
      <c r="L598" s="632" t="n"/>
      <c r="M598" s="633">
        <f>CCBASE!$I$15*B598/1000</f>
        <v/>
      </c>
      <c r="N598" s="633">
        <f>CCBASE!$I$7*B598/1000</f>
        <v/>
      </c>
      <c r="O598" s="633">
        <f>CCBASE!$I$45*B598/1000</f>
        <v/>
      </c>
      <c r="P598" s="633" t="n"/>
      <c r="Q598" s="633">
        <f>CCBASE!$I$51</f>
        <v/>
      </c>
      <c r="R598" s="633">
        <f>CCBASE!$I$4</f>
        <v/>
      </c>
      <c r="S598" s="633">
        <f>CCBASE!$I$8</f>
        <v/>
      </c>
      <c r="T598" s="632" t="n"/>
      <c r="U598" s="638">
        <f>CCBASE!$I$47</f>
        <v/>
      </c>
      <c r="V598" s="633" t="n"/>
      <c r="W598" s="633">
        <f>CCBASE!$I$41*B598/1000</f>
        <v/>
      </c>
      <c r="X598" s="633" t="n"/>
      <c r="Y598" s="633" t="n"/>
      <c r="Z598" s="633" t="n"/>
      <c r="AA598" s="633" t="n"/>
      <c r="AB598" s="633" t="n"/>
      <c r="AC598" s="633" t="n"/>
      <c r="AD598" s="652">
        <f>CCBASE!$I$33*2</f>
        <v/>
      </c>
      <c r="AI598" s="635" t="n"/>
      <c r="AJ598" s="635" t="n"/>
      <c r="AK598" s="636" t="n"/>
      <c r="AL598" s="636" t="n"/>
      <c r="AM598" s="636" t="n"/>
      <c r="AN598" s="636" t="n"/>
      <c r="AO598" s="636" t="n"/>
      <c r="AP598" s="636" t="n"/>
      <c r="AQ598" s="636" t="n"/>
      <c r="AR598" s="636" t="n"/>
      <c r="AS598" s="636" t="n"/>
    </row>
    <row r="599" ht="17" customHeight="1" s="1085" thickBot="1">
      <c r="A599" s="644" t="inlineStr">
        <is>
          <t>KVX-M</t>
        </is>
      </c>
      <c r="B599" s="631" t="n">
        <v>2000</v>
      </c>
      <c r="C599" s="631" t="n">
        <v>1500</v>
      </c>
      <c r="D599" s="651">
        <f>$A599&amp;B599&amp;C599</f>
        <v/>
      </c>
      <c r="E599" s="1040">
        <f>SUM(G599:AD599)</f>
        <v/>
      </c>
      <c r="F599" s="632" t="n">
        <v>18</v>
      </c>
      <c r="G599" s="633">
        <f>F599*CCBASE!$B$51</f>
        <v/>
      </c>
      <c r="H599" s="633">
        <f>CCBASE!$I$12*B599/1000</f>
        <v/>
      </c>
      <c r="I599" s="633" t="n"/>
      <c r="J599" s="633" t="n"/>
      <c r="K599" s="633" t="n"/>
      <c r="L599" s="632" t="n"/>
      <c r="M599" s="633">
        <f>CCBASE!$I$15*B599/1000</f>
        <v/>
      </c>
      <c r="N599" s="633">
        <f>CCBASE!$I$7*B599/1000</f>
        <v/>
      </c>
      <c r="O599" s="633">
        <f>CCBASE!$I$45*B599/1000</f>
        <v/>
      </c>
      <c r="P599" s="633" t="n"/>
      <c r="Q599" s="633">
        <f>CCBASE!$I$51</f>
        <v/>
      </c>
      <c r="R599" s="633">
        <f>CCBASE!$I$4</f>
        <v/>
      </c>
      <c r="S599" s="633">
        <f>CCBASE!$I$8</f>
        <v/>
      </c>
      <c r="T599" s="632" t="n"/>
      <c r="U599" s="638">
        <f>CCBASE!$I$47</f>
        <v/>
      </c>
      <c r="V599" s="633" t="n"/>
      <c r="W599" s="633">
        <f>CCBASE!$I$41*B599/1000</f>
        <v/>
      </c>
      <c r="X599" s="633" t="n"/>
      <c r="Y599" s="633" t="n"/>
      <c r="Z599" s="633" t="n"/>
      <c r="AA599" s="633" t="n"/>
      <c r="AB599" s="633" t="n"/>
      <c r="AC599" s="633" t="n"/>
      <c r="AD599" s="652">
        <f>CCBASE!$I$33*2</f>
        <v/>
      </c>
      <c r="AI599" s="635" t="n"/>
      <c r="AJ599" s="635" t="n"/>
      <c r="AK599" s="636" t="n"/>
      <c r="AL599" s="636" t="n"/>
      <c r="AM599" s="636" t="n"/>
      <c r="AN599" s="636" t="n"/>
      <c r="AO599" s="636" t="n"/>
      <c r="AP599" s="636" t="n"/>
      <c r="AQ599" s="636" t="n"/>
      <c r="AR599" s="636" t="n"/>
      <c r="AS599" s="636" t="n"/>
    </row>
    <row r="600" ht="17" customHeight="1" s="1085" thickBot="1">
      <c r="A600" s="644" t="inlineStr">
        <is>
          <t>KVX-M</t>
        </is>
      </c>
      <c r="B600" s="631" t="n">
        <v>2250</v>
      </c>
      <c r="C600" s="631" t="n">
        <v>1500</v>
      </c>
      <c r="D600" s="651">
        <f>$A600&amp;B600&amp;C600</f>
        <v/>
      </c>
      <c r="E600" s="1040">
        <f>SUM(G600:AD600)</f>
        <v/>
      </c>
      <c r="F600" s="632" t="n">
        <v>18</v>
      </c>
      <c r="G600" s="633">
        <f>F600*CCBASE!$B$51</f>
        <v/>
      </c>
      <c r="H600" s="633">
        <f>CCBASE!$I$12*B600/1000</f>
        <v/>
      </c>
      <c r="I600" s="633" t="n"/>
      <c r="J600" s="633" t="n"/>
      <c r="K600" s="633" t="n"/>
      <c r="L600" s="632" t="n"/>
      <c r="M600" s="633">
        <f>CCBASE!$I$15*B600/1000</f>
        <v/>
      </c>
      <c r="N600" s="633">
        <f>CCBASE!$I$7*B600/1000</f>
        <v/>
      </c>
      <c r="O600" s="633">
        <f>CCBASE!$I$45*B600/1000</f>
        <v/>
      </c>
      <c r="P600" s="633" t="n"/>
      <c r="Q600" s="633">
        <f>CCBASE!$I$51</f>
        <v/>
      </c>
      <c r="R600" s="633">
        <f>CCBASE!$I$4</f>
        <v/>
      </c>
      <c r="S600" s="633">
        <f>CCBASE!$I$8</f>
        <v/>
      </c>
      <c r="T600" s="632" t="n"/>
      <c r="U600" s="638">
        <f>CCBASE!$I$47*2</f>
        <v/>
      </c>
      <c r="V600" s="633" t="n"/>
      <c r="W600" s="633">
        <f>CCBASE!$I$41*B600/1000</f>
        <v/>
      </c>
      <c r="X600" s="633" t="n"/>
      <c r="Y600" s="633" t="n"/>
      <c r="Z600" s="633" t="n"/>
      <c r="AA600" s="633" t="n"/>
      <c r="AB600" s="633" t="n"/>
      <c r="AC600" s="633" t="n"/>
      <c r="AD600" s="652">
        <f>CCBASE!$I$33*2</f>
        <v/>
      </c>
      <c r="AI600" s="635" t="n"/>
      <c r="AJ600" s="635" t="n"/>
      <c r="AK600" s="636" t="n"/>
      <c r="AL600" s="636" t="n"/>
      <c r="AM600" s="636" t="n"/>
      <c r="AN600" s="636" t="n"/>
      <c r="AO600" s="636" t="n"/>
      <c r="AP600" s="636" t="n"/>
      <c r="AQ600" s="636" t="n"/>
      <c r="AR600" s="636" t="n"/>
      <c r="AS600" s="636" t="n"/>
    </row>
    <row r="601" ht="17" customHeight="1" s="1085" thickBot="1">
      <c r="A601" s="644" t="inlineStr">
        <is>
          <t>KVX-M</t>
        </is>
      </c>
      <c r="B601" s="631" t="n">
        <v>2500</v>
      </c>
      <c r="C601" s="631" t="n">
        <v>1500</v>
      </c>
      <c r="D601" s="651">
        <f>$A601&amp;B601&amp;C601</f>
        <v/>
      </c>
      <c r="E601" s="1040">
        <f>SUM(G601:AD601)</f>
        <v/>
      </c>
      <c r="F601" s="632" t="n">
        <v>19</v>
      </c>
      <c r="G601" s="633">
        <f>F601*CCBASE!$B$51</f>
        <v/>
      </c>
      <c r="H601" s="633">
        <f>CCBASE!$I$12*B601/1000</f>
        <v/>
      </c>
      <c r="I601" s="633" t="n"/>
      <c r="J601" s="633" t="n"/>
      <c r="K601" s="633" t="n"/>
      <c r="L601" s="632" t="n"/>
      <c r="M601" s="633">
        <f>CCBASE!$I$15*B601/1000</f>
        <v/>
      </c>
      <c r="N601" s="633">
        <f>CCBASE!$I$7*B601/1000</f>
        <v/>
      </c>
      <c r="O601" s="633">
        <f>CCBASE!$I$45*B601/1000</f>
        <v/>
      </c>
      <c r="P601" s="633" t="n"/>
      <c r="Q601" s="633">
        <f>CCBASE!$I$51</f>
        <v/>
      </c>
      <c r="R601" s="633">
        <f>CCBASE!$I$4</f>
        <v/>
      </c>
      <c r="S601" s="633">
        <f>CCBASE!$I$8</f>
        <v/>
      </c>
      <c r="T601" s="632" t="n"/>
      <c r="U601" s="638">
        <f>CCBASE!$I$47*2</f>
        <v/>
      </c>
      <c r="V601" s="633" t="n"/>
      <c r="W601" s="633">
        <f>CCBASE!$I$41*B601/1000</f>
        <v/>
      </c>
      <c r="X601" s="633" t="n"/>
      <c r="Y601" s="633" t="n"/>
      <c r="Z601" s="633" t="n"/>
      <c r="AA601" s="633" t="n"/>
      <c r="AB601" s="633" t="n"/>
      <c r="AC601" s="633" t="n"/>
      <c r="AD601" s="652">
        <f>CCBASE!$I$33*2</f>
        <v/>
      </c>
      <c r="AI601" s="635" t="n"/>
      <c r="AJ601" s="635" t="n"/>
      <c r="AK601" s="636" t="n"/>
      <c r="AL601" s="636" t="n"/>
      <c r="AM601" s="636" t="n"/>
      <c r="AN601" s="636" t="n"/>
      <c r="AO601" s="636" t="n"/>
      <c r="AP601" s="636" t="n"/>
      <c r="AQ601" s="636" t="n"/>
      <c r="AR601" s="636" t="n"/>
      <c r="AS601" s="636" t="n"/>
    </row>
    <row r="602" ht="17" customHeight="1" s="1085" thickBot="1">
      <c r="A602" s="644" t="inlineStr">
        <is>
          <t>KVX-M</t>
        </is>
      </c>
      <c r="B602" s="631" t="n">
        <v>2750</v>
      </c>
      <c r="C602" s="631" t="n">
        <v>1500</v>
      </c>
      <c r="D602" s="651">
        <f>$A602&amp;B602&amp;C602</f>
        <v/>
      </c>
      <c r="E602" s="1040">
        <f>SUM(G602:AD602)</f>
        <v/>
      </c>
      <c r="F602" s="632" t="n">
        <v>19</v>
      </c>
      <c r="G602" s="633">
        <f>F602*CCBASE!$B$51</f>
        <v/>
      </c>
      <c r="H602" s="633">
        <f>CCBASE!$I$12*B602/1000</f>
        <v/>
      </c>
      <c r="I602" s="633" t="n"/>
      <c r="J602" s="633" t="n"/>
      <c r="K602" s="633" t="n"/>
      <c r="L602" s="632" t="n"/>
      <c r="M602" s="633">
        <f>CCBASE!$I$15*B602/1000</f>
        <v/>
      </c>
      <c r="N602" s="633">
        <f>CCBASE!$I$7*B602/1000</f>
        <v/>
      </c>
      <c r="O602" s="633">
        <f>CCBASE!$I$45*B602/1000</f>
        <v/>
      </c>
      <c r="P602" s="633" t="n"/>
      <c r="Q602" s="633">
        <f>CCBASE!$I$51</f>
        <v/>
      </c>
      <c r="R602" s="633">
        <f>CCBASE!$I$4</f>
        <v/>
      </c>
      <c r="S602" s="633">
        <f>CCBASE!$I$8</f>
        <v/>
      </c>
      <c r="T602" s="632" t="n"/>
      <c r="U602" s="638">
        <f>CCBASE!$I$47*2</f>
        <v/>
      </c>
      <c r="V602" s="633" t="n"/>
      <c r="W602" s="633">
        <f>CCBASE!$I$41*B602/1000</f>
        <v/>
      </c>
      <c r="X602" s="633" t="n"/>
      <c r="Y602" s="633" t="n"/>
      <c r="Z602" s="633" t="n"/>
      <c r="AA602" s="633" t="n"/>
      <c r="AB602" s="633" t="n"/>
      <c r="AC602" s="633" t="n"/>
      <c r="AD602" s="652">
        <f>CCBASE!$I$33*2</f>
        <v/>
      </c>
      <c r="AI602" s="635" t="n"/>
      <c r="AJ602" s="635" t="n"/>
      <c r="AN602" s="636" t="n"/>
      <c r="AO602" s="636" t="n"/>
      <c r="AP602" s="636" t="n"/>
      <c r="AQ602" s="636" t="n"/>
      <c r="AR602" s="636" t="n"/>
      <c r="AS602" s="636" t="n"/>
    </row>
    <row r="603" ht="17" customHeight="1" s="1085" thickBot="1">
      <c r="A603" s="644" t="inlineStr">
        <is>
          <t>KVX-M</t>
        </is>
      </c>
      <c r="B603" s="631" t="n">
        <v>3000</v>
      </c>
      <c r="C603" s="631" t="n">
        <v>1500</v>
      </c>
      <c r="D603" s="651">
        <f>$A603&amp;B603&amp;C603</f>
        <v/>
      </c>
      <c r="E603" s="1040">
        <f>SUM(G603:AD603)</f>
        <v/>
      </c>
      <c r="F603" s="632" t="n">
        <v>19</v>
      </c>
      <c r="G603" s="633">
        <f>F603*CCBASE!$B$51</f>
        <v/>
      </c>
      <c r="H603" s="633">
        <f>CCBASE!$I$12*B603/1000</f>
        <v/>
      </c>
      <c r="I603" s="633" t="n"/>
      <c r="J603" s="633" t="n"/>
      <c r="K603" s="633" t="n"/>
      <c r="L603" s="632" t="n"/>
      <c r="M603" s="633">
        <f>CCBASE!$I$15*B603/1000</f>
        <v/>
      </c>
      <c r="N603" s="633">
        <f>CCBASE!$I$7*B603/1000</f>
        <v/>
      </c>
      <c r="O603" s="633">
        <f>CCBASE!$I$45*B603/1000</f>
        <v/>
      </c>
      <c r="P603" s="633" t="n"/>
      <c r="Q603" s="633">
        <f>CCBASE!$I$51</f>
        <v/>
      </c>
      <c r="R603" s="633">
        <f>CCBASE!$I$4</f>
        <v/>
      </c>
      <c r="S603" s="633">
        <f>CCBASE!$I$8</f>
        <v/>
      </c>
      <c r="T603" s="632" t="n"/>
      <c r="U603" s="638">
        <f>CCBASE!$I$47*2</f>
        <v/>
      </c>
      <c r="V603" s="633" t="n"/>
      <c r="W603" s="633">
        <f>CCBASE!$I$41*B603/1000</f>
        <v/>
      </c>
      <c r="X603" s="633" t="n"/>
      <c r="Y603" s="633" t="n"/>
      <c r="Z603" s="633" t="n"/>
      <c r="AA603" s="633" t="n"/>
      <c r="AB603" s="633" t="n"/>
      <c r="AC603" s="633" t="n"/>
      <c r="AD603" s="652">
        <f>CCBASE!$I$33*2</f>
        <v/>
      </c>
      <c r="AI603" s="635" t="n"/>
      <c r="AJ603" s="635" t="n"/>
      <c r="AN603" s="636" t="n"/>
      <c r="AO603" s="636" t="n"/>
      <c r="AP603" s="636" t="n"/>
      <c r="AQ603" s="636" t="n"/>
      <c r="AR603" s="636" t="n"/>
      <c r="AS603" s="636" t="n"/>
    </row>
    <row r="604" ht="17" customHeight="1" s="1085" thickBot="1">
      <c r="A604" s="644" t="inlineStr">
        <is>
          <t>KVX-M</t>
        </is>
      </c>
      <c r="B604" s="631" t="n">
        <v>1000</v>
      </c>
      <c r="C604" s="631" t="n">
        <v>1750</v>
      </c>
      <c r="D604" s="651">
        <f>$A604&amp;B604&amp;C604</f>
        <v/>
      </c>
      <c r="E604" s="1040">
        <f>SUM(G604:AD604)</f>
        <v/>
      </c>
      <c r="F604" s="647" t="n">
        <v>17</v>
      </c>
      <c r="G604" s="633">
        <f>F604*CCBASE!$B$51</f>
        <v/>
      </c>
      <c r="H604" s="633">
        <f>CCBASE!$I$12*B604/1000</f>
        <v/>
      </c>
      <c r="I604" s="633" t="n"/>
      <c r="J604" s="633" t="n"/>
      <c r="K604" s="633" t="n"/>
      <c r="L604" s="638" t="n"/>
      <c r="M604" s="633">
        <f>CCBASE!$I$15*B604/1000</f>
        <v/>
      </c>
      <c r="N604" s="633">
        <f>CCBASE!$I$7*B604/1000</f>
        <v/>
      </c>
      <c r="O604" s="633">
        <f>CCBASE!$I$45*B604/1000</f>
        <v/>
      </c>
      <c r="P604" s="633" t="n"/>
      <c r="Q604" s="633">
        <f>CCBASE!$I$51</f>
        <v/>
      </c>
      <c r="R604" s="633">
        <f>CCBASE!$I$4</f>
        <v/>
      </c>
      <c r="S604" s="633">
        <f>CCBASE!$I$8</f>
        <v/>
      </c>
      <c r="T604" s="632" t="n"/>
      <c r="U604" s="638">
        <f>CCBASE!$I$47</f>
        <v/>
      </c>
      <c r="V604" s="632" t="n"/>
      <c r="W604" s="633">
        <f>CCBASE!$I$42*B604/1000</f>
        <v/>
      </c>
      <c r="X604" s="633" t="n"/>
      <c r="Y604" s="633" t="n"/>
      <c r="Z604" s="633" t="n"/>
      <c r="AA604" s="633" t="n"/>
      <c r="AB604" s="633" t="n"/>
      <c r="AC604" s="633" t="n"/>
      <c r="AD604" s="652">
        <f>CCBASE!$I$34*2</f>
        <v/>
      </c>
      <c r="AI604" s="635" t="n"/>
      <c r="AJ604" s="635" t="n"/>
      <c r="AK604" s="636" t="n"/>
      <c r="AL604" s="636" t="n"/>
      <c r="AM604" s="636" t="n"/>
      <c r="AN604" s="636" t="n"/>
      <c r="AO604" s="636" t="n"/>
      <c r="AP604" s="636" t="n"/>
      <c r="AQ604" s="636" t="n"/>
      <c r="AR604" s="636" t="n"/>
      <c r="AS604" s="636" t="n"/>
    </row>
    <row r="605" ht="17" customHeight="1" s="1085" thickBot="1">
      <c r="A605" s="644" t="inlineStr">
        <is>
          <t>KVX-M</t>
        </is>
      </c>
      <c r="B605" s="631" t="n">
        <v>1250</v>
      </c>
      <c r="C605" s="631" t="n">
        <v>1750</v>
      </c>
      <c r="D605" s="651">
        <f>$A605&amp;B605&amp;C605</f>
        <v/>
      </c>
      <c r="E605" s="1040">
        <f>SUM(G605:AD605)</f>
        <v/>
      </c>
      <c r="F605" s="632" t="n">
        <v>17</v>
      </c>
      <c r="G605" s="633">
        <f>F605*CCBASE!$B$51</f>
        <v/>
      </c>
      <c r="H605" s="633">
        <f>CCBASE!$I$12*B605/1000</f>
        <v/>
      </c>
      <c r="I605" s="633" t="n"/>
      <c r="J605" s="633" t="n"/>
      <c r="K605" s="633" t="n"/>
      <c r="L605" s="638" t="n"/>
      <c r="M605" s="633">
        <f>CCBASE!$I$15*B605/1000</f>
        <v/>
      </c>
      <c r="N605" s="633">
        <f>CCBASE!$I$7*B605/1000</f>
        <v/>
      </c>
      <c r="O605" s="633">
        <f>CCBASE!$I$45*B605/1000</f>
        <v/>
      </c>
      <c r="P605" s="633" t="n"/>
      <c r="Q605" s="633">
        <f>CCBASE!$I$51</f>
        <v/>
      </c>
      <c r="R605" s="633">
        <f>CCBASE!$I$4</f>
        <v/>
      </c>
      <c r="S605" s="633">
        <f>CCBASE!$I$8</f>
        <v/>
      </c>
      <c r="T605" s="632" t="n"/>
      <c r="U605" s="638">
        <f>CCBASE!$I$47</f>
        <v/>
      </c>
      <c r="V605" s="632" t="n"/>
      <c r="W605" s="633">
        <f>CCBASE!$I$42*B605/1000</f>
        <v/>
      </c>
      <c r="X605" s="633" t="n"/>
      <c r="Y605" s="633" t="n"/>
      <c r="Z605" s="633" t="n"/>
      <c r="AA605" s="633" t="n"/>
      <c r="AB605" s="633" t="n"/>
      <c r="AC605" s="633" t="n"/>
      <c r="AD605" s="652">
        <f>CCBASE!$I$34*2</f>
        <v/>
      </c>
      <c r="AI605" s="635" t="n"/>
      <c r="AJ605" s="635" t="n"/>
      <c r="AK605" s="636" t="n"/>
      <c r="AL605" s="636" t="n"/>
      <c r="AM605" s="636" t="n"/>
      <c r="AN605" s="636" t="n"/>
      <c r="AO605" s="636" t="n"/>
      <c r="AP605" s="636" t="n"/>
      <c r="AQ605" s="636" t="n"/>
      <c r="AR605" s="636" t="n"/>
      <c r="AS605" s="636" t="n"/>
    </row>
    <row r="606" ht="17" customHeight="1" s="1085" thickBot="1">
      <c r="A606" s="644" t="inlineStr">
        <is>
          <t>KVX-M</t>
        </is>
      </c>
      <c r="B606" s="631" t="n">
        <v>1500</v>
      </c>
      <c r="C606" s="631" t="n">
        <v>1750</v>
      </c>
      <c r="D606" s="651">
        <f>$A606&amp;B606&amp;C606</f>
        <v/>
      </c>
      <c r="E606" s="1040">
        <f>SUM(G606:AD606)</f>
        <v/>
      </c>
      <c r="F606" s="632" t="n">
        <v>17</v>
      </c>
      <c r="G606" s="633">
        <f>F606*CCBASE!$B$51</f>
        <v/>
      </c>
      <c r="H606" s="633">
        <f>CCBASE!$I$12*B606/1000</f>
        <v/>
      </c>
      <c r="I606" s="633" t="n"/>
      <c r="J606" s="633" t="n"/>
      <c r="K606" s="633" t="n"/>
      <c r="L606" s="638" t="n"/>
      <c r="M606" s="633">
        <f>CCBASE!$I$15*B606/1000</f>
        <v/>
      </c>
      <c r="N606" s="633">
        <f>CCBASE!$I$7*B606/1000</f>
        <v/>
      </c>
      <c r="O606" s="633">
        <f>CCBASE!$I$45*B606/1000</f>
        <v/>
      </c>
      <c r="P606" s="633" t="n"/>
      <c r="Q606" s="633">
        <f>CCBASE!$I$51</f>
        <v/>
      </c>
      <c r="R606" s="633">
        <f>CCBASE!$I$4</f>
        <v/>
      </c>
      <c r="S606" s="633">
        <f>CCBASE!$I$8</f>
        <v/>
      </c>
      <c r="T606" s="632" t="n"/>
      <c r="U606" s="638">
        <f>CCBASE!$I$47</f>
        <v/>
      </c>
      <c r="V606" s="632" t="n"/>
      <c r="W606" s="633">
        <f>CCBASE!$I$42*B606/1000</f>
        <v/>
      </c>
      <c r="X606" s="633" t="n"/>
      <c r="Y606" s="633" t="n"/>
      <c r="Z606" s="633" t="n"/>
      <c r="AA606" s="633" t="n"/>
      <c r="AB606" s="633" t="n"/>
      <c r="AC606" s="633" t="n"/>
      <c r="AD606" s="652">
        <f>CCBASE!$I$34*2</f>
        <v/>
      </c>
      <c r="AI606" s="635" t="n"/>
      <c r="AJ606" s="635" t="n"/>
      <c r="AK606" s="636" t="n"/>
      <c r="AL606" s="636" t="n"/>
      <c r="AM606" s="636" t="n"/>
      <c r="AN606" s="636" t="n"/>
      <c r="AO606" s="636" t="n"/>
      <c r="AP606" s="636" t="n"/>
      <c r="AQ606" s="636" t="n"/>
      <c r="AR606" s="636" t="n"/>
      <c r="AS606" s="636" t="n"/>
    </row>
    <row r="607" ht="17" customHeight="1" s="1085" thickBot="1">
      <c r="A607" s="644" t="inlineStr">
        <is>
          <t>KVX-M</t>
        </is>
      </c>
      <c r="B607" s="631" t="n">
        <v>1750</v>
      </c>
      <c r="C607" s="631" t="n">
        <v>1750</v>
      </c>
      <c r="D607" s="651">
        <f>$A607&amp;B607&amp;C607</f>
        <v/>
      </c>
      <c r="E607" s="1040">
        <f>SUM(G607:AD607)</f>
        <v/>
      </c>
      <c r="F607" s="632" t="n">
        <v>18</v>
      </c>
      <c r="G607" s="633">
        <f>F607*CCBASE!$B$51</f>
        <v/>
      </c>
      <c r="H607" s="633">
        <f>CCBASE!$I$12*B607/1000</f>
        <v/>
      </c>
      <c r="I607" s="633" t="n"/>
      <c r="J607" s="633" t="n"/>
      <c r="K607" s="633" t="n"/>
      <c r="L607" s="638" t="n"/>
      <c r="M607" s="633">
        <f>CCBASE!$I$15*B607/1000</f>
        <v/>
      </c>
      <c r="N607" s="633">
        <f>CCBASE!$I$7*B607/1000</f>
        <v/>
      </c>
      <c r="O607" s="633">
        <f>CCBASE!$I$45*B607/1000</f>
        <v/>
      </c>
      <c r="P607" s="633" t="n"/>
      <c r="Q607" s="633">
        <f>CCBASE!$I$51</f>
        <v/>
      </c>
      <c r="R607" s="633">
        <f>CCBASE!$I$4</f>
        <v/>
      </c>
      <c r="S607" s="633">
        <f>CCBASE!$I$8</f>
        <v/>
      </c>
      <c r="T607" s="632" t="n"/>
      <c r="U607" s="638">
        <f>CCBASE!$I$47</f>
        <v/>
      </c>
      <c r="V607" s="632" t="n"/>
      <c r="W607" s="633">
        <f>CCBASE!$I$42*B607/1000</f>
        <v/>
      </c>
      <c r="X607" s="633" t="n"/>
      <c r="Y607" s="633" t="n"/>
      <c r="Z607" s="633" t="n"/>
      <c r="AA607" s="633" t="n"/>
      <c r="AB607" s="633" t="n"/>
      <c r="AC607" s="633" t="n"/>
      <c r="AD607" s="652">
        <f>CCBASE!$I$34*2</f>
        <v/>
      </c>
      <c r="AI607" s="635" t="n"/>
      <c r="AJ607" s="635" t="n"/>
    </row>
    <row r="608" ht="17" customHeight="1" s="1085" thickBot="1">
      <c r="A608" s="644" t="inlineStr">
        <is>
          <t>KVX-M</t>
        </is>
      </c>
      <c r="B608" s="631" t="n">
        <v>2000</v>
      </c>
      <c r="C608" s="631" t="n">
        <v>1750</v>
      </c>
      <c r="D608" s="651">
        <f>$A608&amp;B608&amp;C608</f>
        <v/>
      </c>
      <c r="E608" s="1040">
        <f>SUM(G608:AD608)</f>
        <v/>
      </c>
      <c r="F608" s="632" t="n">
        <v>18</v>
      </c>
      <c r="G608" s="633">
        <f>F608*CCBASE!$B$51</f>
        <v/>
      </c>
      <c r="H608" s="633">
        <f>CCBASE!$I$12*B608/1000</f>
        <v/>
      </c>
      <c r="I608" s="633" t="n"/>
      <c r="J608" s="633" t="n"/>
      <c r="K608" s="633" t="n"/>
      <c r="L608" s="638" t="n"/>
      <c r="M608" s="633">
        <f>CCBASE!$I$15*B608/1000</f>
        <v/>
      </c>
      <c r="N608" s="633">
        <f>CCBASE!$I$7*B608/1000</f>
        <v/>
      </c>
      <c r="O608" s="633">
        <f>CCBASE!$I$45*B608/1000</f>
        <v/>
      </c>
      <c r="P608" s="633" t="n"/>
      <c r="Q608" s="633">
        <f>CCBASE!$I$51</f>
        <v/>
      </c>
      <c r="R608" s="633">
        <f>CCBASE!$I$4</f>
        <v/>
      </c>
      <c r="S608" s="633">
        <f>CCBASE!$I$8</f>
        <v/>
      </c>
      <c r="T608" s="632" t="n"/>
      <c r="U608" s="638">
        <f>CCBASE!$I$47</f>
        <v/>
      </c>
      <c r="V608" s="632" t="n"/>
      <c r="W608" s="633">
        <f>CCBASE!$I$42*B608/1000</f>
        <v/>
      </c>
      <c r="X608" s="633" t="n"/>
      <c r="Y608" s="633" t="n"/>
      <c r="Z608" s="633" t="n"/>
      <c r="AA608" s="633" t="n"/>
      <c r="AB608" s="633" t="n"/>
      <c r="AC608" s="633" t="n"/>
      <c r="AD608" s="652">
        <f>CCBASE!$I$34*2</f>
        <v/>
      </c>
      <c r="AI608" s="635" t="n"/>
      <c r="AJ608" s="635" t="n"/>
      <c r="AR608" s="636" t="n"/>
      <c r="AS608" s="636" t="n"/>
    </row>
    <row r="609" ht="17" customHeight="1" s="1085" thickBot="1">
      <c r="A609" s="644" t="inlineStr">
        <is>
          <t>KVX-M</t>
        </is>
      </c>
      <c r="B609" s="631" t="n">
        <v>2250</v>
      </c>
      <c r="C609" s="631" t="n">
        <v>1750</v>
      </c>
      <c r="D609" s="651">
        <f>$A609&amp;B609&amp;C609</f>
        <v/>
      </c>
      <c r="E609" s="1040">
        <f>SUM(G609:AD609)</f>
        <v/>
      </c>
      <c r="F609" s="632" t="n">
        <v>18</v>
      </c>
      <c r="G609" s="633">
        <f>F609*CCBASE!$B$51</f>
        <v/>
      </c>
      <c r="H609" s="633">
        <f>CCBASE!$I$12*B609/1000</f>
        <v/>
      </c>
      <c r="I609" s="633" t="n"/>
      <c r="J609" s="633" t="n"/>
      <c r="K609" s="633" t="n"/>
      <c r="L609" s="638" t="n"/>
      <c r="M609" s="633">
        <f>CCBASE!$I$15*B609/1000</f>
        <v/>
      </c>
      <c r="N609" s="633">
        <f>CCBASE!$I$7*B609/1000</f>
        <v/>
      </c>
      <c r="O609" s="633">
        <f>CCBASE!$I$45*B609/1000</f>
        <v/>
      </c>
      <c r="P609" s="633" t="n"/>
      <c r="Q609" s="633">
        <f>CCBASE!$I$51</f>
        <v/>
      </c>
      <c r="R609" s="633">
        <f>CCBASE!$I$4</f>
        <v/>
      </c>
      <c r="S609" s="633">
        <f>CCBASE!$I$8</f>
        <v/>
      </c>
      <c r="T609" s="632" t="n"/>
      <c r="U609" s="638">
        <f>CCBASE!$I$47*2</f>
        <v/>
      </c>
      <c r="V609" s="632" t="n"/>
      <c r="W609" s="633">
        <f>CCBASE!$I$42*B609/1000</f>
        <v/>
      </c>
      <c r="X609" s="633" t="n"/>
      <c r="Y609" s="633" t="n"/>
      <c r="Z609" s="633" t="n"/>
      <c r="AA609" s="633" t="n"/>
      <c r="AB609" s="633" t="n"/>
      <c r="AC609" s="633" t="n"/>
      <c r="AD609" s="652">
        <f>CCBASE!$I$34*2</f>
        <v/>
      </c>
      <c r="AI609" s="635" t="n"/>
      <c r="AJ609" s="635" t="n"/>
      <c r="AR609" s="636" t="n"/>
      <c r="AS609" s="636" t="n"/>
    </row>
    <row r="610" ht="17" customHeight="1" s="1085" thickBot="1">
      <c r="A610" s="644" t="inlineStr">
        <is>
          <t>KVX-M</t>
        </is>
      </c>
      <c r="B610" s="631" t="n">
        <v>2500</v>
      </c>
      <c r="C610" s="631" t="n">
        <v>1750</v>
      </c>
      <c r="D610" s="651">
        <f>$A610&amp;B610&amp;C610</f>
        <v/>
      </c>
      <c r="E610" s="1040">
        <f>SUM(G610:AD610)</f>
        <v/>
      </c>
      <c r="F610" s="632" t="n">
        <v>19</v>
      </c>
      <c r="G610" s="633">
        <f>F610*CCBASE!$B$51</f>
        <v/>
      </c>
      <c r="H610" s="633">
        <f>CCBASE!$I$12*B610/1000</f>
        <v/>
      </c>
      <c r="I610" s="633" t="n"/>
      <c r="J610" s="633" t="n"/>
      <c r="K610" s="633" t="n"/>
      <c r="L610" s="638" t="n"/>
      <c r="M610" s="633">
        <f>CCBASE!$I$15*B610/1000</f>
        <v/>
      </c>
      <c r="N610" s="633">
        <f>CCBASE!$I$7*B610/1000</f>
        <v/>
      </c>
      <c r="O610" s="633">
        <f>CCBASE!$I$45*B610/1000</f>
        <v/>
      </c>
      <c r="P610" s="633" t="n"/>
      <c r="Q610" s="633">
        <f>CCBASE!$I$51</f>
        <v/>
      </c>
      <c r="R610" s="633">
        <f>CCBASE!$I$4</f>
        <v/>
      </c>
      <c r="S610" s="633">
        <f>CCBASE!$I$8</f>
        <v/>
      </c>
      <c r="T610" s="632" t="n"/>
      <c r="U610" s="638">
        <f>CCBASE!$I$47*2</f>
        <v/>
      </c>
      <c r="V610" s="632" t="n"/>
      <c r="W610" s="633">
        <f>CCBASE!$I$42*B610/1000</f>
        <v/>
      </c>
      <c r="X610" s="633" t="n"/>
      <c r="Y610" s="633" t="n"/>
      <c r="Z610" s="633" t="n"/>
      <c r="AA610" s="633" t="n"/>
      <c r="AB610" s="633" t="n"/>
      <c r="AC610" s="633" t="n"/>
      <c r="AD610" s="652">
        <f>CCBASE!$I$34*2</f>
        <v/>
      </c>
      <c r="AI610" s="635" t="n"/>
      <c r="AJ610" s="635" t="n"/>
      <c r="AR610" s="636" t="n"/>
      <c r="AS610" s="636" t="n"/>
    </row>
    <row r="611" ht="17" customHeight="1" s="1085" thickBot="1">
      <c r="A611" s="644" t="inlineStr">
        <is>
          <t>KVX-M</t>
        </is>
      </c>
      <c r="B611" s="631" t="n">
        <v>2750</v>
      </c>
      <c r="C611" s="631" t="n">
        <v>1750</v>
      </c>
      <c r="D611" s="651">
        <f>$A611&amp;B611&amp;C611</f>
        <v/>
      </c>
      <c r="E611" s="1040">
        <f>SUM(G611:AD611)</f>
        <v/>
      </c>
      <c r="F611" s="632" t="n">
        <v>19</v>
      </c>
      <c r="G611" s="633">
        <f>F611*CCBASE!$B$51</f>
        <v/>
      </c>
      <c r="H611" s="633">
        <f>CCBASE!$I$12*B611/1000</f>
        <v/>
      </c>
      <c r="I611" s="633" t="n"/>
      <c r="J611" s="633" t="n"/>
      <c r="K611" s="633" t="n"/>
      <c r="L611" s="638" t="n"/>
      <c r="M611" s="633">
        <f>CCBASE!$I$15*B611/1000</f>
        <v/>
      </c>
      <c r="N611" s="633">
        <f>CCBASE!$I$7*B611/1000</f>
        <v/>
      </c>
      <c r="O611" s="633">
        <f>CCBASE!$I$45*B611/1000</f>
        <v/>
      </c>
      <c r="P611" s="633" t="n"/>
      <c r="Q611" s="633">
        <f>CCBASE!$I$51</f>
        <v/>
      </c>
      <c r="R611" s="633">
        <f>CCBASE!$I$4</f>
        <v/>
      </c>
      <c r="S611" s="633">
        <f>CCBASE!$I$8</f>
        <v/>
      </c>
      <c r="T611" s="632" t="n"/>
      <c r="U611" s="638">
        <f>CCBASE!$I$47*2</f>
        <v/>
      </c>
      <c r="V611" s="632" t="n"/>
      <c r="W611" s="633">
        <f>CCBASE!$I$42*B611/1000</f>
        <v/>
      </c>
      <c r="X611" s="633" t="n"/>
      <c r="Y611" s="633" t="n"/>
      <c r="Z611" s="633" t="n"/>
      <c r="AA611" s="633" t="n"/>
      <c r="AB611" s="633" t="n"/>
      <c r="AC611" s="633" t="n"/>
      <c r="AD611" s="652">
        <f>CCBASE!$I$34*2</f>
        <v/>
      </c>
      <c r="AI611" s="635" t="n"/>
      <c r="AJ611" s="635" t="n"/>
      <c r="AK611" s="636" t="n"/>
      <c r="AL611" s="636" t="n"/>
      <c r="AM611" s="636" t="n"/>
      <c r="AN611" s="636" t="n"/>
      <c r="AO611" s="636" t="n"/>
      <c r="AP611" s="636" t="n"/>
      <c r="AQ611" s="636" t="n"/>
      <c r="AR611" s="636" t="n"/>
      <c r="AS611" s="636" t="n"/>
    </row>
    <row r="612" ht="17" customHeight="1" s="1085" thickBot="1">
      <c r="A612" s="644" t="inlineStr">
        <is>
          <t>KVX-M</t>
        </is>
      </c>
      <c r="B612" s="631" t="n">
        <v>3000</v>
      </c>
      <c r="C612" s="631" t="n">
        <v>1750</v>
      </c>
      <c r="D612" s="651">
        <f>$A612&amp;B612&amp;C612</f>
        <v/>
      </c>
      <c r="E612" s="1040">
        <f>SUM(G612:AD612)</f>
        <v/>
      </c>
      <c r="F612" s="632" t="n">
        <v>19</v>
      </c>
      <c r="G612" s="633">
        <f>F612*CCBASE!$B$51</f>
        <v/>
      </c>
      <c r="H612" s="633">
        <f>CCBASE!$I$12*B612/1000</f>
        <v/>
      </c>
      <c r="I612" s="633" t="n"/>
      <c r="J612" s="633" t="n"/>
      <c r="K612" s="633" t="n"/>
      <c r="L612" s="638" t="n"/>
      <c r="M612" s="633">
        <f>CCBASE!$I$15*B612/1000</f>
        <v/>
      </c>
      <c r="N612" s="633">
        <f>CCBASE!$I$7*B612/1000</f>
        <v/>
      </c>
      <c r="O612" s="633">
        <f>CCBASE!$I$45*B612/1000</f>
        <v/>
      </c>
      <c r="P612" s="633" t="n"/>
      <c r="Q612" s="633">
        <f>CCBASE!$I$51</f>
        <v/>
      </c>
      <c r="R612" s="633">
        <f>CCBASE!$I$4</f>
        <v/>
      </c>
      <c r="S612" s="633">
        <f>CCBASE!$I$8</f>
        <v/>
      </c>
      <c r="T612" s="632" t="n"/>
      <c r="U612" s="638">
        <f>CCBASE!$I$47*2</f>
        <v/>
      </c>
      <c r="V612" s="632" t="n"/>
      <c r="W612" s="633">
        <f>CCBASE!$I$42*B612/1000</f>
        <v/>
      </c>
      <c r="X612" s="633" t="n"/>
      <c r="Y612" s="633" t="n"/>
      <c r="Z612" s="633" t="n"/>
      <c r="AA612" s="633" t="n"/>
      <c r="AB612" s="633" t="n"/>
      <c r="AC612" s="633" t="n"/>
      <c r="AD612" s="652">
        <f>CCBASE!$I$34*2</f>
        <v/>
      </c>
      <c r="AI612" s="635" t="n"/>
      <c r="AJ612" s="635" t="n"/>
      <c r="AK612" s="636" t="n"/>
      <c r="AL612" s="636" t="n"/>
      <c r="AM612" s="636" t="n"/>
      <c r="AN612" s="636" t="n"/>
      <c r="AO612" s="636" t="n"/>
      <c r="AP612" s="636" t="n"/>
      <c r="AQ612" s="636" t="n"/>
      <c r="AR612" s="636" t="n"/>
      <c r="AS612" s="636" t="n"/>
    </row>
    <row r="613" ht="17" customHeight="1" s="1085" thickBot="1">
      <c r="A613" s="644" t="inlineStr">
        <is>
          <t>KVX-M</t>
        </is>
      </c>
      <c r="B613" s="631" t="n">
        <v>1000</v>
      </c>
      <c r="C613" s="631" t="n">
        <v>2000</v>
      </c>
      <c r="D613" s="651">
        <f>$A613&amp;B613&amp;C613</f>
        <v/>
      </c>
      <c r="E613" s="1040">
        <f>SUM(G613:AD613)</f>
        <v/>
      </c>
      <c r="F613" s="647" t="n">
        <v>17</v>
      </c>
      <c r="G613" s="633">
        <f>F613*CCBASE!$B$51</f>
        <v/>
      </c>
      <c r="H613" s="633">
        <f>CCBASE!$I$12*B613/1000</f>
        <v/>
      </c>
      <c r="I613" s="633" t="n"/>
      <c r="J613" s="633" t="n"/>
      <c r="K613" s="633" t="n"/>
      <c r="L613" s="638" t="n"/>
      <c r="M613" s="633">
        <f>CCBASE!$I$15*B613/1000</f>
        <v/>
      </c>
      <c r="N613" s="633">
        <f>CCBASE!$I$7*B613/1000</f>
        <v/>
      </c>
      <c r="O613" s="633">
        <f>CCBASE!$I$45*B613/1000</f>
        <v/>
      </c>
      <c r="P613" s="633" t="n"/>
      <c r="Q613" s="633">
        <f>CCBASE!$I$51</f>
        <v/>
      </c>
      <c r="R613" s="633">
        <f>CCBASE!$I$4</f>
        <v/>
      </c>
      <c r="S613" s="633">
        <f>CCBASE!$I$8</f>
        <v/>
      </c>
      <c r="T613" s="632" t="n"/>
      <c r="U613" s="638">
        <f>CCBASE!$I$47</f>
        <v/>
      </c>
      <c r="V613" s="632" t="n"/>
      <c r="W613" s="633">
        <f>CCBASE!$I$43*B613/1000</f>
        <v/>
      </c>
      <c r="X613" s="633" t="n"/>
      <c r="Y613" s="633" t="n"/>
      <c r="Z613" s="633" t="n"/>
      <c r="AA613" s="633" t="n"/>
      <c r="AB613" s="633" t="n"/>
      <c r="AC613" s="633" t="n"/>
      <c r="AD613" s="652">
        <f>CCBASE!$I$35*2</f>
        <v/>
      </c>
      <c r="AI613" s="635" t="n"/>
      <c r="AJ613" s="635" t="n"/>
      <c r="AK613" s="636" t="n"/>
      <c r="AL613" s="636" t="n"/>
      <c r="AM613" s="636" t="n"/>
      <c r="AN613" s="636" t="n"/>
      <c r="AO613" s="636" t="n"/>
      <c r="AP613" s="636" t="n"/>
      <c r="AQ613" s="636" t="n"/>
      <c r="AR613" s="636" t="n"/>
      <c r="AS613" s="636" t="n"/>
    </row>
    <row r="614" ht="17" customHeight="1" s="1085" thickBot="1">
      <c r="A614" s="644" t="inlineStr">
        <is>
          <t>KVX-M</t>
        </is>
      </c>
      <c r="B614" s="631" t="n">
        <v>1250</v>
      </c>
      <c r="C614" s="631" t="n">
        <v>2000</v>
      </c>
      <c r="D614" s="651">
        <f>$A614&amp;B614&amp;C614</f>
        <v/>
      </c>
      <c r="E614" s="1040">
        <f>SUM(G614:AD614)</f>
        <v/>
      </c>
      <c r="F614" s="632" t="n">
        <v>17</v>
      </c>
      <c r="G614" s="633">
        <f>F614*CCBASE!$B$51</f>
        <v/>
      </c>
      <c r="H614" s="633">
        <f>CCBASE!$I$12*B614/1000</f>
        <v/>
      </c>
      <c r="I614" s="633" t="n"/>
      <c r="J614" s="633" t="n"/>
      <c r="K614" s="633" t="n"/>
      <c r="L614" s="638" t="n"/>
      <c r="M614" s="633">
        <f>CCBASE!$I$15*B614/1000</f>
        <v/>
      </c>
      <c r="N614" s="633">
        <f>CCBASE!$I$7*B614/1000</f>
        <v/>
      </c>
      <c r="O614" s="633">
        <f>CCBASE!$I$45*B614/1000</f>
        <v/>
      </c>
      <c r="P614" s="633" t="n"/>
      <c r="Q614" s="633">
        <f>CCBASE!$I$51</f>
        <v/>
      </c>
      <c r="R614" s="633">
        <f>CCBASE!$I$4</f>
        <v/>
      </c>
      <c r="S614" s="633">
        <f>CCBASE!$I$8</f>
        <v/>
      </c>
      <c r="T614" s="632" t="n"/>
      <c r="U614" s="638">
        <f>CCBASE!$I$47</f>
        <v/>
      </c>
      <c r="V614" s="632" t="n"/>
      <c r="W614" s="633">
        <f>CCBASE!$I$43*B614/1000</f>
        <v/>
      </c>
      <c r="X614" s="633" t="n"/>
      <c r="Y614" s="633" t="n"/>
      <c r="Z614" s="633" t="n"/>
      <c r="AA614" s="633" t="n"/>
      <c r="AB614" s="633" t="n"/>
      <c r="AC614" s="633" t="n"/>
      <c r="AD614" s="652">
        <f>CCBASE!$I$35*2</f>
        <v/>
      </c>
      <c r="AI614" s="635" t="n"/>
      <c r="AJ614" s="635" t="n"/>
      <c r="AK614" s="636" t="n"/>
      <c r="AL614" s="636" t="n"/>
      <c r="AM614" s="636" t="n"/>
      <c r="AN614" s="636" t="n"/>
      <c r="AO614" s="636" t="n"/>
      <c r="AP614" s="636" t="n"/>
      <c r="AQ614" s="636" t="n"/>
      <c r="AR614" s="636" t="n"/>
      <c r="AS614" s="636" t="n"/>
    </row>
    <row r="615" ht="17" customHeight="1" s="1085" thickBot="1">
      <c r="A615" s="644" t="inlineStr">
        <is>
          <t>KVX-M</t>
        </is>
      </c>
      <c r="B615" s="631" t="n">
        <v>1500</v>
      </c>
      <c r="C615" s="631" t="n">
        <v>2000</v>
      </c>
      <c r="D615" s="651">
        <f>$A615&amp;B615&amp;C615</f>
        <v/>
      </c>
      <c r="E615" s="1040">
        <f>SUM(G615:AD615)</f>
        <v/>
      </c>
      <c r="F615" s="632" t="n">
        <v>17</v>
      </c>
      <c r="G615" s="633">
        <f>F615*CCBASE!$B$51</f>
        <v/>
      </c>
      <c r="H615" s="633">
        <f>CCBASE!$I$12*B615/1000</f>
        <v/>
      </c>
      <c r="I615" s="633" t="n"/>
      <c r="J615" s="633" t="n"/>
      <c r="K615" s="633" t="n"/>
      <c r="L615" s="638" t="n"/>
      <c r="M615" s="633">
        <f>CCBASE!$I$15*B615/1000</f>
        <v/>
      </c>
      <c r="N615" s="633">
        <f>CCBASE!$I$7*B615/1000</f>
        <v/>
      </c>
      <c r="O615" s="633">
        <f>CCBASE!$I$45*B615/1000</f>
        <v/>
      </c>
      <c r="P615" s="633" t="n"/>
      <c r="Q615" s="633">
        <f>CCBASE!$I$51</f>
        <v/>
      </c>
      <c r="R615" s="633">
        <f>CCBASE!$I$4</f>
        <v/>
      </c>
      <c r="S615" s="633">
        <f>CCBASE!$I$8</f>
        <v/>
      </c>
      <c r="T615" s="632" t="n"/>
      <c r="U615" s="638">
        <f>CCBASE!$I$47</f>
        <v/>
      </c>
      <c r="V615" s="632" t="n"/>
      <c r="W615" s="633">
        <f>CCBASE!$I$43*B615/1000</f>
        <v/>
      </c>
      <c r="X615" s="633" t="n"/>
      <c r="Y615" s="633" t="n"/>
      <c r="Z615" s="633" t="n"/>
      <c r="AA615" s="633" t="n"/>
      <c r="AB615" s="633" t="n"/>
      <c r="AC615" s="633" t="n"/>
      <c r="AD615" s="652">
        <f>CCBASE!$I$35*2</f>
        <v/>
      </c>
      <c r="AI615" s="635" t="n"/>
      <c r="AJ615" s="635" t="n"/>
      <c r="AK615" s="636" t="n"/>
      <c r="AL615" s="636" t="n"/>
      <c r="AM615" s="636" t="n"/>
      <c r="AN615" s="636" t="n"/>
      <c r="AO615" s="636" t="n"/>
      <c r="AP615" s="636" t="n"/>
      <c r="AQ615" s="636" t="n"/>
      <c r="AR615" s="636" t="n"/>
      <c r="AS615" s="636" t="n"/>
    </row>
    <row r="616" ht="17" customHeight="1" s="1085" thickBot="1">
      <c r="A616" s="644" t="inlineStr">
        <is>
          <t>KVX-M</t>
        </is>
      </c>
      <c r="B616" s="631" t="n">
        <v>1750</v>
      </c>
      <c r="C616" s="631" t="n">
        <v>2000</v>
      </c>
      <c r="D616" s="651">
        <f>$A616&amp;B616&amp;C616</f>
        <v/>
      </c>
      <c r="E616" s="1040">
        <f>SUM(G616:AD616)</f>
        <v/>
      </c>
      <c r="F616" s="632" t="n">
        <v>18</v>
      </c>
      <c r="G616" s="633">
        <f>F616*CCBASE!$B$51</f>
        <v/>
      </c>
      <c r="H616" s="633">
        <f>CCBASE!$I$12*B616/1000</f>
        <v/>
      </c>
      <c r="I616" s="633" t="n"/>
      <c r="J616" s="633" t="n"/>
      <c r="K616" s="633" t="n"/>
      <c r="L616" s="638" t="n"/>
      <c r="M616" s="633">
        <f>CCBASE!$I$15*B616/1000</f>
        <v/>
      </c>
      <c r="N616" s="633">
        <f>CCBASE!$I$7*B616/1000</f>
        <v/>
      </c>
      <c r="O616" s="633">
        <f>CCBASE!$I$45*B616/1000</f>
        <v/>
      </c>
      <c r="P616" s="633" t="n"/>
      <c r="Q616" s="633">
        <f>CCBASE!$I$51</f>
        <v/>
      </c>
      <c r="R616" s="633">
        <f>CCBASE!$I$4</f>
        <v/>
      </c>
      <c r="S616" s="633">
        <f>CCBASE!$I$8</f>
        <v/>
      </c>
      <c r="T616" s="632" t="n"/>
      <c r="U616" s="638">
        <f>CCBASE!$I$47</f>
        <v/>
      </c>
      <c r="V616" s="632" t="n"/>
      <c r="W616" s="633">
        <f>CCBASE!$I$43*B616/1000</f>
        <v/>
      </c>
      <c r="X616" s="633" t="n"/>
      <c r="Y616" s="633" t="n"/>
      <c r="Z616" s="633" t="n"/>
      <c r="AA616" s="633" t="n"/>
      <c r="AB616" s="633" t="n"/>
      <c r="AC616" s="633" t="n"/>
      <c r="AD616" s="652">
        <f>CCBASE!$I$35*2</f>
        <v/>
      </c>
      <c r="AI616" s="635" t="n"/>
      <c r="AJ616" s="635" t="n"/>
    </row>
    <row r="617" ht="17" customHeight="1" s="1085" thickBot="1">
      <c r="A617" s="644" t="inlineStr">
        <is>
          <t>KVX-M</t>
        </is>
      </c>
      <c r="B617" s="631" t="n">
        <v>2000</v>
      </c>
      <c r="C617" s="631" t="n">
        <v>2000</v>
      </c>
      <c r="D617" s="651">
        <f>$A617&amp;B617&amp;C617</f>
        <v/>
      </c>
      <c r="E617" s="1040">
        <f>SUM(G617:AD617)</f>
        <v/>
      </c>
      <c r="F617" s="632" t="n">
        <v>18</v>
      </c>
      <c r="G617" s="633">
        <f>F617*CCBASE!$B$51</f>
        <v/>
      </c>
      <c r="H617" s="633">
        <f>CCBASE!$I$12*B617/1000</f>
        <v/>
      </c>
      <c r="I617" s="633" t="n"/>
      <c r="J617" s="633" t="n"/>
      <c r="K617" s="633" t="n"/>
      <c r="L617" s="638" t="n"/>
      <c r="M617" s="633">
        <f>CCBASE!$I$15*B617/1000</f>
        <v/>
      </c>
      <c r="N617" s="633">
        <f>CCBASE!$I$7*B617/1000</f>
        <v/>
      </c>
      <c r="O617" s="633">
        <f>CCBASE!$I$45*B617/1000</f>
        <v/>
      </c>
      <c r="P617" s="633" t="n"/>
      <c r="Q617" s="633">
        <f>CCBASE!$I$51</f>
        <v/>
      </c>
      <c r="R617" s="633">
        <f>CCBASE!$I$4</f>
        <v/>
      </c>
      <c r="S617" s="633">
        <f>CCBASE!$I$8</f>
        <v/>
      </c>
      <c r="T617" s="632" t="n"/>
      <c r="U617" s="638">
        <f>CCBASE!$I$47</f>
        <v/>
      </c>
      <c r="V617" s="632" t="n"/>
      <c r="W617" s="633">
        <f>CCBASE!$I$43*B617/1000</f>
        <v/>
      </c>
      <c r="X617" s="633" t="n"/>
      <c r="Y617" s="633" t="n"/>
      <c r="Z617" s="633" t="n"/>
      <c r="AA617" s="633" t="n"/>
      <c r="AB617" s="633" t="n"/>
      <c r="AC617" s="633" t="n"/>
      <c r="AD617" s="652">
        <f>CCBASE!$I$35*2</f>
        <v/>
      </c>
      <c r="AI617" s="635" t="n"/>
      <c r="AJ617" s="635" t="n"/>
    </row>
    <row r="618" ht="17" customHeight="1" s="1085" thickBot="1">
      <c r="A618" s="644" t="inlineStr">
        <is>
          <t>KVX-M</t>
        </is>
      </c>
      <c r="B618" s="631" t="n">
        <v>2250</v>
      </c>
      <c r="C618" s="631" t="n">
        <v>2000</v>
      </c>
      <c r="D618" s="651">
        <f>$A618&amp;B618&amp;C618</f>
        <v/>
      </c>
      <c r="E618" s="1040">
        <f>SUM(G618:AD618)</f>
        <v/>
      </c>
      <c r="F618" s="632" t="n">
        <v>18</v>
      </c>
      <c r="G618" s="633">
        <f>F618*CCBASE!$B$51</f>
        <v/>
      </c>
      <c r="H618" s="633">
        <f>CCBASE!$I$12*B618/1000</f>
        <v/>
      </c>
      <c r="I618" s="633" t="n"/>
      <c r="J618" s="633" t="n"/>
      <c r="K618" s="633" t="n"/>
      <c r="L618" s="638" t="n"/>
      <c r="M618" s="633">
        <f>CCBASE!$I$15*B618/1000</f>
        <v/>
      </c>
      <c r="N618" s="633">
        <f>CCBASE!$I$7*B618/1000</f>
        <v/>
      </c>
      <c r="O618" s="633">
        <f>CCBASE!$I$45*B618/1000</f>
        <v/>
      </c>
      <c r="P618" s="633" t="n"/>
      <c r="Q618" s="633">
        <f>CCBASE!$I$51</f>
        <v/>
      </c>
      <c r="R618" s="633">
        <f>CCBASE!$I$4</f>
        <v/>
      </c>
      <c r="S618" s="633">
        <f>CCBASE!$I$8</f>
        <v/>
      </c>
      <c r="T618" s="632" t="n"/>
      <c r="U618" s="638">
        <f>CCBASE!$I$47*2</f>
        <v/>
      </c>
      <c r="V618" s="632" t="n"/>
      <c r="W618" s="633">
        <f>CCBASE!$I$43*B618/1000</f>
        <v/>
      </c>
      <c r="X618" s="633" t="n"/>
      <c r="Y618" s="633" t="n"/>
      <c r="Z618" s="633" t="n"/>
      <c r="AA618" s="633" t="n"/>
      <c r="AB618" s="633" t="n"/>
      <c r="AC618" s="633" t="n"/>
      <c r="AD618" s="652">
        <f>CCBASE!$I$35*2</f>
        <v/>
      </c>
      <c r="AI618" s="635" t="n"/>
      <c r="AJ618" s="635" t="n"/>
    </row>
    <row r="619" ht="17" customHeight="1" s="1085" thickBot="1">
      <c r="A619" s="644" t="inlineStr">
        <is>
          <t>KVX-M</t>
        </is>
      </c>
      <c r="B619" s="631" t="n">
        <v>2500</v>
      </c>
      <c r="C619" s="631" t="n">
        <v>2000</v>
      </c>
      <c r="D619" s="651">
        <f>$A619&amp;B619&amp;C619</f>
        <v/>
      </c>
      <c r="E619" s="1040">
        <f>SUM(G619:AD619)</f>
        <v/>
      </c>
      <c r="F619" s="632" t="n">
        <v>19</v>
      </c>
      <c r="G619" s="633">
        <f>F619*CCBASE!$B$51</f>
        <v/>
      </c>
      <c r="H619" s="633">
        <f>CCBASE!$I$12*B619/1000</f>
        <v/>
      </c>
      <c r="I619" s="633" t="n"/>
      <c r="J619" s="633" t="n"/>
      <c r="K619" s="633" t="n"/>
      <c r="L619" s="638" t="n"/>
      <c r="M619" s="633">
        <f>CCBASE!$I$15*B619/1000</f>
        <v/>
      </c>
      <c r="N619" s="633">
        <f>CCBASE!$I$7*B619/1000</f>
        <v/>
      </c>
      <c r="O619" s="633">
        <f>CCBASE!$I$45*B619/1000</f>
        <v/>
      </c>
      <c r="P619" s="633" t="n"/>
      <c r="Q619" s="633">
        <f>CCBASE!$I$51</f>
        <v/>
      </c>
      <c r="R619" s="633">
        <f>CCBASE!$I$4</f>
        <v/>
      </c>
      <c r="S619" s="633">
        <f>CCBASE!$I$8</f>
        <v/>
      </c>
      <c r="T619" s="632" t="n"/>
      <c r="U619" s="638">
        <f>CCBASE!$I$47*2</f>
        <v/>
      </c>
      <c r="V619" s="632" t="n"/>
      <c r="W619" s="633">
        <f>CCBASE!$I$43*B619/1000</f>
        <v/>
      </c>
      <c r="X619" s="633" t="n"/>
      <c r="Y619" s="633" t="n"/>
      <c r="Z619" s="633" t="n"/>
      <c r="AA619" s="633" t="n"/>
      <c r="AB619" s="633" t="n"/>
      <c r="AC619" s="633" t="n"/>
      <c r="AD619" s="652">
        <f>CCBASE!$I$35*2</f>
        <v/>
      </c>
      <c r="AI619" s="635" t="n"/>
      <c r="AJ619" s="635" t="n"/>
      <c r="AR619" s="636" t="n"/>
      <c r="AS619" s="636" t="n"/>
    </row>
    <row r="620" ht="17" customHeight="1" s="1085" thickBot="1">
      <c r="A620" s="644" t="inlineStr">
        <is>
          <t>KVX-M</t>
        </is>
      </c>
      <c r="B620" s="631" t="n">
        <v>2750</v>
      </c>
      <c r="C620" s="631" t="n">
        <v>2000</v>
      </c>
      <c r="D620" s="651">
        <f>$A620&amp;B620&amp;C620</f>
        <v/>
      </c>
      <c r="E620" s="1040">
        <f>SUM(G620:AD620)</f>
        <v/>
      </c>
      <c r="F620" s="632" t="n">
        <v>19</v>
      </c>
      <c r="G620" s="633">
        <f>F620*CCBASE!$B$51</f>
        <v/>
      </c>
      <c r="H620" s="633">
        <f>CCBASE!$I$12*B620/1000</f>
        <v/>
      </c>
      <c r="I620" s="633" t="n"/>
      <c r="J620" s="633" t="n"/>
      <c r="K620" s="633" t="n"/>
      <c r="L620" s="638" t="n"/>
      <c r="M620" s="633">
        <f>CCBASE!$I$15*B620/1000</f>
        <v/>
      </c>
      <c r="N620" s="633">
        <f>CCBASE!$I$7*B620/1000</f>
        <v/>
      </c>
      <c r="O620" s="633">
        <f>CCBASE!$I$45*B620/1000</f>
        <v/>
      </c>
      <c r="P620" s="633" t="n"/>
      <c r="Q620" s="633">
        <f>CCBASE!$I$51</f>
        <v/>
      </c>
      <c r="R620" s="633">
        <f>CCBASE!$I$4</f>
        <v/>
      </c>
      <c r="S620" s="633">
        <f>CCBASE!$I$8</f>
        <v/>
      </c>
      <c r="T620" s="632" t="n"/>
      <c r="U620" s="638">
        <f>CCBASE!$I$47*2</f>
        <v/>
      </c>
      <c r="V620" s="632" t="n"/>
      <c r="W620" s="633">
        <f>CCBASE!$I$43*B620/1000</f>
        <v/>
      </c>
      <c r="X620" s="633" t="n"/>
      <c r="Y620" s="633" t="n"/>
      <c r="Z620" s="633" t="n"/>
      <c r="AA620" s="633" t="n"/>
      <c r="AB620" s="633" t="n"/>
      <c r="AC620" s="633" t="n"/>
      <c r="AD620" s="652">
        <f>CCBASE!$I$35*2</f>
        <v/>
      </c>
      <c r="AI620" s="635" t="n"/>
      <c r="AJ620" s="635" t="n"/>
      <c r="AR620" s="636" t="n"/>
      <c r="AS620" s="636" t="n"/>
    </row>
    <row r="621" ht="17" customHeight="1" s="1085" thickBot="1">
      <c r="A621" s="644" t="inlineStr">
        <is>
          <t>KVX-M</t>
        </is>
      </c>
      <c r="B621" s="653" t="n">
        <v>3000</v>
      </c>
      <c r="C621" s="653" t="n">
        <v>2000</v>
      </c>
      <c r="D621" s="654">
        <f>$A621&amp;B621&amp;C621</f>
        <v/>
      </c>
      <c r="E621" s="1040">
        <f>SUM(G621:AD621)</f>
        <v/>
      </c>
      <c r="F621" s="632" t="n">
        <v>19</v>
      </c>
      <c r="G621" s="655">
        <f>F621*CCBASE!$B$51</f>
        <v/>
      </c>
      <c r="H621" s="655">
        <f>CCBASE!$I$12*B621/1000</f>
        <v/>
      </c>
      <c r="I621" s="655" t="n"/>
      <c r="J621" s="655" t="n"/>
      <c r="K621" s="655" t="n"/>
      <c r="L621" s="656" t="n"/>
      <c r="M621" s="655">
        <f>CCBASE!$I$15*B621/1000</f>
        <v/>
      </c>
      <c r="N621" s="655">
        <f>CCBASE!$I$7*B621/1000</f>
        <v/>
      </c>
      <c r="O621" s="655">
        <f>CCBASE!$I$45*B621/1000</f>
        <v/>
      </c>
      <c r="P621" s="655" t="n"/>
      <c r="Q621" s="655">
        <f>CCBASE!$I$51</f>
        <v/>
      </c>
      <c r="R621" s="655">
        <f>CCBASE!$I$4</f>
        <v/>
      </c>
      <c r="S621" s="655">
        <f>CCBASE!$I$8</f>
        <v/>
      </c>
      <c r="T621" s="657" t="n"/>
      <c r="U621" s="656">
        <f>CCBASE!$I$47*2</f>
        <v/>
      </c>
      <c r="V621" s="657" t="n"/>
      <c r="W621" s="655">
        <f>CCBASE!$I$43*B621/1000</f>
        <v/>
      </c>
      <c r="X621" s="655" t="n"/>
      <c r="Y621" s="655" t="n"/>
      <c r="Z621" s="655" t="n"/>
      <c r="AA621" s="655" t="n"/>
      <c r="AB621" s="655" t="n"/>
      <c r="AC621" s="655" t="n"/>
      <c r="AD621" s="658">
        <f>CCBASE!$I$35*2</f>
        <v/>
      </c>
      <c r="AI621" s="635" t="n"/>
      <c r="AJ621" s="635" t="n"/>
      <c r="AK621" s="636" t="n"/>
      <c r="AL621" s="636" t="n"/>
      <c r="AM621" s="636" t="n"/>
      <c r="AN621" s="636" t="n"/>
      <c r="AO621" s="636" t="n"/>
      <c r="AP621" s="636" t="n"/>
      <c r="AQ621" s="636" t="n"/>
      <c r="AR621" s="636" t="n"/>
      <c r="AS621" s="636" t="n"/>
    </row>
    <row r="622" ht="17" customHeight="1" s="1085" thickBot="1">
      <c r="A622" s="659" t="inlineStr">
        <is>
          <t>UVX-M</t>
        </is>
      </c>
      <c r="B622" s="645" t="n">
        <v>1000</v>
      </c>
      <c r="C622" s="645" t="n">
        <v>1000</v>
      </c>
      <c r="D622" s="646">
        <f>$A622&amp;B622&amp;C622</f>
        <v/>
      </c>
      <c r="E622" s="1040">
        <f>SUM(G622:AD622)</f>
        <v/>
      </c>
      <c r="F622" s="647" t="n">
        <v>21</v>
      </c>
      <c r="G622" s="648">
        <f>F622*CCBASE!$B$51</f>
        <v/>
      </c>
      <c r="H622" s="648">
        <f>CCBASE!$I$11*B622/1000</f>
        <v/>
      </c>
      <c r="I622" s="648" t="n"/>
      <c r="J622" s="648" t="n"/>
      <c r="K622" s="648" t="n"/>
      <c r="L622" s="647" t="n"/>
      <c r="M622" s="648">
        <f>CCBASE!$I$15*B622/1000</f>
        <v/>
      </c>
      <c r="N622" s="648">
        <f>CCBASE!$I$7*B622/1000</f>
        <v/>
      </c>
      <c r="O622" s="648">
        <f>CCBASE!$I$45*B622/1000</f>
        <v/>
      </c>
      <c r="P622" s="648">
        <f>CCBASE!$I$10</f>
        <v/>
      </c>
      <c r="Q622" s="648">
        <f>CCBASE!$I$51</f>
        <v/>
      </c>
      <c r="R622" s="648">
        <f>CCBASE!$I$4</f>
        <v/>
      </c>
      <c r="S622" s="648">
        <f>CCBASE!$I$8</f>
        <v/>
      </c>
      <c r="T622" s="647" t="n"/>
      <c r="U622" s="649">
        <f>CCBASE!$I$47</f>
        <v/>
      </c>
      <c r="V622" s="648" t="n"/>
      <c r="W622" s="648">
        <f>CCBASE!$I$40*B622/1000</f>
        <v/>
      </c>
      <c r="X622" s="648" t="n"/>
      <c r="Y622" s="648" t="n"/>
      <c r="Z622" s="648" t="n"/>
      <c r="AA622" s="648" t="n"/>
      <c r="AB622" s="648" t="n"/>
      <c r="AC622" s="648" t="n"/>
      <c r="AD622" s="650">
        <f>CCBASE!$I$32*2</f>
        <v/>
      </c>
      <c r="AI622" s="635" t="n"/>
      <c r="AJ622" s="635" t="n"/>
      <c r="AK622" s="636" t="n"/>
      <c r="AL622" s="636" t="n"/>
      <c r="AM622" s="636" t="n"/>
      <c r="AN622" s="636" t="n"/>
      <c r="AO622" s="636" t="n"/>
      <c r="AP622" s="636" t="n"/>
      <c r="AQ622" s="636" t="n"/>
      <c r="AR622" s="636" t="n"/>
      <c r="AS622" s="636" t="n"/>
    </row>
    <row r="623" ht="17" customHeight="1" s="1085" thickBot="1">
      <c r="A623" s="659" t="inlineStr">
        <is>
          <t>UVX-M</t>
        </is>
      </c>
      <c r="B623" s="631" t="n">
        <v>1250</v>
      </c>
      <c r="C623" s="631" t="n">
        <v>1000</v>
      </c>
      <c r="D623" s="651">
        <f>$A623&amp;B623&amp;C623</f>
        <v/>
      </c>
      <c r="E623" s="1040">
        <f>SUM(G623:AD623)</f>
        <v/>
      </c>
      <c r="F623" s="632" t="n">
        <v>21</v>
      </c>
      <c r="G623" s="633">
        <f>F623*CCBASE!$B$51</f>
        <v/>
      </c>
      <c r="H623" s="633">
        <f>CCBASE!$I$11*B623/1000</f>
        <v/>
      </c>
      <c r="I623" s="633" t="n"/>
      <c r="J623" s="633" t="n"/>
      <c r="K623" s="633" t="n"/>
      <c r="L623" s="632" t="n"/>
      <c r="M623" s="633">
        <f>CCBASE!$I$15*B623/1000</f>
        <v/>
      </c>
      <c r="N623" s="633">
        <f>CCBASE!$I$7*B623/1000</f>
        <v/>
      </c>
      <c r="O623" s="633">
        <f>CCBASE!$I$45*B623/1000</f>
        <v/>
      </c>
      <c r="P623" s="633">
        <f>CCBASE!$I$10</f>
        <v/>
      </c>
      <c r="Q623" s="633">
        <f>CCBASE!$I$51</f>
        <v/>
      </c>
      <c r="R623" s="633">
        <f>CCBASE!$I$4</f>
        <v/>
      </c>
      <c r="S623" s="633">
        <f>CCBASE!$I$8</f>
        <v/>
      </c>
      <c r="T623" s="632" t="n"/>
      <c r="U623" s="638">
        <f>CCBASE!$I$47</f>
        <v/>
      </c>
      <c r="V623" s="633" t="n"/>
      <c r="W623" s="633">
        <f>CCBASE!$I$40*B623/1000</f>
        <v/>
      </c>
      <c r="X623" s="633" t="n"/>
      <c r="Y623" s="633" t="n"/>
      <c r="Z623" s="633" t="n"/>
      <c r="AA623" s="633" t="n"/>
      <c r="AB623" s="633" t="n"/>
      <c r="AC623" s="633" t="n"/>
      <c r="AD623" s="652">
        <f>CCBASE!$I$32*2</f>
        <v/>
      </c>
      <c r="AI623" s="635" t="n"/>
      <c r="AJ623" s="635" t="n"/>
      <c r="AK623" s="636" t="n"/>
      <c r="AL623" s="636" t="n"/>
      <c r="AM623" s="636" t="n"/>
      <c r="AN623" s="636" t="n"/>
      <c r="AO623" s="636" t="n"/>
      <c r="AP623" s="636" t="n"/>
      <c r="AQ623" s="636" t="n"/>
      <c r="AR623" s="636" t="n"/>
      <c r="AS623" s="636" t="n"/>
    </row>
    <row r="624" ht="17" customHeight="1" s="1085" thickBot="1">
      <c r="A624" s="659" t="inlineStr">
        <is>
          <t>UVX-M</t>
        </is>
      </c>
      <c r="B624" s="631" t="n">
        <v>1500</v>
      </c>
      <c r="C624" s="631" t="n">
        <v>1000</v>
      </c>
      <c r="D624" s="651">
        <f>$A624&amp;B624&amp;C624</f>
        <v/>
      </c>
      <c r="E624" s="1040">
        <f>SUM(G624:AD624)</f>
        <v/>
      </c>
      <c r="F624" s="632" t="n">
        <v>21</v>
      </c>
      <c r="G624" s="633">
        <f>F624*CCBASE!$B$51</f>
        <v/>
      </c>
      <c r="H624" s="633">
        <f>CCBASE!$I$11*B624/1000</f>
        <v/>
      </c>
      <c r="I624" s="633" t="n"/>
      <c r="J624" s="633" t="n"/>
      <c r="K624" s="633" t="n"/>
      <c r="L624" s="632" t="n"/>
      <c r="M624" s="633">
        <f>CCBASE!$I$15*B624/1000</f>
        <v/>
      </c>
      <c r="N624" s="633">
        <f>CCBASE!$I$7*B624/1000</f>
        <v/>
      </c>
      <c r="O624" s="633">
        <f>CCBASE!$I$45*B624/1000</f>
        <v/>
      </c>
      <c r="P624" s="633">
        <f>CCBASE!$I$10</f>
        <v/>
      </c>
      <c r="Q624" s="633">
        <f>CCBASE!$I$51</f>
        <v/>
      </c>
      <c r="R624" s="633">
        <f>CCBASE!$I$4</f>
        <v/>
      </c>
      <c r="S624" s="633">
        <f>CCBASE!$I$8</f>
        <v/>
      </c>
      <c r="T624" s="632" t="n"/>
      <c r="U624" s="638">
        <f>CCBASE!$I$47</f>
        <v/>
      </c>
      <c r="V624" s="633" t="n"/>
      <c r="W624" s="633">
        <f>CCBASE!$I$40*B624/1000</f>
        <v/>
      </c>
      <c r="X624" s="633" t="n"/>
      <c r="Y624" s="633" t="n"/>
      <c r="Z624" s="633" t="n"/>
      <c r="AA624" s="633" t="n"/>
      <c r="AB624" s="633" t="n"/>
      <c r="AC624" s="633" t="n"/>
      <c r="AD624" s="652">
        <f>CCBASE!$I$32*2</f>
        <v/>
      </c>
      <c r="AI624" s="635" t="n"/>
      <c r="AJ624" s="635" t="n"/>
      <c r="AK624" s="636" t="n"/>
      <c r="AL624" s="636" t="n"/>
      <c r="AM624" s="636" t="n"/>
      <c r="AN624" s="636" t="n"/>
      <c r="AO624" s="636" t="n"/>
      <c r="AP624" s="636" t="n"/>
      <c r="AQ624" s="636" t="n"/>
      <c r="AR624" s="636" t="n"/>
      <c r="AS624" s="636" t="n"/>
    </row>
    <row r="625" ht="17" customHeight="1" s="1085" thickBot="1">
      <c r="A625" s="659" t="inlineStr">
        <is>
          <t>UVX-M</t>
        </is>
      </c>
      <c r="B625" s="631" t="n">
        <v>1750</v>
      </c>
      <c r="C625" s="631" t="n">
        <v>1000</v>
      </c>
      <c r="D625" s="651">
        <f>$A625&amp;B625&amp;C625</f>
        <v/>
      </c>
      <c r="E625" s="1040">
        <f>SUM(G625:AD625)</f>
        <v/>
      </c>
      <c r="F625" s="632" t="n">
        <v>21</v>
      </c>
      <c r="G625" s="633">
        <f>F625*CCBASE!$B$51</f>
        <v/>
      </c>
      <c r="H625" s="633">
        <f>CCBASE!$I$11*B625/1000</f>
        <v/>
      </c>
      <c r="I625" s="633" t="n"/>
      <c r="J625" s="633" t="n"/>
      <c r="K625" s="633" t="n"/>
      <c r="L625" s="632" t="n"/>
      <c r="M625" s="633">
        <f>CCBASE!$I$15*B625/1000</f>
        <v/>
      </c>
      <c r="N625" s="633">
        <f>CCBASE!$I$7*B625/1000</f>
        <v/>
      </c>
      <c r="O625" s="633">
        <f>CCBASE!$I$45*B625/1000</f>
        <v/>
      </c>
      <c r="P625" s="633">
        <f>CCBASE!$I$10</f>
        <v/>
      </c>
      <c r="Q625" s="633">
        <f>CCBASE!$I$51</f>
        <v/>
      </c>
      <c r="R625" s="633">
        <f>CCBASE!$I$4</f>
        <v/>
      </c>
      <c r="S625" s="633">
        <f>CCBASE!$I$8</f>
        <v/>
      </c>
      <c r="T625" s="632" t="n"/>
      <c r="U625" s="638">
        <f>CCBASE!$I$47</f>
        <v/>
      </c>
      <c r="V625" s="633" t="n"/>
      <c r="W625" s="633">
        <f>CCBASE!$I$40*B625/1000</f>
        <v/>
      </c>
      <c r="X625" s="633" t="n"/>
      <c r="Y625" s="633" t="n"/>
      <c r="Z625" s="633" t="n"/>
      <c r="AA625" s="633" t="n"/>
      <c r="AB625" s="633" t="n"/>
      <c r="AC625" s="633" t="n"/>
      <c r="AD625" s="652">
        <f>CCBASE!$I$32*2</f>
        <v/>
      </c>
      <c r="AI625" s="635" t="n"/>
      <c r="AJ625" s="635" t="n"/>
      <c r="AK625" s="636" t="n"/>
      <c r="AL625" s="636" t="n"/>
      <c r="AM625" s="636" t="n"/>
      <c r="AN625" s="636" t="n"/>
      <c r="AO625" s="636" t="n"/>
      <c r="AP625" s="636" t="n"/>
      <c r="AQ625" s="636" t="n"/>
      <c r="AR625" s="636" t="n"/>
      <c r="AS625" s="636" t="n"/>
    </row>
    <row r="626" ht="17" customHeight="1" s="1085" thickBot="1">
      <c r="A626" s="659" t="inlineStr">
        <is>
          <t>UVX-M</t>
        </is>
      </c>
      <c r="B626" s="631" t="n">
        <v>2000</v>
      </c>
      <c r="C626" s="631" t="n">
        <v>1000</v>
      </c>
      <c r="D626" s="651">
        <f>$A626&amp;B626&amp;C626</f>
        <v/>
      </c>
      <c r="E626" s="1040">
        <f>SUM(G626:AD626)</f>
        <v/>
      </c>
      <c r="F626" s="632" t="n">
        <v>21</v>
      </c>
      <c r="G626" s="633">
        <f>F626*CCBASE!$B$51</f>
        <v/>
      </c>
      <c r="H626" s="633">
        <f>CCBASE!$I$11*B626/1000</f>
        <v/>
      </c>
      <c r="I626" s="633" t="n"/>
      <c r="J626" s="633" t="n"/>
      <c r="K626" s="633" t="n"/>
      <c r="L626" s="632" t="n"/>
      <c r="M626" s="633">
        <f>CCBASE!$I$15*B626/1000</f>
        <v/>
      </c>
      <c r="N626" s="633">
        <f>CCBASE!$I$7*B626/1000</f>
        <v/>
      </c>
      <c r="O626" s="633">
        <f>CCBASE!$I$45*B626/1000</f>
        <v/>
      </c>
      <c r="P626" s="633">
        <f>CCBASE!$I$9</f>
        <v/>
      </c>
      <c r="Q626" s="633">
        <f>CCBASE!$I$51</f>
        <v/>
      </c>
      <c r="R626" s="633">
        <f>CCBASE!$I$4</f>
        <v/>
      </c>
      <c r="S626" s="633">
        <f>CCBASE!$I$8</f>
        <v/>
      </c>
      <c r="T626" s="632" t="n"/>
      <c r="U626" s="638">
        <f>CCBASE!$I$47</f>
        <v/>
      </c>
      <c r="V626" s="633" t="n"/>
      <c r="W626" s="633">
        <f>CCBASE!$I$40*B626/1000</f>
        <v/>
      </c>
      <c r="X626" s="633" t="n"/>
      <c r="Y626" s="633" t="n"/>
      <c r="Z626" s="633" t="n"/>
      <c r="AA626" s="633" t="n"/>
      <c r="AB626" s="633" t="n"/>
      <c r="AC626" s="633" t="n"/>
      <c r="AD626" s="652">
        <f>CCBASE!$I$32*2</f>
        <v/>
      </c>
      <c r="AI626" s="635" t="n"/>
      <c r="AJ626" s="635" t="n"/>
      <c r="AN626" s="636" t="n"/>
      <c r="AO626" s="636" t="n"/>
      <c r="AP626" s="636" t="n"/>
      <c r="AQ626" s="636" t="n"/>
      <c r="AR626" s="636" t="n"/>
      <c r="AS626" s="636" t="n"/>
    </row>
    <row r="627" ht="17" customHeight="1" s="1085" thickBot="1">
      <c r="A627" s="659" t="inlineStr">
        <is>
          <t>UVX-M</t>
        </is>
      </c>
      <c r="B627" s="631" t="n">
        <v>2250</v>
      </c>
      <c r="C627" s="631" t="n">
        <v>1000</v>
      </c>
      <c r="D627" s="651">
        <f>$A627&amp;B627&amp;C627</f>
        <v/>
      </c>
      <c r="E627" s="1040">
        <f>SUM(G627:AD627)</f>
        <v/>
      </c>
      <c r="F627" s="632" t="n">
        <v>22</v>
      </c>
      <c r="G627" s="633">
        <f>F627*CCBASE!$B$51</f>
        <v/>
      </c>
      <c r="H627" s="633">
        <f>CCBASE!$I$11*B627/1000</f>
        <v/>
      </c>
      <c r="I627" s="633" t="n"/>
      <c r="J627" s="633" t="n"/>
      <c r="K627" s="633" t="n"/>
      <c r="L627" s="632" t="n"/>
      <c r="M627" s="633">
        <f>CCBASE!$I$15*B627/1000</f>
        <v/>
      </c>
      <c r="N627" s="633">
        <f>CCBASE!$I$7*B627/1000</f>
        <v/>
      </c>
      <c r="O627" s="633">
        <f>CCBASE!$I$45*B627/1000</f>
        <v/>
      </c>
      <c r="P627" s="633">
        <f>CCBASE!$I$9</f>
        <v/>
      </c>
      <c r="Q627" s="633">
        <f>CCBASE!$I$51</f>
        <v/>
      </c>
      <c r="R627" s="633">
        <f>CCBASE!$I$4</f>
        <v/>
      </c>
      <c r="S627" s="633">
        <f>CCBASE!$I$8</f>
        <v/>
      </c>
      <c r="T627" s="632" t="n"/>
      <c r="U627" s="638">
        <f>CCBASE!$I$47*2</f>
        <v/>
      </c>
      <c r="V627" s="633" t="n"/>
      <c r="W627" s="633">
        <f>CCBASE!$I$40*B627/1000</f>
        <v/>
      </c>
      <c r="X627" s="633" t="n"/>
      <c r="Y627" s="633" t="n"/>
      <c r="Z627" s="633" t="n"/>
      <c r="AA627" s="633" t="n"/>
      <c r="AB627" s="633" t="n"/>
      <c r="AC627" s="633" t="n"/>
      <c r="AD627" s="652">
        <f>CCBASE!$I$32*2</f>
        <v/>
      </c>
      <c r="AI627" s="635" t="n"/>
      <c r="AJ627" s="635" t="n"/>
      <c r="AN627" s="636" t="n"/>
      <c r="AO627" s="636" t="n"/>
      <c r="AP627" s="636" t="n"/>
      <c r="AQ627" s="636" t="n"/>
      <c r="AR627" s="636" t="n"/>
      <c r="AS627" s="636" t="n"/>
    </row>
    <row r="628" ht="17" customHeight="1" s="1085" thickBot="1">
      <c r="A628" s="659" t="inlineStr">
        <is>
          <t>UVX-M</t>
        </is>
      </c>
      <c r="B628" s="631" t="n">
        <v>2500</v>
      </c>
      <c r="C628" s="631" t="n">
        <v>1000</v>
      </c>
      <c r="D628" s="651">
        <f>$A628&amp;B628&amp;C628</f>
        <v/>
      </c>
      <c r="E628" s="1040">
        <f>SUM(G628:AD628)</f>
        <v/>
      </c>
      <c r="F628" s="632" t="n">
        <v>22</v>
      </c>
      <c r="G628" s="633">
        <f>F628*CCBASE!$B$51</f>
        <v/>
      </c>
      <c r="H628" s="633">
        <f>CCBASE!$I$11*B628/1000</f>
        <v/>
      </c>
      <c r="I628" s="633" t="n"/>
      <c r="J628" s="633" t="n"/>
      <c r="K628" s="633" t="n"/>
      <c r="L628" s="632" t="n"/>
      <c r="M628" s="633">
        <f>CCBASE!$I$15*B628/1000</f>
        <v/>
      </c>
      <c r="N628" s="633">
        <f>CCBASE!$I$7*B628/1000</f>
        <v/>
      </c>
      <c r="O628" s="633">
        <f>CCBASE!$I$45*B628/1000</f>
        <v/>
      </c>
      <c r="P628" s="633">
        <f>CCBASE!$I$9</f>
        <v/>
      </c>
      <c r="Q628" s="633">
        <f>CCBASE!$I$51</f>
        <v/>
      </c>
      <c r="R628" s="633">
        <f>CCBASE!$I$4</f>
        <v/>
      </c>
      <c r="S628" s="633">
        <f>CCBASE!$I$8</f>
        <v/>
      </c>
      <c r="T628" s="632" t="n"/>
      <c r="U628" s="638">
        <f>CCBASE!$I$47*2</f>
        <v/>
      </c>
      <c r="V628" s="633" t="n"/>
      <c r="W628" s="633">
        <f>CCBASE!$I$40*B628/1000</f>
        <v/>
      </c>
      <c r="X628" s="633" t="n"/>
      <c r="Y628" s="633" t="n"/>
      <c r="Z628" s="633" t="n"/>
      <c r="AA628" s="633" t="n"/>
      <c r="AB628" s="633" t="n"/>
      <c r="AC628" s="633" t="n"/>
      <c r="AD628" s="652">
        <f>CCBASE!$I$32*2</f>
        <v/>
      </c>
      <c r="AI628" s="635" t="n"/>
      <c r="AJ628" s="635" t="n"/>
      <c r="AN628" s="636" t="n"/>
      <c r="AO628" s="636" t="n"/>
      <c r="AP628" s="636" t="n"/>
      <c r="AQ628" s="636" t="n"/>
      <c r="AR628" s="636" t="n"/>
      <c r="AS628" s="636" t="n"/>
    </row>
    <row r="629" ht="17" customHeight="1" s="1085" thickBot="1">
      <c r="A629" s="659" t="inlineStr">
        <is>
          <t>UVX-M</t>
        </is>
      </c>
      <c r="B629" s="631" t="n">
        <v>2750</v>
      </c>
      <c r="C629" s="631" t="n">
        <v>1000</v>
      </c>
      <c r="D629" s="651">
        <f>$A629&amp;B629&amp;C629</f>
        <v/>
      </c>
      <c r="E629" s="1040">
        <f>SUM(G629:AD629)</f>
        <v/>
      </c>
      <c r="F629" s="632" t="n">
        <v>23</v>
      </c>
      <c r="G629" s="633">
        <f>F629*CCBASE!$B$51</f>
        <v/>
      </c>
      <c r="H629" s="633">
        <f>CCBASE!$I$11*B629/1000</f>
        <v/>
      </c>
      <c r="I629" s="633" t="n"/>
      <c r="J629" s="633" t="n"/>
      <c r="K629" s="633" t="n"/>
      <c r="L629" s="632" t="n"/>
      <c r="M629" s="633">
        <f>CCBASE!$I$15*B629/1000</f>
        <v/>
      </c>
      <c r="N629" s="633">
        <f>CCBASE!$I$7*B629/1000</f>
        <v/>
      </c>
      <c r="O629" s="633">
        <f>CCBASE!$I$45*B629/1000</f>
        <v/>
      </c>
      <c r="P629" s="633">
        <f>CCBASE!$I$9</f>
        <v/>
      </c>
      <c r="Q629" s="633">
        <f>CCBASE!$I$51</f>
        <v/>
      </c>
      <c r="R629" s="633">
        <f>CCBASE!$I$4</f>
        <v/>
      </c>
      <c r="S629" s="633">
        <f>CCBASE!$I$8</f>
        <v/>
      </c>
      <c r="T629" s="632" t="n"/>
      <c r="U629" s="638">
        <f>CCBASE!$I$47*2</f>
        <v/>
      </c>
      <c r="V629" s="633" t="n"/>
      <c r="W629" s="633">
        <f>CCBASE!$I$40*B629/1000</f>
        <v/>
      </c>
      <c r="X629" s="633" t="n"/>
      <c r="Y629" s="633" t="n"/>
      <c r="Z629" s="633" t="n"/>
      <c r="AA629" s="633" t="n"/>
      <c r="AB629" s="633" t="n"/>
      <c r="AC629" s="633" t="n"/>
      <c r="AD629" s="652">
        <f>CCBASE!$I$32*2</f>
        <v/>
      </c>
      <c r="AI629" s="635" t="n"/>
      <c r="AJ629" s="635" t="n"/>
      <c r="AN629" s="636" t="n"/>
      <c r="AO629" s="636" t="n"/>
      <c r="AP629" s="636" t="n"/>
      <c r="AQ629" s="636" t="n"/>
      <c r="AR629" s="636" t="n"/>
      <c r="AS629" s="636" t="n"/>
    </row>
    <row r="630" ht="17" customHeight="1" s="1085" thickBot="1">
      <c r="A630" s="659" t="inlineStr">
        <is>
          <t>UVX-M</t>
        </is>
      </c>
      <c r="B630" s="631" t="n">
        <v>3000</v>
      </c>
      <c r="C630" s="631" t="n">
        <v>1000</v>
      </c>
      <c r="D630" s="651">
        <f>$A630&amp;B630&amp;C630</f>
        <v/>
      </c>
      <c r="E630" s="1040">
        <f>SUM(G630:AD630)</f>
        <v/>
      </c>
      <c r="F630" s="632" t="n">
        <v>23</v>
      </c>
      <c r="G630" s="633">
        <f>F630*CCBASE!$B$51</f>
        <v/>
      </c>
      <c r="H630" s="633">
        <f>CCBASE!$I$11*B630/1000</f>
        <v/>
      </c>
      <c r="I630" s="633" t="n"/>
      <c r="J630" s="633" t="n"/>
      <c r="K630" s="633" t="n"/>
      <c r="L630" s="632" t="n"/>
      <c r="M630" s="633">
        <f>CCBASE!$I$15*B630/1000</f>
        <v/>
      </c>
      <c r="N630" s="633">
        <f>CCBASE!$I$7*B630/1000</f>
        <v/>
      </c>
      <c r="O630" s="633">
        <f>CCBASE!$I$45*B630/1000</f>
        <v/>
      </c>
      <c r="P630" s="633">
        <f>CCBASE!$I$9</f>
        <v/>
      </c>
      <c r="Q630" s="633">
        <f>CCBASE!$I$51</f>
        <v/>
      </c>
      <c r="R630" s="633">
        <f>CCBASE!$I$4</f>
        <v/>
      </c>
      <c r="S630" s="633">
        <f>CCBASE!$I$8</f>
        <v/>
      </c>
      <c r="T630" s="632" t="n"/>
      <c r="U630" s="638">
        <f>CCBASE!$I$47*2</f>
        <v/>
      </c>
      <c r="V630" s="633" t="n"/>
      <c r="W630" s="633">
        <f>CCBASE!$I$40*B630/1000</f>
        <v/>
      </c>
      <c r="X630" s="633" t="n"/>
      <c r="Y630" s="633" t="n"/>
      <c r="Z630" s="633" t="n"/>
      <c r="AA630" s="633" t="n"/>
      <c r="AB630" s="633" t="n"/>
      <c r="AC630" s="633" t="n"/>
      <c r="AD630" s="652">
        <f>CCBASE!$I$32*2</f>
        <v/>
      </c>
      <c r="AI630" s="635" t="n"/>
      <c r="AJ630" s="635" t="n"/>
      <c r="AN630" s="636" t="n"/>
      <c r="AO630" s="636" t="n"/>
      <c r="AP630" s="636" t="n"/>
      <c r="AQ630" s="636" t="n"/>
      <c r="AR630" s="636" t="n"/>
      <c r="AS630" s="636" t="n"/>
    </row>
    <row r="631" ht="17" customHeight="1" s="1085" thickBot="1">
      <c r="A631" s="659" t="inlineStr">
        <is>
          <t>UVX-M</t>
        </is>
      </c>
      <c r="B631" s="631" t="n">
        <v>1000</v>
      </c>
      <c r="C631" s="631" t="n">
        <v>1250</v>
      </c>
      <c r="D631" s="651">
        <f>$A631&amp;B631&amp;C631</f>
        <v/>
      </c>
      <c r="E631" s="1040">
        <f>SUM(G631:AD631)</f>
        <v/>
      </c>
      <c r="F631" s="647" t="n">
        <v>21</v>
      </c>
      <c r="G631" s="633">
        <f>F631*CCBASE!$B$51</f>
        <v/>
      </c>
      <c r="H631" s="633">
        <f>CCBASE!$I$11*B631/1000</f>
        <v/>
      </c>
      <c r="I631" s="633" t="n"/>
      <c r="J631" s="633" t="n"/>
      <c r="K631" s="633" t="n"/>
      <c r="L631" s="632" t="n"/>
      <c r="M631" s="633">
        <f>CCBASE!$I$15*B631/1000</f>
        <v/>
      </c>
      <c r="N631" s="633">
        <f>CCBASE!$I$7*B631/1000</f>
        <v/>
      </c>
      <c r="O631" s="633">
        <f>CCBASE!$I$45*B631/1000</f>
        <v/>
      </c>
      <c r="P631" s="633">
        <f>CCBASE!$I$10</f>
        <v/>
      </c>
      <c r="Q631" s="633">
        <f>CCBASE!$I$51</f>
        <v/>
      </c>
      <c r="R631" s="633">
        <f>CCBASE!$I$4</f>
        <v/>
      </c>
      <c r="S631" s="633">
        <f>CCBASE!$I$8</f>
        <v/>
      </c>
      <c r="T631" s="632" t="n"/>
      <c r="U631" s="638">
        <f>CCBASE!$I$47</f>
        <v/>
      </c>
      <c r="V631" s="633" t="n"/>
      <c r="W631" s="633">
        <f>CCBASE!$I$40*B631/1000</f>
        <v/>
      </c>
      <c r="X631" s="633" t="n"/>
      <c r="Y631" s="633" t="n"/>
      <c r="Z631" s="633" t="n"/>
      <c r="AA631" s="633" t="n"/>
      <c r="AB631" s="633" t="n"/>
      <c r="AC631" s="633" t="n"/>
      <c r="AD631" s="652">
        <f>CCBASE!$I$32*2</f>
        <v/>
      </c>
      <c r="AI631" s="635" t="n"/>
      <c r="AJ631" s="635" t="n"/>
      <c r="AK631" s="636" t="n"/>
      <c r="AL631" s="636" t="n"/>
      <c r="AM631" s="636" t="n"/>
      <c r="AN631" s="636" t="n"/>
      <c r="AO631" s="636" t="n"/>
      <c r="AP631" s="636" t="n"/>
      <c r="AQ631" s="636" t="n"/>
      <c r="AR631" s="636" t="n"/>
      <c r="AS631" s="636" t="n"/>
    </row>
    <row r="632" ht="17" customHeight="1" s="1085" thickBot="1">
      <c r="A632" s="659" t="inlineStr">
        <is>
          <t>UVX-M</t>
        </is>
      </c>
      <c r="B632" s="631" t="n">
        <v>1250</v>
      </c>
      <c r="C632" s="631" t="n">
        <v>1250</v>
      </c>
      <c r="D632" s="651">
        <f>$A632&amp;B632&amp;C632</f>
        <v/>
      </c>
      <c r="E632" s="1040">
        <f>SUM(G632:AD632)</f>
        <v/>
      </c>
      <c r="F632" s="632" t="n">
        <v>21</v>
      </c>
      <c r="G632" s="633">
        <f>F632*CCBASE!$B$51</f>
        <v/>
      </c>
      <c r="H632" s="633">
        <f>CCBASE!$I$11*B632/1000</f>
        <v/>
      </c>
      <c r="I632" s="633" t="n"/>
      <c r="J632" s="633" t="n"/>
      <c r="K632" s="633" t="n"/>
      <c r="L632" s="632" t="n"/>
      <c r="M632" s="633">
        <f>CCBASE!$I$15*B632/1000</f>
        <v/>
      </c>
      <c r="N632" s="633">
        <f>CCBASE!$I$7*B632/1000</f>
        <v/>
      </c>
      <c r="O632" s="633">
        <f>CCBASE!$I$45*B632/1000</f>
        <v/>
      </c>
      <c r="P632" s="633">
        <f>CCBASE!$I$10</f>
        <v/>
      </c>
      <c r="Q632" s="633">
        <f>CCBASE!$I$51</f>
        <v/>
      </c>
      <c r="R632" s="633">
        <f>CCBASE!$I$4</f>
        <v/>
      </c>
      <c r="S632" s="633">
        <f>CCBASE!$I$8</f>
        <v/>
      </c>
      <c r="T632" s="632" t="n"/>
      <c r="U632" s="638">
        <f>CCBASE!$I$47</f>
        <v/>
      </c>
      <c r="V632" s="633" t="n"/>
      <c r="W632" s="633">
        <f>CCBASE!$I$40*B632/1000</f>
        <v/>
      </c>
      <c r="X632" s="633" t="n"/>
      <c r="Y632" s="633" t="n"/>
      <c r="Z632" s="633" t="n"/>
      <c r="AA632" s="633" t="n"/>
      <c r="AB632" s="633" t="n"/>
      <c r="AC632" s="633" t="n"/>
      <c r="AD632" s="652">
        <f>CCBASE!$I$32*2</f>
        <v/>
      </c>
      <c r="AI632" s="635" t="n"/>
      <c r="AJ632" s="635" t="n"/>
      <c r="AK632" s="636" t="n"/>
      <c r="AL632" s="636" t="n"/>
      <c r="AM632" s="636" t="n"/>
      <c r="AN632" s="636" t="n"/>
      <c r="AO632" s="636" t="n"/>
      <c r="AP632" s="636" t="n"/>
      <c r="AQ632" s="636" t="n"/>
      <c r="AR632" s="636" t="n"/>
      <c r="AS632" s="636" t="n"/>
    </row>
    <row r="633" ht="17" customHeight="1" s="1085" thickBot="1">
      <c r="A633" s="659" t="inlineStr">
        <is>
          <t>UVX-M</t>
        </is>
      </c>
      <c r="B633" s="631" t="n">
        <v>1500</v>
      </c>
      <c r="C633" s="631" t="n">
        <v>1250</v>
      </c>
      <c r="D633" s="651">
        <f>$A633&amp;B633&amp;C633</f>
        <v/>
      </c>
      <c r="E633" s="1040">
        <f>SUM(G633:AD633)</f>
        <v/>
      </c>
      <c r="F633" s="632" t="n">
        <v>21</v>
      </c>
      <c r="G633" s="633">
        <f>F633*CCBASE!$B$51</f>
        <v/>
      </c>
      <c r="H633" s="633">
        <f>CCBASE!$I$11*B633/1000</f>
        <v/>
      </c>
      <c r="I633" s="633" t="n"/>
      <c r="J633" s="633" t="n"/>
      <c r="K633" s="633" t="n"/>
      <c r="L633" s="632" t="n"/>
      <c r="M633" s="633">
        <f>CCBASE!$I$15*B633/1000</f>
        <v/>
      </c>
      <c r="N633" s="633">
        <f>CCBASE!$I$7*B633/1000</f>
        <v/>
      </c>
      <c r="O633" s="633">
        <f>CCBASE!$I$45*B633/1000</f>
        <v/>
      </c>
      <c r="P633" s="633">
        <f>CCBASE!$I$10</f>
        <v/>
      </c>
      <c r="Q633" s="633">
        <f>CCBASE!$I$51</f>
        <v/>
      </c>
      <c r="R633" s="633">
        <f>CCBASE!$I$4</f>
        <v/>
      </c>
      <c r="S633" s="633">
        <f>CCBASE!$I$8</f>
        <v/>
      </c>
      <c r="T633" s="632" t="n"/>
      <c r="U633" s="638">
        <f>CCBASE!$I$47</f>
        <v/>
      </c>
      <c r="V633" s="633" t="n"/>
      <c r="W633" s="633">
        <f>CCBASE!$I$40*B633/1000</f>
        <v/>
      </c>
      <c r="X633" s="633" t="n"/>
      <c r="Y633" s="633" t="n"/>
      <c r="Z633" s="633" t="n"/>
      <c r="AA633" s="633" t="n"/>
      <c r="AB633" s="633" t="n"/>
      <c r="AC633" s="633" t="n"/>
      <c r="AD633" s="652">
        <f>CCBASE!$I$32*2</f>
        <v/>
      </c>
      <c r="AI633" s="635" t="n"/>
      <c r="AJ633" s="635" t="n"/>
      <c r="AK633" s="636" t="n"/>
      <c r="AL633" s="636" t="n"/>
      <c r="AM633" s="636" t="n"/>
      <c r="AN633" s="636" t="n"/>
      <c r="AO633" s="636" t="n"/>
      <c r="AP633" s="636" t="n"/>
      <c r="AQ633" s="636" t="n"/>
      <c r="AR633" s="636" t="n"/>
      <c r="AS633" s="636" t="n"/>
    </row>
    <row r="634" ht="17" customHeight="1" s="1085" thickBot="1">
      <c r="A634" s="659" t="inlineStr">
        <is>
          <t>UVX-M</t>
        </is>
      </c>
      <c r="B634" s="631" t="n">
        <v>1750</v>
      </c>
      <c r="C634" s="631" t="n">
        <v>1250</v>
      </c>
      <c r="D634" s="651">
        <f>$A634&amp;B634&amp;C634</f>
        <v/>
      </c>
      <c r="E634" s="1040">
        <f>SUM(G634:AD634)</f>
        <v/>
      </c>
      <c r="F634" s="632" t="n">
        <v>21</v>
      </c>
      <c r="G634" s="633">
        <f>F634*CCBASE!$B$51</f>
        <v/>
      </c>
      <c r="H634" s="633">
        <f>CCBASE!$I$11*B634/1000</f>
        <v/>
      </c>
      <c r="I634" s="633" t="n"/>
      <c r="J634" s="633" t="n"/>
      <c r="K634" s="633" t="n"/>
      <c r="L634" s="632" t="n"/>
      <c r="M634" s="633">
        <f>CCBASE!$I$15*B634/1000</f>
        <v/>
      </c>
      <c r="N634" s="633">
        <f>CCBASE!$I$7*B634/1000</f>
        <v/>
      </c>
      <c r="O634" s="633">
        <f>CCBASE!$I$45*B634/1000</f>
        <v/>
      </c>
      <c r="P634" s="633">
        <f>CCBASE!$I$10</f>
        <v/>
      </c>
      <c r="Q634" s="633">
        <f>CCBASE!$I$51</f>
        <v/>
      </c>
      <c r="R634" s="633">
        <f>CCBASE!$I$4</f>
        <v/>
      </c>
      <c r="S634" s="633">
        <f>CCBASE!$I$8</f>
        <v/>
      </c>
      <c r="T634" s="632" t="n"/>
      <c r="U634" s="638">
        <f>CCBASE!$I$47</f>
        <v/>
      </c>
      <c r="V634" s="633" t="n"/>
      <c r="W634" s="633">
        <f>CCBASE!$I$40*B634/1000</f>
        <v/>
      </c>
      <c r="X634" s="633" t="n"/>
      <c r="Y634" s="633" t="n"/>
      <c r="Z634" s="633" t="n"/>
      <c r="AA634" s="633" t="n"/>
      <c r="AB634" s="633" t="n"/>
      <c r="AC634" s="633" t="n"/>
      <c r="AD634" s="652">
        <f>CCBASE!$I$32*2</f>
        <v/>
      </c>
      <c r="AI634" s="635" t="n"/>
      <c r="AJ634" s="635" t="n"/>
      <c r="AK634" s="636" t="n"/>
      <c r="AL634" s="636" t="n"/>
      <c r="AM634" s="636" t="n"/>
      <c r="AN634" s="636" t="n"/>
      <c r="AO634" s="636" t="n"/>
      <c r="AP634" s="636" t="n"/>
      <c r="AQ634" s="636" t="n"/>
      <c r="AR634" s="636" t="n"/>
      <c r="AS634" s="636" t="n"/>
    </row>
    <row r="635" ht="17" customHeight="1" s="1085" thickBot="1">
      <c r="A635" s="659" t="inlineStr">
        <is>
          <t>UVX-M</t>
        </is>
      </c>
      <c r="B635" s="631" t="n">
        <v>2000</v>
      </c>
      <c r="C635" s="631" t="n">
        <v>1250</v>
      </c>
      <c r="D635" s="651">
        <f>$A635&amp;B635&amp;C635</f>
        <v/>
      </c>
      <c r="E635" s="1040">
        <f>SUM(G635:AD635)</f>
        <v/>
      </c>
      <c r="F635" s="632" t="n">
        <v>21</v>
      </c>
      <c r="G635" s="633">
        <f>F635*CCBASE!$B$51</f>
        <v/>
      </c>
      <c r="H635" s="633">
        <f>CCBASE!$I$11*B635/1000</f>
        <v/>
      </c>
      <c r="I635" s="633" t="n"/>
      <c r="J635" s="633" t="n"/>
      <c r="K635" s="633" t="n"/>
      <c r="L635" s="632" t="n"/>
      <c r="M635" s="633">
        <f>CCBASE!$I$15*B635/1000</f>
        <v/>
      </c>
      <c r="N635" s="633">
        <f>CCBASE!$I$7*B635/1000</f>
        <v/>
      </c>
      <c r="O635" s="633">
        <f>CCBASE!$I$45*B635/1000</f>
        <v/>
      </c>
      <c r="P635" s="633">
        <f>CCBASE!$I$9</f>
        <v/>
      </c>
      <c r="Q635" s="633">
        <f>CCBASE!$I$51</f>
        <v/>
      </c>
      <c r="R635" s="633">
        <f>CCBASE!$I$4</f>
        <v/>
      </c>
      <c r="S635" s="633">
        <f>CCBASE!$I$8</f>
        <v/>
      </c>
      <c r="T635" s="632" t="n"/>
      <c r="U635" s="638">
        <f>CCBASE!$I$47</f>
        <v/>
      </c>
      <c r="V635" s="633" t="n"/>
      <c r="W635" s="633">
        <f>CCBASE!$I$40*B635/1000</f>
        <v/>
      </c>
      <c r="X635" s="633" t="n"/>
      <c r="Y635" s="633" t="n"/>
      <c r="Z635" s="633" t="n"/>
      <c r="AA635" s="633" t="n"/>
      <c r="AB635" s="633" t="n"/>
      <c r="AC635" s="633" t="n"/>
      <c r="AD635" s="652">
        <f>CCBASE!$I$32*2</f>
        <v/>
      </c>
      <c r="AI635" s="635" t="n"/>
      <c r="AJ635" s="635" t="n"/>
      <c r="AN635" s="636" t="n"/>
      <c r="AO635" s="636" t="n"/>
      <c r="AP635" s="636" t="n"/>
      <c r="AQ635" s="636" t="n"/>
      <c r="AR635" s="636" t="n"/>
      <c r="AS635" s="636" t="n"/>
    </row>
    <row r="636" ht="17" customHeight="1" s="1085" thickBot="1">
      <c r="A636" s="659" t="inlineStr">
        <is>
          <t>UVX-M</t>
        </is>
      </c>
      <c r="B636" s="631" t="n">
        <v>2250</v>
      </c>
      <c r="C636" s="631" t="n">
        <v>1250</v>
      </c>
      <c r="D636" s="651">
        <f>$A636&amp;B636&amp;C636</f>
        <v/>
      </c>
      <c r="E636" s="1040">
        <f>SUM(G636:AD636)</f>
        <v/>
      </c>
      <c r="F636" s="632" t="n">
        <v>22</v>
      </c>
      <c r="G636" s="633">
        <f>F636*CCBASE!$B$51</f>
        <v/>
      </c>
      <c r="H636" s="633">
        <f>CCBASE!$I$11*B636/1000</f>
        <v/>
      </c>
      <c r="I636" s="633" t="n"/>
      <c r="J636" s="633" t="n"/>
      <c r="K636" s="633" t="n"/>
      <c r="L636" s="632" t="n"/>
      <c r="M636" s="633">
        <f>CCBASE!$I$15*B636/1000</f>
        <v/>
      </c>
      <c r="N636" s="633">
        <f>CCBASE!$I$7*B636/1000</f>
        <v/>
      </c>
      <c r="O636" s="633">
        <f>CCBASE!$I$45*B636/1000</f>
        <v/>
      </c>
      <c r="P636" s="633">
        <f>CCBASE!$I$9</f>
        <v/>
      </c>
      <c r="Q636" s="633">
        <f>CCBASE!$I$51</f>
        <v/>
      </c>
      <c r="R636" s="633">
        <f>CCBASE!$I$4</f>
        <v/>
      </c>
      <c r="S636" s="633">
        <f>CCBASE!$I$8</f>
        <v/>
      </c>
      <c r="T636" s="632" t="n"/>
      <c r="U636" s="638">
        <f>CCBASE!$I$47*2</f>
        <v/>
      </c>
      <c r="V636" s="633" t="n"/>
      <c r="W636" s="633">
        <f>CCBASE!$I$40*B636/1000</f>
        <v/>
      </c>
      <c r="X636" s="633" t="n"/>
      <c r="Y636" s="633" t="n"/>
      <c r="Z636" s="633" t="n"/>
      <c r="AA636" s="633" t="n"/>
      <c r="AB636" s="633" t="n"/>
      <c r="AC636" s="633" t="n"/>
      <c r="AD636" s="652">
        <f>CCBASE!$I$32*2</f>
        <v/>
      </c>
      <c r="AI636" s="635" t="n"/>
      <c r="AJ636" s="635" t="n"/>
      <c r="AN636" s="636" t="n"/>
      <c r="AO636" s="636" t="n"/>
      <c r="AP636" s="636" t="n"/>
      <c r="AQ636" s="636" t="n"/>
      <c r="AR636" s="636" t="n"/>
      <c r="AS636" s="636" t="n"/>
    </row>
    <row r="637" ht="17" customHeight="1" s="1085" thickBot="1">
      <c r="A637" s="659" t="inlineStr">
        <is>
          <t>UVX-M</t>
        </is>
      </c>
      <c r="B637" s="631" t="n">
        <v>2500</v>
      </c>
      <c r="C637" s="631" t="n">
        <v>1250</v>
      </c>
      <c r="D637" s="651">
        <f>$A637&amp;B637&amp;C637</f>
        <v/>
      </c>
      <c r="E637" s="1040">
        <f>SUM(G637:AD637)</f>
        <v/>
      </c>
      <c r="F637" s="632" t="n">
        <v>22</v>
      </c>
      <c r="G637" s="633">
        <f>F637*CCBASE!$B$51</f>
        <v/>
      </c>
      <c r="H637" s="633">
        <f>CCBASE!$I$11*B637/1000</f>
        <v/>
      </c>
      <c r="I637" s="633" t="n"/>
      <c r="J637" s="633" t="n"/>
      <c r="K637" s="633" t="n"/>
      <c r="L637" s="632" t="n"/>
      <c r="M637" s="633">
        <f>CCBASE!$I$15*B637/1000</f>
        <v/>
      </c>
      <c r="N637" s="633">
        <f>CCBASE!$I$7*B637/1000</f>
        <v/>
      </c>
      <c r="O637" s="633">
        <f>CCBASE!$I$45*B637/1000</f>
        <v/>
      </c>
      <c r="P637" s="633">
        <f>CCBASE!$I$9</f>
        <v/>
      </c>
      <c r="Q637" s="633">
        <f>CCBASE!$I$51</f>
        <v/>
      </c>
      <c r="R637" s="633">
        <f>CCBASE!$I$4</f>
        <v/>
      </c>
      <c r="S637" s="633">
        <f>CCBASE!$I$8</f>
        <v/>
      </c>
      <c r="T637" s="632" t="n"/>
      <c r="U637" s="638">
        <f>CCBASE!$I$47*2</f>
        <v/>
      </c>
      <c r="V637" s="633" t="n"/>
      <c r="W637" s="633">
        <f>CCBASE!$I$40*B637/1000</f>
        <v/>
      </c>
      <c r="X637" s="633" t="n"/>
      <c r="Y637" s="633" t="n"/>
      <c r="Z637" s="633" t="n"/>
      <c r="AA637" s="633" t="n"/>
      <c r="AB637" s="633" t="n"/>
      <c r="AC637" s="633" t="n"/>
      <c r="AD637" s="652">
        <f>CCBASE!$I$32*2</f>
        <v/>
      </c>
      <c r="AI637" s="635" t="n"/>
      <c r="AJ637" s="635" t="n"/>
      <c r="AN637" s="636" t="n"/>
      <c r="AO637" s="636" t="n"/>
      <c r="AP637" s="636" t="n"/>
      <c r="AQ637" s="636" t="n"/>
      <c r="AR637" s="636" t="n"/>
      <c r="AS637" s="636" t="n"/>
    </row>
    <row r="638" ht="17" customHeight="1" s="1085" thickBot="1">
      <c r="A638" s="659" t="inlineStr">
        <is>
          <t>UVX-M</t>
        </is>
      </c>
      <c r="B638" s="631" t="n">
        <v>2750</v>
      </c>
      <c r="C638" s="631" t="n">
        <v>1250</v>
      </c>
      <c r="D638" s="651">
        <f>$A638&amp;B638&amp;C638</f>
        <v/>
      </c>
      <c r="E638" s="1040">
        <f>SUM(G638:AD638)</f>
        <v/>
      </c>
      <c r="F638" s="632" t="n">
        <v>23</v>
      </c>
      <c r="G638" s="633">
        <f>F638*CCBASE!$B$51</f>
        <v/>
      </c>
      <c r="H638" s="633">
        <f>CCBASE!$I$11*B638/1000</f>
        <v/>
      </c>
      <c r="I638" s="633" t="n"/>
      <c r="J638" s="633" t="n"/>
      <c r="K638" s="633" t="n"/>
      <c r="L638" s="632" t="n"/>
      <c r="M638" s="633">
        <f>CCBASE!$I$15*B638/1000</f>
        <v/>
      </c>
      <c r="N638" s="633">
        <f>CCBASE!$I$7*B638/1000</f>
        <v/>
      </c>
      <c r="O638" s="633">
        <f>CCBASE!$I$45*B638/1000</f>
        <v/>
      </c>
      <c r="P638" s="633">
        <f>CCBASE!$I$9</f>
        <v/>
      </c>
      <c r="Q638" s="633">
        <f>CCBASE!$I$51</f>
        <v/>
      </c>
      <c r="R638" s="633">
        <f>CCBASE!$I$4</f>
        <v/>
      </c>
      <c r="S638" s="633">
        <f>CCBASE!$I$8</f>
        <v/>
      </c>
      <c r="T638" s="632" t="n"/>
      <c r="U638" s="638">
        <f>CCBASE!$I$47*2</f>
        <v/>
      </c>
      <c r="V638" s="633" t="n"/>
      <c r="W638" s="633">
        <f>CCBASE!$I$40*B638/1000</f>
        <v/>
      </c>
      <c r="X638" s="633" t="n"/>
      <c r="Y638" s="633" t="n"/>
      <c r="Z638" s="633" t="n"/>
      <c r="AA638" s="633" t="n"/>
      <c r="AB638" s="633" t="n"/>
      <c r="AC638" s="633" t="n"/>
      <c r="AD638" s="652">
        <f>CCBASE!$I$32*2</f>
        <v/>
      </c>
      <c r="AI638" s="635" t="n"/>
      <c r="AJ638" s="635" t="n"/>
      <c r="AN638" s="636" t="n"/>
      <c r="AO638" s="636" t="n"/>
      <c r="AP638" s="636" t="n"/>
      <c r="AQ638" s="636" t="n"/>
      <c r="AR638" s="636" t="n"/>
      <c r="AS638" s="636" t="n"/>
    </row>
    <row r="639" ht="17" customHeight="1" s="1085" thickBot="1">
      <c r="A639" s="659" t="inlineStr">
        <is>
          <t>UVX-M</t>
        </is>
      </c>
      <c r="B639" s="631" t="n">
        <v>3000</v>
      </c>
      <c r="C639" s="631" t="n">
        <v>1250</v>
      </c>
      <c r="D639" s="651">
        <f>$A639&amp;B639&amp;C639</f>
        <v/>
      </c>
      <c r="E639" s="1040">
        <f>SUM(G639:AD639)</f>
        <v/>
      </c>
      <c r="F639" s="632" t="n">
        <v>23</v>
      </c>
      <c r="G639" s="633">
        <f>F639*CCBASE!$B$51</f>
        <v/>
      </c>
      <c r="H639" s="633">
        <f>CCBASE!$I$11*B639/1000</f>
        <v/>
      </c>
      <c r="I639" s="633" t="n"/>
      <c r="J639" s="633" t="n"/>
      <c r="K639" s="633" t="n"/>
      <c r="L639" s="632" t="n"/>
      <c r="M639" s="633">
        <f>CCBASE!$I$15*B639/1000</f>
        <v/>
      </c>
      <c r="N639" s="633">
        <f>CCBASE!$I$7*B639/1000</f>
        <v/>
      </c>
      <c r="O639" s="633">
        <f>CCBASE!$I$45*B639/1000</f>
        <v/>
      </c>
      <c r="P639" s="633">
        <f>CCBASE!$I$9</f>
        <v/>
      </c>
      <c r="Q639" s="633">
        <f>CCBASE!$I$51</f>
        <v/>
      </c>
      <c r="R639" s="633">
        <f>CCBASE!$I$4</f>
        <v/>
      </c>
      <c r="S639" s="633">
        <f>CCBASE!$I$8</f>
        <v/>
      </c>
      <c r="T639" s="632" t="n"/>
      <c r="U639" s="638">
        <f>CCBASE!$I$47*2</f>
        <v/>
      </c>
      <c r="V639" s="633" t="n"/>
      <c r="W639" s="633">
        <f>CCBASE!$I$40*B639/1000</f>
        <v/>
      </c>
      <c r="X639" s="633" t="n"/>
      <c r="Y639" s="633" t="n"/>
      <c r="Z639" s="633" t="n"/>
      <c r="AA639" s="633" t="n"/>
      <c r="AB639" s="633" t="n"/>
      <c r="AC639" s="633" t="n"/>
      <c r="AD639" s="652">
        <f>CCBASE!$I$32*2</f>
        <v/>
      </c>
      <c r="AI639" s="635" t="n"/>
      <c r="AJ639" s="635" t="n"/>
      <c r="AN639" s="636" t="n"/>
      <c r="AO639" s="636" t="n"/>
      <c r="AP639" s="636" t="n"/>
      <c r="AQ639" s="636" t="n"/>
      <c r="AR639" s="636" t="n"/>
      <c r="AS639" s="636" t="n"/>
    </row>
    <row r="640" ht="17" customHeight="1" s="1085" thickBot="1">
      <c r="A640" s="659" t="inlineStr">
        <is>
          <t>UVX-M</t>
        </is>
      </c>
      <c r="B640" s="631" t="n">
        <v>1000</v>
      </c>
      <c r="C640" s="631" t="n">
        <v>1500</v>
      </c>
      <c r="D640" s="651">
        <f>$A640&amp;B640&amp;C640</f>
        <v/>
      </c>
      <c r="E640" s="1040">
        <f>SUM(G640:AD640)</f>
        <v/>
      </c>
      <c r="F640" s="647" t="n">
        <v>21</v>
      </c>
      <c r="G640" s="633">
        <f>F640*CCBASE!$B$51</f>
        <v/>
      </c>
      <c r="H640" s="633">
        <f>CCBASE!$I$11*B640/1000</f>
        <v/>
      </c>
      <c r="I640" s="633" t="n"/>
      <c r="J640" s="633" t="n"/>
      <c r="K640" s="633" t="n"/>
      <c r="L640" s="632" t="n"/>
      <c r="M640" s="633">
        <f>CCBASE!$I$15*B640/1000</f>
        <v/>
      </c>
      <c r="N640" s="633">
        <f>CCBASE!$I$7*B640/1000</f>
        <v/>
      </c>
      <c r="O640" s="633">
        <f>CCBASE!$I$45*B640/1000</f>
        <v/>
      </c>
      <c r="P640" s="633">
        <f>CCBASE!$I$10</f>
        <v/>
      </c>
      <c r="Q640" s="633">
        <f>CCBASE!$I$51</f>
        <v/>
      </c>
      <c r="R640" s="633">
        <f>CCBASE!$I$4</f>
        <v/>
      </c>
      <c r="S640" s="633">
        <f>CCBASE!$I$8</f>
        <v/>
      </c>
      <c r="T640" s="632" t="n"/>
      <c r="U640" s="638">
        <f>CCBASE!$I$47</f>
        <v/>
      </c>
      <c r="V640" s="633" t="n"/>
      <c r="W640" s="633">
        <f>CCBASE!$I$41*B640/1000</f>
        <v/>
      </c>
      <c r="X640" s="633" t="n"/>
      <c r="Y640" s="633" t="n"/>
      <c r="Z640" s="633" t="n"/>
      <c r="AA640" s="633" t="n"/>
      <c r="AB640" s="633" t="n"/>
      <c r="AC640" s="633" t="n"/>
      <c r="AD640" s="652">
        <f>CCBASE!$I$33*2</f>
        <v/>
      </c>
      <c r="AI640" s="635" t="n"/>
      <c r="AJ640" s="635" t="n"/>
      <c r="AN640" s="636" t="n"/>
      <c r="AO640" s="636" t="n"/>
      <c r="AP640" s="636" t="n"/>
      <c r="AQ640" s="636" t="n"/>
      <c r="AR640" s="636" t="n"/>
      <c r="AS640" s="636" t="n"/>
    </row>
    <row r="641" ht="17" customHeight="1" s="1085" thickBot="1">
      <c r="A641" s="659" t="inlineStr">
        <is>
          <t>UVX-M</t>
        </is>
      </c>
      <c r="B641" s="631" t="n">
        <v>1250</v>
      </c>
      <c r="C641" s="631" t="n">
        <v>1500</v>
      </c>
      <c r="D641" s="651">
        <f>$A641&amp;B641&amp;C641</f>
        <v/>
      </c>
      <c r="E641" s="1040">
        <f>SUM(G641:AD641)</f>
        <v/>
      </c>
      <c r="F641" s="632" t="n">
        <v>21</v>
      </c>
      <c r="G641" s="633">
        <f>F641*CCBASE!$B$51</f>
        <v/>
      </c>
      <c r="H641" s="633">
        <f>CCBASE!$I$11*B641/1000</f>
        <v/>
      </c>
      <c r="I641" s="633" t="n"/>
      <c r="J641" s="633" t="n"/>
      <c r="K641" s="633" t="n"/>
      <c r="L641" s="632" t="n"/>
      <c r="M641" s="633">
        <f>CCBASE!$I$15*B641/1000</f>
        <v/>
      </c>
      <c r="N641" s="633">
        <f>CCBASE!$I$7*B641/1000</f>
        <v/>
      </c>
      <c r="O641" s="633">
        <f>CCBASE!$I$45*B641/1000</f>
        <v/>
      </c>
      <c r="P641" s="633">
        <f>CCBASE!$I$10</f>
        <v/>
      </c>
      <c r="Q641" s="633">
        <f>CCBASE!$I$51</f>
        <v/>
      </c>
      <c r="R641" s="633">
        <f>CCBASE!$I$4</f>
        <v/>
      </c>
      <c r="S641" s="633">
        <f>CCBASE!$I$8</f>
        <v/>
      </c>
      <c r="T641" s="632" t="n"/>
      <c r="U641" s="638">
        <f>CCBASE!$I$47</f>
        <v/>
      </c>
      <c r="V641" s="633" t="n"/>
      <c r="W641" s="633">
        <f>CCBASE!$I$41*B641/1000</f>
        <v/>
      </c>
      <c r="X641" s="633" t="n"/>
      <c r="Y641" s="633" t="n"/>
      <c r="Z641" s="633" t="n"/>
      <c r="AA641" s="633" t="n"/>
      <c r="AB641" s="633" t="n"/>
      <c r="AC641" s="633" t="n"/>
      <c r="AD641" s="652">
        <f>CCBASE!$I$33*2</f>
        <v/>
      </c>
      <c r="AI641" s="635" t="n"/>
      <c r="AJ641" s="635" t="n"/>
      <c r="AK641" s="636" t="n"/>
      <c r="AL641" s="636" t="n"/>
      <c r="AM641" s="636" t="n"/>
      <c r="AN641" s="636" t="n"/>
      <c r="AO641" s="636" t="n"/>
      <c r="AP641" s="636" t="n"/>
      <c r="AQ641" s="636" t="n"/>
      <c r="AR641" s="636" t="n"/>
      <c r="AS641" s="636" t="n"/>
    </row>
    <row r="642" ht="17" customHeight="1" s="1085" thickBot="1">
      <c r="A642" s="659" t="inlineStr">
        <is>
          <t>UVX-M</t>
        </is>
      </c>
      <c r="B642" s="631" t="n">
        <v>1500</v>
      </c>
      <c r="C642" s="631" t="n">
        <v>1500</v>
      </c>
      <c r="D642" s="651">
        <f>$A642&amp;B642&amp;C642</f>
        <v/>
      </c>
      <c r="E642" s="1040">
        <f>SUM(G642:AD642)</f>
        <v/>
      </c>
      <c r="F642" s="632" t="n">
        <v>21</v>
      </c>
      <c r="G642" s="633">
        <f>F642*CCBASE!$B$51</f>
        <v/>
      </c>
      <c r="H642" s="633">
        <f>CCBASE!$I$11*B642/1000</f>
        <v/>
      </c>
      <c r="I642" s="633" t="n"/>
      <c r="J642" s="633" t="n"/>
      <c r="K642" s="633" t="n"/>
      <c r="L642" s="632" t="n"/>
      <c r="M642" s="633">
        <f>CCBASE!$I$15*B642/1000</f>
        <v/>
      </c>
      <c r="N642" s="633">
        <f>CCBASE!$I$7*B642/1000</f>
        <v/>
      </c>
      <c r="O642" s="633">
        <f>CCBASE!$I$45*B642/1000</f>
        <v/>
      </c>
      <c r="P642" s="633">
        <f>CCBASE!$I$10</f>
        <v/>
      </c>
      <c r="Q642" s="633">
        <f>CCBASE!$I$51</f>
        <v/>
      </c>
      <c r="R642" s="633">
        <f>CCBASE!$I$4</f>
        <v/>
      </c>
      <c r="S642" s="633">
        <f>CCBASE!$I$8</f>
        <v/>
      </c>
      <c r="T642" s="632" t="n"/>
      <c r="U642" s="638">
        <f>CCBASE!$I$47</f>
        <v/>
      </c>
      <c r="V642" s="633" t="n"/>
      <c r="W642" s="633">
        <f>CCBASE!$I$41*B642/1000</f>
        <v/>
      </c>
      <c r="X642" s="633" t="n"/>
      <c r="Y642" s="633" t="n"/>
      <c r="Z642" s="633" t="n"/>
      <c r="AA642" s="633" t="n"/>
      <c r="AB642" s="633" t="n"/>
      <c r="AC642" s="633" t="n"/>
      <c r="AD642" s="652">
        <f>CCBASE!$I$33*2</f>
        <v/>
      </c>
      <c r="AI642" s="635" t="n"/>
      <c r="AJ642" s="635" t="n"/>
      <c r="AK642" s="636" t="n"/>
      <c r="AL642" s="636" t="n"/>
      <c r="AM642" s="636" t="n"/>
      <c r="AN642" s="636" t="n"/>
      <c r="AO642" s="636" t="n"/>
      <c r="AP642" s="636" t="n"/>
      <c r="AQ642" s="636" t="n"/>
      <c r="AR642" s="636" t="n"/>
      <c r="AS642" s="636" t="n"/>
    </row>
    <row r="643" ht="17" customHeight="1" s="1085" thickBot="1">
      <c r="A643" s="659" t="inlineStr">
        <is>
          <t>UVX-M</t>
        </is>
      </c>
      <c r="B643" s="631" t="n">
        <v>1750</v>
      </c>
      <c r="C643" s="631" t="n">
        <v>1500</v>
      </c>
      <c r="D643" s="651">
        <f>$A643&amp;B643&amp;C643</f>
        <v/>
      </c>
      <c r="E643" s="1040">
        <f>SUM(G643:AD643)</f>
        <v/>
      </c>
      <c r="F643" s="632" t="n">
        <v>21</v>
      </c>
      <c r="G643" s="633">
        <f>F643*CCBASE!$B$51</f>
        <v/>
      </c>
      <c r="H643" s="633">
        <f>CCBASE!$I$11*B643/1000</f>
        <v/>
      </c>
      <c r="I643" s="633" t="n"/>
      <c r="J643" s="633" t="n"/>
      <c r="K643" s="633" t="n"/>
      <c r="L643" s="632" t="n"/>
      <c r="M643" s="633">
        <f>CCBASE!$I$15*B643/1000</f>
        <v/>
      </c>
      <c r="N643" s="633">
        <f>CCBASE!$I$7*B643/1000</f>
        <v/>
      </c>
      <c r="O643" s="633">
        <f>CCBASE!$I$45*B643/1000</f>
        <v/>
      </c>
      <c r="P643" s="633">
        <f>CCBASE!$I$10</f>
        <v/>
      </c>
      <c r="Q643" s="633">
        <f>CCBASE!$I$51</f>
        <v/>
      </c>
      <c r="R643" s="633">
        <f>CCBASE!$I$4</f>
        <v/>
      </c>
      <c r="S643" s="633">
        <f>CCBASE!$I$8</f>
        <v/>
      </c>
      <c r="T643" s="632" t="n"/>
      <c r="U643" s="638">
        <f>CCBASE!$I$47</f>
        <v/>
      </c>
      <c r="V643" s="633" t="n"/>
      <c r="W643" s="633">
        <f>CCBASE!$I$41*B643/1000</f>
        <v/>
      </c>
      <c r="X643" s="633" t="n"/>
      <c r="Y643" s="633" t="n"/>
      <c r="Z643" s="633" t="n"/>
      <c r="AA643" s="633" t="n"/>
      <c r="AB643" s="633" t="n"/>
      <c r="AC643" s="633" t="n"/>
      <c r="AD643" s="652">
        <f>CCBASE!$I$33*2</f>
        <v/>
      </c>
      <c r="AI643" s="635" t="n"/>
      <c r="AJ643" s="635" t="n"/>
      <c r="AK643" s="636" t="n"/>
      <c r="AL643" s="636" t="n"/>
      <c r="AM643" s="636" t="n"/>
      <c r="AN643" s="636" t="n"/>
      <c r="AO643" s="636" t="n"/>
      <c r="AP643" s="636" t="n"/>
      <c r="AQ643" s="636" t="n"/>
      <c r="AR643" s="636" t="n"/>
      <c r="AS643" s="636" t="n"/>
    </row>
    <row r="644" ht="17" customHeight="1" s="1085" thickBot="1">
      <c r="A644" s="659" t="inlineStr">
        <is>
          <t>UVX-M</t>
        </is>
      </c>
      <c r="B644" s="631" t="n">
        <v>2000</v>
      </c>
      <c r="C644" s="631" t="n">
        <v>1500</v>
      </c>
      <c r="D644" s="651">
        <f>$A644&amp;B644&amp;C644</f>
        <v/>
      </c>
      <c r="E644" s="1040">
        <f>SUM(G644:AD644)</f>
        <v/>
      </c>
      <c r="F644" s="632" t="n">
        <v>21</v>
      </c>
      <c r="G644" s="633">
        <f>F644*CCBASE!$B$51</f>
        <v/>
      </c>
      <c r="H644" s="633">
        <f>CCBASE!$I$11*B644/1000</f>
        <v/>
      </c>
      <c r="I644" s="633" t="n"/>
      <c r="J644" s="633" t="n"/>
      <c r="K644" s="633" t="n"/>
      <c r="L644" s="632" t="n"/>
      <c r="M644" s="633">
        <f>CCBASE!$I$15*B644/1000</f>
        <v/>
      </c>
      <c r="N644" s="633">
        <f>CCBASE!$I$7*B644/1000</f>
        <v/>
      </c>
      <c r="O644" s="633">
        <f>CCBASE!$I$45*B644/1000</f>
        <v/>
      </c>
      <c r="P644" s="633">
        <f>CCBASE!$I$9</f>
        <v/>
      </c>
      <c r="Q644" s="633">
        <f>CCBASE!$I$51</f>
        <v/>
      </c>
      <c r="R644" s="633">
        <f>CCBASE!$I$4</f>
        <v/>
      </c>
      <c r="S644" s="633">
        <f>CCBASE!$I$8</f>
        <v/>
      </c>
      <c r="T644" s="632" t="n"/>
      <c r="U644" s="638">
        <f>CCBASE!$I$47</f>
        <v/>
      </c>
      <c r="V644" s="633" t="n"/>
      <c r="W644" s="633">
        <f>CCBASE!$I$41*B644/1000</f>
        <v/>
      </c>
      <c r="X644" s="633" t="n"/>
      <c r="Y644" s="633" t="n"/>
      <c r="Z644" s="633" t="n"/>
      <c r="AA644" s="633" t="n"/>
      <c r="AB644" s="633" t="n"/>
      <c r="AC644" s="633" t="n"/>
      <c r="AD644" s="652">
        <f>CCBASE!$I$33*2</f>
        <v/>
      </c>
      <c r="AI644" s="635" t="n"/>
      <c r="AJ644" s="635" t="n"/>
      <c r="AK644" s="636" t="n"/>
      <c r="AL644" s="636" t="n"/>
      <c r="AM644" s="636" t="n"/>
      <c r="AN644" s="636" t="n"/>
      <c r="AO644" s="636" t="n"/>
      <c r="AP644" s="636" t="n"/>
      <c r="AQ644" s="636" t="n"/>
      <c r="AR644" s="636" t="n"/>
      <c r="AS644" s="636" t="n"/>
    </row>
    <row r="645" ht="17" customHeight="1" s="1085" thickBot="1">
      <c r="A645" s="659" t="inlineStr">
        <is>
          <t>UVX-M</t>
        </is>
      </c>
      <c r="B645" s="631" t="n">
        <v>2250</v>
      </c>
      <c r="C645" s="631" t="n">
        <v>1500</v>
      </c>
      <c r="D645" s="651">
        <f>$A645&amp;B645&amp;C645</f>
        <v/>
      </c>
      <c r="E645" s="1040">
        <f>SUM(G645:AD645)</f>
        <v/>
      </c>
      <c r="F645" s="632" t="n">
        <v>22</v>
      </c>
      <c r="G645" s="633">
        <f>F645*CCBASE!$B$51</f>
        <v/>
      </c>
      <c r="H645" s="633">
        <f>CCBASE!$I$11*B645/1000</f>
        <v/>
      </c>
      <c r="I645" s="633" t="n"/>
      <c r="J645" s="633" t="n"/>
      <c r="K645" s="633" t="n"/>
      <c r="L645" s="632" t="n"/>
      <c r="M645" s="633">
        <f>CCBASE!$I$15*B645/1000</f>
        <v/>
      </c>
      <c r="N645" s="633">
        <f>CCBASE!$I$7*B645/1000</f>
        <v/>
      </c>
      <c r="O645" s="633">
        <f>CCBASE!$I$45*B645/1000</f>
        <v/>
      </c>
      <c r="P645" s="633">
        <f>CCBASE!$I$9</f>
        <v/>
      </c>
      <c r="Q645" s="633">
        <f>CCBASE!$I$51</f>
        <v/>
      </c>
      <c r="R645" s="633">
        <f>CCBASE!$I$4</f>
        <v/>
      </c>
      <c r="S645" s="633">
        <f>CCBASE!$I$8</f>
        <v/>
      </c>
      <c r="T645" s="632" t="n"/>
      <c r="U645" s="638">
        <f>CCBASE!$I$47*2</f>
        <v/>
      </c>
      <c r="V645" s="633" t="n"/>
      <c r="W645" s="633">
        <f>CCBASE!$I$41*B645/1000</f>
        <v/>
      </c>
      <c r="X645" s="633" t="n"/>
      <c r="Y645" s="633" t="n"/>
      <c r="Z645" s="633" t="n"/>
      <c r="AA645" s="633" t="n"/>
      <c r="AB645" s="633" t="n"/>
      <c r="AC645" s="633" t="n"/>
      <c r="AD645" s="652">
        <f>CCBASE!$I$33*2</f>
        <v/>
      </c>
      <c r="AI645" s="635" t="n"/>
      <c r="AJ645" s="635" t="n"/>
      <c r="AK645" s="636" t="n"/>
      <c r="AL645" s="636" t="n"/>
      <c r="AM645" s="636" t="n"/>
      <c r="AN645" s="636" t="n"/>
      <c r="AO645" s="636" t="n"/>
      <c r="AP645" s="636" t="n"/>
      <c r="AQ645" s="636" t="n"/>
      <c r="AR645" s="636" t="n"/>
      <c r="AS645" s="636" t="n"/>
    </row>
    <row r="646" ht="17" customHeight="1" s="1085" thickBot="1">
      <c r="A646" s="659" t="inlineStr">
        <is>
          <t>UVX-M</t>
        </is>
      </c>
      <c r="B646" s="631" t="n">
        <v>2500</v>
      </c>
      <c r="C646" s="631" t="n">
        <v>1500</v>
      </c>
      <c r="D646" s="651">
        <f>$A646&amp;B646&amp;C646</f>
        <v/>
      </c>
      <c r="E646" s="1040">
        <f>SUM(G646:AD646)</f>
        <v/>
      </c>
      <c r="F646" s="632" t="n">
        <v>22</v>
      </c>
      <c r="G646" s="633">
        <f>F646*CCBASE!$B$51</f>
        <v/>
      </c>
      <c r="H646" s="633">
        <f>CCBASE!$I$11*B646/1000</f>
        <v/>
      </c>
      <c r="I646" s="633" t="n"/>
      <c r="J646" s="633" t="n"/>
      <c r="K646" s="633" t="n"/>
      <c r="L646" s="632" t="n"/>
      <c r="M646" s="633">
        <f>CCBASE!$I$15*B646/1000</f>
        <v/>
      </c>
      <c r="N646" s="633">
        <f>CCBASE!$I$7*B646/1000</f>
        <v/>
      </c>
      <c r="O646" s="633">
        <f>CCBASE!$I$45*B646/1000</f>
        <v/>
      </c>
      <c r="P646" s="633">
        <f>CCBASE!$I$9</f>
        <v/>
      </c>
      <c r="Q646" s="633">
        <f>CCBASE!$I$51</f>
        <v/>
      </c>
      <c r="R646" s="633">
        <f>CCBASE!$I$4</f>
        <v/>
      </c>
      <c r="S646" s="633">
        <f>CCBASE!$I$8</f>
        <v/>
      </c>
      <c r="T646" s="632" t="n"/>
      <c r="U646" s="638">
        <f>CCBASE!$I$47*2</f>
        <v/>
      </c>
      <c r="V646" s="633" t="n"/>
      <c r="W646" s="633">
        <f>CCBASE!$I$41*B646/1000</f>
        <v/>
      </c>
      <c r="X646" s="633" t="n"/>
      <c r="Y646" s="633" t="n"/>
      <c r="Z646" s="633" t="n"/>
      <c r="AA646" s="633" t="n"/>
      <c r="AB646" s="633" t="n"/>
      <c r="AC646" s="633" t="n"/>
      <c r="AD646" s="652">
        <f>CCBASE!$I$33*2</f>
        <v/>
      </c>
      <c r="AI646" s="635" t="n"/>
      <c r="AJ646" s="635" t="n"/>
      <c r="AK646" s="636" t="n"/>
      <c r="AL646" s="636" t="n"/>
      <c r="AM646" s="636" t="n"/>
      <c r="AN646" s="636" t="n"/>
      <c r="AO646" s="636" t="n"/>
      <c r="AP646" s="636" t="n"/>
      <c r="AQ646" s="636" t="n"/>
      <c r="AR646" s="636" t="n"/>
      <c r="AS646" s="636" t="n"/>
    </row>
    <row r="647" ht="17" customHeight="1" s="1085" thickBot="1">
      <c r="A647" s="659" t="inlineStr">
        <is>
          <t>UVX-M</t>
        </is>
      </c>
      <c r="B647" s="631" t="n">
        <v>2750</v>
      </c>
      <c r="C647" s="631" t="n">
        <v>1500</v>
      </c>
      <c r="D647" s="651">
        <f>$A647&amp;B647&amp;C647</f>
        <v/>
      </c>
      <c r="E647" s="1040">
        <f>SUM(G647:AD647)</f>
        <v/>
      </c>
      <c r="F647" s="632" t="n">
        <v>23</v>
      </c>
      <c r="G647" s="633">
        <f>F647*CCBASE!$B$51</f>
        <v/>
      </c>
      <c r="H647" s="633">
        <f>CCBASE!$I$11*B647/1000</f>
        <v/>
      </c>
      <c r="I647" s="633" t="n"/>
      <c r="J647" s="633" t="n"/>
      <c r="K647" s="633" t="n"/>
      <c r="L647" s="632" t="n"/>
      <c r="M647" s="633">
        <f>CCBASE!$I$15*B647/1000</f>
        <v/>
      </c>
      <c r="N647" s="633">
        <f>CCBASE!$I$7*B647/1000</f>
        <v/>
      </c>
      <c r="O647" s="633">
        <f>CCBASE!$I$45*B647/1000</f>
        <v/>
      </c>
      <c r="P647" s="633">
        <f>CCBASE!$I$9</f>
        <v/>
      </c>
      <c r="Q647" s="633">
        <f>CCBASE!$I$51</f>
        <v/>
      </c>
      <c r="R647" s="633">
        <f>CCBASE!$I$4</f>
        <v/>
      </c>
      <c r="S647" s="633">
        <f>CCBASE!$I$8</f>
        <v/>
      </c>
      <c r="T647" s="632" t="n"/>
      <c r="U647" s="638">
        <f>CCBASE!$I$47*2</f>
        <v/>
      </c>
      <c r="V647" s="633" t="n"/>
      <c r="W647" s="633">
        <f>CCBASE!$I$41*B647/1000</f>
        <v/>
      </c>
      <c r="X647" s="633" t="n"/>
      <c r="Y647" s="633" t="n"/>
      <c r="Z647" s="633" t="n"/>
      <c r="AA647" s="633" t="n"/>
      <c r="AB647" s="633" t="n"/>
      <c r="AC647" s="633" t="n"/>
      <c r="AD647" s="652">
        <f>CCBASE!$I$33*2</f>
        <v/>
      </c>
      <c r="AI647" s="635" t="n"/>
      <c r="AJ647" s="635" t="n"/>
      <c r="AN647" s="636" t="n"/>
      <c r="AO647" s="636" t="n"/>
      <c r="AP647" s="636" t="n"/>
      <c r="AQ647" s="636" t="n"/>
      <c r="AR647" s="636" t="n"/>
      <c r="AS647" s="636" t="n"/>
    </row>
    <row r="648" ht="17" customHeight="1" s="1085" thickBot="1">
      <c r="A648" s="659" t="inlineStr">
        <is>
          <t>UVX-M</t>
        </is>
      </c>
      <c r="B648" s="631" t="n">
        <v>3000</v>
      </c>
      <c r="C648" s="631" t="n">
        <v>1500</v>
      </c>
      <c r="D648" s="651">
        <f>$A648&amp;B648&amp;C648</f>
        <v/>
      </c>
      <c r="E648" s="1040">
        <f>SUM(G648:AD648)</f>
        <v/>
      </c>
      <c r="F648" s="632" t="n">
        <v>23</v>
      </c>
      <c r="G648" s="633">
        <f>F648*CCBASE!$B$51</f>
        <v/>
      </c>
      <c r="H648" s="633">
        <f>CCBASE!$I$11*B648/1000</f>
        <v/>
      </c>
      <c r="I648" s="633" t="n"/>
      <c r="J648" s="633" t="n"/>
      <c r="K648" s="633" t="n"/>
      <c r="L648" s="632" t="n"/>
      <c r="M648" s="633">
        <f>CCBASE!$I$15*B648/1000</f>
        <v/>
      </c>
      <c r="N648" s="633">
        <f>CCBASE!$I$7*B648/1000</f>
        <v/>
      </c>
      <c r="O648" s="633">
        <f>CCBASE!$I$45*B648/1000</f>
        <v/>
      </c>
      <c r="P648" s="633">
        <f>CCBASE!$I$9</f>
        <v/>
      </c>
      <c r="Q648" s="633">
        <f>CCBASE!$I$51</f>
        <v/>
      </c>
      <c r="R648" s="633">
        <f>CCBASE!$I$4</f>
        <v/>
      </c>
      <c r="S648" s="633">
        <f>CCBASE!$I$8</f>
        <v/>
      </c>
      <c r="T648" s="632" t="n"/>
      <c r="U648" s="638">
        <f>CCBASE!$I$47*2</f>
        <v/>
      </c>
      <c r="V648" s="633" t="n"/>
      <c r="W648" s="633">
        <f>CCBASE!$I$41*B648/1000</f>
        <v/>
      </c>
      <c r="X648" s="633" t="n"/>
      <c r="Y648" s="633" t="n"/>
      <c r="Z648" s="633" t="n"/>
      <c r="AA648" s="633" t="n"/>
      <c r="AB648" s="633" t="n"/>
      <c r="AC648" s="633" t="n"/>
      <c r="AD648" s="652">
        <f>CCBASE!$I$33*2</f>
        <v/>
      </c>
      <c r="AI648" s="635" t="n"/>
      <c r="AJ648" s="635" t="n"/>
      <c r="AN648" s="636" t="n"/>
      <c r="AO648" s="636" t="n"/>
      <c r="AP648" s="636" t="n"/>
      <c r="AQ648" s="636" t="n"/>
      <c r="AR648" s="636" t="n"/>
      <c r="AS648" s="636" t="n"/>
    </row>
    <row r="649" ht="17" customHeight="1" s="1085" thickBot="1">
      <c r="A649" s="659" t="inlineStr">
        <is>
          <t>UVX-M</t>
        </is>
      </c>
      <c r="B649" s="631" t="n">
        <v>1000</v>
      </c>
      <c r="C649" s="631" t="n">
        <v>1750</v>
      </c>
      <c r="D649" s="651">
        <f>$A649&amp;B649&amp;C649</f>
        <v/>
      </c>
      <c r="E649" s="1040">
        <f>SUM(G649:AD649)</f>
        <v/>
      </c>
      <c r="F649" s="647" t="n">
        <v>21</v>
      </c>
      <c r="G649" s="633">
        <f>F649*CCBASE!$B$51</f>
        <v/>
      </c>
      <c r="H649" s="633">
        <f>CCBASE!$I$11*B649/1000</f>
        <v/>
      </c>
      <c r="I649" s="633" t="n"/>
      <c r="J649" s="633" t="n"/>
      <c r="K649" s="633" t="n"/>
      <c r="L649" s="638" t="n"/>
      <c r="M649" s="633">
        <f>CCBASE!$I$15*B649/1000</f>
        <v/>
      </c>
      <c r="N649" s="633">
        <f>CCBASE!$I$7*B649/1000</f>
        <v/>
      </c>
      <c r="O649" s="633">
        <f>CCBASE!$I$45*B649/1000</f>
        <v/>
      </c>
      <c r="P649" s="633">
        <f>CCBASE!$I$10</f>
        <v/>
      </c>
      <c r="Q649" s="633">
        <f>CCBASE!$I$51</f>
        <v/>
      </c>
      <c r="R649" s="633">
        <f>CCBASE!$I$4</f>
        <v/>
      </c>
      <c r="S649" s="633">
        <f>CCBASE!$I$8</f>
        <v/>
      </c>
      <c r="T649" s="632" t="n"/>
      <c r="U649" s="638">
        <f>CCBASE!$I$47</f>
        <v/>
      </c>
      <c r="V649" s="632" t="n"/>
      <c r="W649" s="633">
        <f>CCBASE!$I$42*B649/1000</f>
        <v/>
      </c>
      <c r="X649" s="633" t="n"/>
      <c r="Y649" s="633" t="n"/>
      <c r="Z649" s="633" t="n"/>
      <c r="AA649" s="633" t="n"/>
      <c r="AB649" s="633" t="n"/>
      <c r="AC649" s="633" t="n"/>
      <c r="AD649" s="652">
        <f>CCBASE!$I$34*2</f>
        <v/>
      </c>
      <c r="AI649" s="635" t="n"/>
      <c r="AJ649" s="635" t="n"/>
      <c r="AK649" s="636" t="n"/>
      <c r="AL649" s="636" t="n"/>
      <c r="AM649" s="636" t="n"/>
      <c r="AN649" s="636" t="n"/>
      <c r="AO649" s="636" t="n"/>
      <c r="AP649" s="636" t="n"/>
      <c r="AQ649" s="636" t="n"/>
      <c r="AR649" s="636" t="n"/>
      <c r="AS649" s="636" t="n"/>
    </row>
    <row r="650" ht="17" customHeight="1" s="1085" thickBot="1">
      <c r="A650" s="659" t="inlineStr">
        <is>
          <t>UVX-M</t>
        </is>
      </c>
      <c r="B650" s="631" t="n">
        <v>1250</v>
      </c>
      <c r="C650" s="631" t="n">
        <v>1750</v>
      </c>
      <c r="D650" s="651">
        <f>$A650&amp;B650&amp;C650</f>
        <v/>
      </c>
      <c r="E650" s="1040">
        <f>SUM(G650:AD650)</f>
        <v/>
      </c>
      <c r="F650" s="632" t="n">
        <v>21</v>
      </c>
      <c r="G650" s="633">
        <f>F650*CCBASE!$B$51</f>
        <v/>
      </c>
      <c r="H650" s="633">
        <f>CCBASE!$I$11*B650/1000</f>
        <v/>
      </c>
      <c r="I650" s="633" t="n"/>
      <c r="J650" s="633" t="n"/>
      <c r="K650" s="633" t="n"/>
      <c r="L650" s="638" t="n"/>
      <c r="M650" s="633">
        <f>CCBASE!$I$15*B650/1000</f>
        <v/>
      </c>
      <c r="N650" s="633">
        <f>CCBASE!$I$7*B650/1000</f>
        <v/>
      </c>
      <c r="O650" s="633">
        <f>CCBASE!$I$45*B650/1000</f>
        <v/>
      </c>
      <c r="P650" s="633">
        <f>CCBASE!$I$10</f>
        <v/>
      </c>
      <c r="Q650" s="633">
        <f>CCBASE!$I$51</f>
        <v/>
      </c>
      <c r="R650" s="633">
        <f>CCBASE!$I$4</f>
        <v/>
      </c>
      <c r="S650" s="633">
        <f>CCBASE!$I$8</f>
        <v/>
      </c>
      <c r="T650" s="632" t="n"/>
      <c r="U650" s="638">
        <f>CCBASE!$I$47</f>
        <v/>
      </c>
      <c r="V650" s="632" t="n"/>
      <c r="W650" s="633">
        <f>CCBASE!$I$42*B650/1000</f>
        <v/>
      </c>
      <c r="X650" s="633" t="n"/>
      <c r="Y650" s="633" t="n"/>
      <c r="Z650" s="633" t="n"/>
      <c r="AA650" s="633" t="n"/>
      <c r="AB650" s="633" t="n"/>
      <c r="AC650" s="633" t="n"/>
      <c r="AD650" s="652">
        <f>CCBASE!$I$34*2</f>
        <v/>
      </c>
      <c r="AI650" s="635" t="n"/>
      <c r="AJ650" s="635" t="n"/>
      <c r="AK650" s="636" t="n"/>
      <c r="AL650" s="636" t="n"/>
      <c r="AM650" s="636" t="n"/>
      <c r="AN650" s="636" t="n"/>
      <c r="AO650" s="636" t="n"/>
      <c r="AP650" s="636" t="n"/>
      <c r="AQ650" s="636" t="n"/>
      <c r="AR650" s="636" t="n"/>
      <c r="AS650" s="636" t="n"/>
    </row>
    <row r="651" ht="17" customHeight="1" s="1085" thickBot="1">
      <c r="A651" s="659" t="inlineStr">
        <is>
          <t>UVX-M</t>
        </is>
      </c>
      <c r="B651" s="631" t="n">
        <v>1500</v>
      </c>
      <c r="C651" s="631" t="n">
        <v>1750</v>
      </c>
      <c r="D651" s="651">
        <f>$A651&amp;B651&amp;C651</f>
        <v/>
      </c>
      <c r="E651" s="1040">
        <f>SUM(G651:AD651)</f>
        <v/>
      </c>
      <c r="F651" s="632" t="n">
        <v>21</v>
      </c>
      <c r="G651" s="633">
        <f>F651*CCBASE!$B$51</f>
        <v/>
      </c>
      <c r="H651" s="633">
        <f>CCBASE!$I$11*B651/1000</f>
        <v/>
      </c>
      <c r="I651" s="633" t="n"/>
      <c r="J651" s="633" t="n"/>
      <c r="K651" s="633" t="n"/>
      <c r="L651" s="638" t="n"/>
      <c r="M651" s="633">
        <f>CCBASE!$I$15*B651/1000</f>
        <v/>
      </c>
      <c r="N651" s="633">
        <f>CCBASE!$I$7*B651/1000</f>
        <v/>
      </c>
      <c r="O651" s="633">
        <f>CCBASE!$I$45*B651/1000</f>
        <v/>
      </c>
      <c r="P651" s="633">
        <f>CCBASE!$I$10</f>
        <v/>
      </c>
      <c r="Q651" s="633">
        <f>CCBASE!$I$51</f>
        <v/>
      </c>
      <c r="R651" s="633">
        <f>CCBASE!$I$4</f>
        <v/>
      </c>
      <c r="S651" s="633">
        <f>CCBASE!$I$8</f>
        <v/>
      </c>
      <c r="T651" s="632" t="n"/>
      <c r="U651" s="638">
        <f>CCBASE!$I$47</f>
        <v/>
      </c>
      <c r="V651" s="632" t="n"/>
      <c r="W651" s="633">
        <f>CCBASE!$I$42*B651/1000</f>
        <v/>
      </c>
      <c r="X651" s="633" t="n"/>
      <c r="Y651" s="633" t="n"/>
      <c r="Z651" s="633" t="n"/>
      <c r="AA651" s="633" t="n"/>
      <c r="AB651" s="633" t="n"/>
      <c r="AC651" s="633" t="n"/>
      <c r="AD651" s="652">
        <f>CCBASE!$I$34*2</f>
        <v/>
      </c>
      <c r="AI651" s="635" t="n"/>
      <c r="AJ651" s="635" t="n"/>
      <c r="AK651" s="636" t="n"/>
      <c r="AL651" s="636" t="n"/>
      <c r="AM651" s="636" t="n"/>
      <c r="AN651" s="636" t="n"/>
      <c r="AO651" s="636" t="n"/>
      <c r="AP651" s="636" t="n"/>
      <c r="AQ651" s="636" t="n"/>
      <c r="AR651" s="636" t="n"/>
      <c r="AS651" s="636" t="n"/>
    </row>
    <row r="652" ht="17" customHeight="1" s="1085" thickBot="1">
      <c r="A652" s="659" t="inlineStr">
        <is>
          <t>UVX-M</t>
        </is>
      </c>
      <c r="B652" s="631" t="n">
        <v>1750</v>
      </c>
      <c r="C652" s="631" t="n">
        <v>1750</v>
      </c>
      <c r="D652" s="651">
        <f>$A652&amp;B652&amp;C652</f>
        <v/>
      </c>
      <c r="E652" s="1040">
        <f>SUM(G652:AD652)</f>
        <v/>
      </c>
      <c r="F652" s="632" t="n">
        <v>21</v>
      </c>
      <c r="G652" s="633">
        <f>F652*CCBASE!$B$51</f>
        <v/>
      </c>
      <c r="H652" s="633">
        <f>CCBASE!$I$11*B652/1000</f>
        <v/>
      </c>
      <c r="I652" s="633" t="n"/>
      <c r="J652" s="633" t="n"/>
      <c r="K652" s="633" t="n"/>
      <c r="L652" s="638" t="n"/>
      <c r="M652" s="633">
        <f>CCBASE!$I$15*B652/1000</f>
        <v/>
      </c>
      <c r="N652" s="633">
        <f>CCBASE!$I$7*B652/1000</f>
        <v/>
      </c>
      <c r="O652" s="633">
        <f>CCBASE!$I$45*B652/1000</f>
        <v/>
      </c>
      <c r="P652" s="633">
        <f>CCBASE!$I$9</f>
        <v/>
      </c>
      <c r="Q652" s="633">
        <f>CCBASE!$I$51</f>
        <v/>
      </c>
      <c r="R652" s="633">
        <f>CCBASE!$I$4</f>
        <v/>
      </c>
      <c r="S652" s="633">
        <f>CCBASE!$I$8</f>
        <v/>
      </c>
      <c r="T652" s="632" t="n"/>
      <c r="U652" s="638">
        <f>CCBASE!$I$47</f>
        <v/>
      </c>
      <c r="V652" s="632" t="n"/>
      <c r="W652" s="633">
        <f>CCBASE!$I$42*B652/1000</f>
        <v/>
      </c>
      <c r="X652" s="633" t="n"/>
      <c r="Y652" s="633" t="n"/>
      <c r="Z652" s="633" t="n"/>
      <c r="AA652" s="633" t="n"/>
      <c r="AB652" s="633" t="n"/>
      <c r="AC652" s="633" t="n"/>
      <c r="AD652" s="652">
        <f>CCBASE!$I$34*2</f>
        <v/>
      </c>
      <c r="AI652" s="635" t="n"/>
      <c r="AJ652" s="635" t="n"/>
    </row>
    <row r="653" ht="17" customHeight="1" s="1085" thickBot="1">
      <c r="A653" s="659" t="inlineStr">
        <is>
          <t>UVX-M</t>
        </is>
      </c>
      <c r="B653" s="631" t="n">
        <v>2000</v>
      </c>
      <c r="C653" s="631" t="n">
        <v>1750</v>
      </c>
      <c r="D653" s="651">
        <f>$A653&amp;B653&amp;C653</f>
        <v/>
      </c>
      <c r="E653" s="1040">
        <f>SUM(G653:AD653)</f>
        <v/>
      </c>
      <c r="F653" s="632" t="n">
        <v>21</v>
      </c>
      <c r="G653" s="633">
        <f>F653*CCBASE!$B$51</f>
        <v/>
      </c>
      <c r="H653" s="633">
        <f>CCBASE!$I$11*B653/1000</f>
        <v/>
      </c>
      <c r="I653" s="633" t="n"/>
      <c r="J653" s="633" t="n"/>
      <c r="K653" s="633" t="n"/>
      <c r="L653" s="638" t="n"/>
      <c r="M653" s="633">
        <f>CCBASE!$I$15*B653/1000</f>
        <v/>
      </c>
      <c r="N653" s="633">
        <f>CCBASE!$I$7*B653/1000</f>
        <v/>
      </c>
      <c r="O653" s="633">
        <f>CCBASE!$I$45*B653/1000</f>
        <v/>
      </c>
      <c r="P653" s="633">
        <f>CCBASE!$I$9</f>
        <v/>
      </c>
      <c r="Q653" s="633">
        <f>CCBASE!$I$51</f>
        <v/>
      </c>
      <c r="R653" s="633">
        <f>CCBASE!$I$4</f>
        <v/>
      </c>
      <c r="S653" s="633">
        <f>CCBASE!$I$8</f>
        <v/>
      </c>
      <c r="T653" s="632" t="n"/>
      <c r="U653" s="638">
        <f>CCBASE!$I$47</f>
        <v/>
      </c>
      <c r="V653" s="632" t="n"/>
      <c r="W653" s="633">
        <f>CCBASE!$I$42*B653/1000</f>
        <v/>
      </c>
      <c r="X653" s="633" t="n"/>
      <c r="Y653" s="633" t="n"/>
      <c r="Z653" s="633" t="n"/>
      <c r="AA653" s="633" t="n"/>
      <c r="AB653" s="633" t="n"/>
      <c r="AC653" s="633" t="n"/>
      <c r="AD653" s="652">
        <f>CCBASE!$I$34*2</f>
        <v/>
      </c>
      <c r="AI653" s="635" t="n"/>
      <c r="AJ653" s="635" t="n"/>
    </row>
    <row r="654" ht="17" customHeight="1" s="1085" thickBot="1">
      <c r="A654" s="659" t="inlineStr">
        <is>
          <t>UVX-M</t>
        </is>
      </c>
      <c r="B654" s="631" t="n">
        <v>2250</v>
      </c>
      <c r="C654" s="631" t="n">
        <v>1750</v>
      </c>
      <c r="D654" s="651">
        <f>$A654&amp;B654&amp;C654</f>
        <v/>
      </c>
      <c r="E654" s="1040">
        <f>SUM(G654:AD654)</f>
        <v/>
      </c>
      <c r="F654" s="632" t="n">
        <v>22</v>
      </c>
      <c r="G654" s="633">
        <f>F654*CCBASE!$B$51</f>
        <v/>
      </c>
      <c r="H654" s="633">
        <f>CCBASE!$I$11*B654/1000</f>
        <v/>
      </c>
      <c r="I654" s="633" t="n"/>
      <c r="J654" s="633" t="n"/>
      <c r="K654" s="633" t="n"/>
      <c r="L654" s="638" t="n"/>
      <c r="M654" s="633">
        <f>CCBASE!$I$15*B654/1000</f>
        <v/>
      </c>
      <c r="N654" s="633">
        <f>CCBASE!$I$7*B654/1000</f>
        <v/>
      </c>
      <c r="O654" s="633">
        <f>CCBASE!$I$45*B654/1000</f>
        <v/>
      </c>
      <c r="P654" s="633">
        <f>CCBASE!$I$9</f>
        <v/>
      </c>
      <c r="Q654" s="633">
        <f>CCBASE!$I$51</f>
        <v/>
      </c>
      <c r="R654" s="633">
        <f>CCBASE!$I$4</f>
        <v/>
      </c>
      <c r="S654" s="633">
        <f>CCBASE!$I$8</f>
        <v/>
      </c>
      <c r="T654" s="632" t="n"/>
      <c r="U654" s="638">
        <f>CCBASE!$I$47*2</f>
        <v/>
      </c>
      <c r="V654" s="632" t="n"/>
      <c r="W654" s="633">
        <f>CCBASE!$I$42*B654/1000</f>
        <v/>
      </c>
      <c r="X654" s="633" t="n"/>
      <c r="Y654" s="633" t="n"/>
      <c r="Z654" s="633" t="n"/>
      <c r="AA654" s="633" t="n"/>
      <c r="AB654" s="633" t="n"/>
      <c r="AC654" s="633" t="n"/>
      <c r="AD654" s="652">
        <f>CCBASE!$I$34*2</f>
        <v/>
      </c>
      <c r="AI654" s="635" t="n"/>
      <c r="AJ654" s="635" t="n"/>
      <c r="AR654" s="636" t="n"/>
      <c r="AS654" s="636" t="n"/>
    </row>
    <row r="655" ht="17" customHeight="1" s="1085" thickBot="1">
      <c r="A655" s="659" t="inlineStr">
        <is>
          <t>UVX-M</t>
        </is>
      </c>
      <c r="B655" s="631" t="n">
        <v>2500</v>
      </c>
      <c r="C655" s="631" t="n">
        <v>1750</v>
      </c>
      <c r="D655" s="651">
        <f>$A655&amp;B655&amp;C655</f>
        <v/>
      </c>
      <c r="E655" s="1040">
        <f>SUM(G655:AD655)</f>
        <v/>
      </c>
      <c r="F655" s="632" t="n">
        <v>22</v>
      </c>
      <c r="G655" s="633">
        <f>F655*CCBASE!$B$51</f>
        <v/>
      </c>
      <c r="H655" s="633">
        <f>CCBASE!$I$11*B655/1000</f>
        <v/>
      </c>
      <c r="I655" s="633" t="n"/>
      <c r="J655" s="633" t="n"/>
      <c r="K655" s="633" t="n"/>
      <c r="L655" s="638" t="n"/>
      <c r="M655" s="633">
        <f>CCBASE!$I$15*B655/1000</f>
        <v/>
      </c>
      <c r="N655" s="633">
        <f>CCBASE!$I$7*B655/1000</f>
        <v/>
      </c>
      <c r="O655" s="633">
        <f>CCBASE!$I$45*B655/1000</f>
        <v/>
      </c>
      <c r="P655" s="633">
        <f>CCBASE!$I$9</f>
        <v/>
      </c>
      <c r="Q655" s="633">
        <f>CCBASE!$I$51</f>
        <v/>
      </c>
      <c r="R655" s="633">
        <f>CCBASE!$I$4</f>
        <v/>
      </c>
      <c r="S655" s="633">
        <f>CCBASE!$I$8</f>
        <v/>
      </c>
      <c r="T655" s="632" t="n"/>
      <c r="U655" s="638">
        <f>CCBASE!$I$47*2</f>
        <v/>
      </c>
      <c r="V655" s="632" t="n"/>
      <c r="W655" s="633">
        <f>CCBASE!$I$42*B655/1000</f>
        <v/>
      </c>
      <c r="X655" s="633" t="n"/>
      <c r="Y655" s="633" t="n"/>
      <c r="Z655" s="633" t="n"/>
      <c r="AA655" s="633" t="n"/>
      <c r="AB655" s="633" t="n"/>
      <c r="AC655" s="633" t="n"/>
      <c r="AD655" s="652">
        <f>CCBASE!$I$34*2</f>
        <v/>
      </c>
      <c r="AI655" s="635" t="n"/>
      <c r="AJ655" s="635" t="n"/>
      <c r="AR655" s="636" t="n"/>
      <c r="AS655" s="636" t="n"/>
    </row>
    <row r="656" ht="17" customHeight="1" s="1085" thickBot="1">
      <c r="A656" s="659" t="inlineStr">
        <is>
          <t>UVX-M</t>
        </is>
      </c>
      <c r="B656" s="631" t="n">
        <v>2750</v>
      </c>
      <c r="C656" s="631" t="n">
        <v>1750</v>
      </c>
      <c r="D656" s="651">
        <f>$A656&amp;B656&amp;C656</f>
        <v/>
      </c>
      <c r="E656" s="1040">
        <f>SUM(G656:AD656)</f>
        <v/>
      </c>
      <c r="F656" s="632" t="n">
        <v>23</v>
      </c>
      <c r="G656" s="633">
        <f>F656*CCBASE!$B$51</f>
        <v/>
      </c>
      <c r="H656" s="633">
        <f>CCBASE!$I$11*B656/1000</f>
        <v/>
      </c>
      <c r="I656" s="633" t="n"/>
      <c r="J656" s="633" t="n"/>
      <c r="K656" s="633" t="n"/>
      <c r="L656" s="638" t="n"/>
      <c r="M656" s="633">
        <f>CCBASE!$I$15*B656/1000</f>
        <v/>
      </c>
      <c r="N656" s="633">
        <f>CCBASE!$I$7*B656/1000</f>
        <v/>
      </c>
      <c r="O656" s="633">
        <f>CCBASE!$I$45*B656/1000</f>
        <v/>
      </c>
      <c r="P656" s="633">
        <f>CCBASE!$I$9</f>
        <v/>
      </c>
      <c r="Q656" s="633">
        <f>CCBASE!$I$51</f>
        <v/>
      </c>
      <c r="R656" s="633">
        <f>CCBASE!$I$4</f>
        <v/>
      </c>
      <c r="S656" s="633">
        <f>CCBASE!$I$8</f>
        <v/>
      </c>
      <c r="T656" s="632" t="n"/>
      <c r="U656" s="638">
        <f>CCBASE!$I$47*2</f>
        <v/>
      </c>
      <c r="V656" s="632" t="n"/>
      <c r="W656" s="633">
        <f>CCBASE!$I$42*B656/1000</f>
        <v/>
      </c>
      <c r="X656" s="633" t="n"/>
      <c r="Y656" s="633" t="n"/>
      <c r="Z656" s="633" t="n"/>
      <c r="AA656" s="633" t="n"/>
      <c r="AB656" s="633" t="n"/>
      <c r="AC656" s="633" t="n"/>
      <c r="AD656" s="652">
        <f>CCBASE!$I$34*2</f>
        <v/>
      </c>
      <c r="AI656" s="635" t="n"/>
      <c r="AJ656" s="635" t="n"/>
      <c r="AK656" s="636" t="n"/>
      <c r="AL656" s="636" t="n"/>
      <c r="AM656" s="636" t="n"/>
      <c r="AN656" s="636" t="n"/>
      <c r="AO656" s="636" t="n"/>
      <c r="AP656" s="636" t="n"/>
      <c r="AQ656" s="636" t="n"/>
      <c r="AR656" s="636" t="n"/>
      <c r="AS656" s="636" t="n"/>
    </row>
    <row r="657" ht="17" customHeight="1" s="1085" thickBot="1">
      <c r="A657" s="659" t="inlineStr">
        <is>
          <t>UVX-M</t>
        </is>
      </c>
      <c r="B657" s="631" t="n">
        <v>3000</v>
      </c>
      <c r="C657" s="631" t="n">
        <v>1750</v>
      </c>
      <c r="D657" s="651">
        <f>$A657&amp;B657&amp;C657</f>
        <v/>
      </c>
      <c r="E657" s="1040">
        <f>SUM(G657:AD657)</f>
        <v/>
      </c>
      <c r="F657" s="632" t="n">
        <v>23</v>
      </c>
      <c r="G657" s="633">
        <f>F657*CCBASE!$B$51</f>
        <v/>
      </c>
      <c r="H657" s="633">
        <f>CCBASE!$I$11*B657/1000</f>
        <v/>
      </c>
      <c r="I657" s="633" t="n"/>
      <c r="J657" s="633" t="n"/>
      <c r="K657" s="633" t="n"/>
      <c r="L657" s="638" t="n"/>
      <c r="M657" s="633">
        <f>CCBASE!$I$15*B657/1000</f>
        <v/>
      </c>
      <c r="N657" s="633">
        <f>CCBASE!$I$7*B657/1000</f>
        <v/>
      </c>
      <c r="O657" s="633">
        <f>CCBASE!$I$45*B657/1000</f>
        <v/>
      </c>
      <c r="P657" s="633">
        <f>CCBASE!$I$9</f>
        <v/>
      </c>
      <c r="Q657" s="633">
        <f>CCBASE!$I$51</f>
        <v/>
      </c>
      <c r="R657" s="633">
        <f>CCBASE!$I$4</f>
        <v/>
      </c>
      <c r="S657" s="633">
        <f>CCBASE!$I$8</f>
        <v/>
      </c>
      <c r="T657" s="632" t="n"/>
      <c r="U657" s="638">
        <f>CCBASE!$I$47*2</f>
        <v/>
      </c>
      <c r="V657" s="632" t="n"/>
      <c r="W657" s="633">
        <f>CCBASE!$I$42*B657/1000</f>
        <v/>
      </c>
      <c r="X657" s="633" t="n"/>
      <c r="Y657" s="633" t="n"/>
      <c r="Z657" s="633" t="n"/>
      <c r="AA657" s="633" t="n"/>
      <c r="AB657" s="633" t="n"/>
      <c r="AC657" s="633" t="n"/>
      <c r="AD657" s="652">
        <f>CCBASE!$I$34*2</f>
        <v/>
      </c>
      <c r="AI657" s="635" t="n"/>
      <c r="AJ657" s="635" t="n"/>
      <c r="AK657" s="636" t="n"/>
      <c r="AL657" s="636" t="n"/>
      <c r="AM657" s="636" t="n"/>
      <c r="AN657" s="636" t="n"/>
      <c r="AO657" s="636" t="n"/>
      <c r="AP657" s="636" t="n"/>
      <c r="AQ657" s="636" t="n"/>
      <c r="AR657" s="636" t="n"/>
      <c r="AS657" s="636" t="n"/>
    </row>
    <row r="658" ht="17" customHeight="1" s="1085" thickBot="1">
      <c r="A658" s="659" t="inlineStr">
        <is>
          <t>UVX-M</t>
        </is>
      </c>
      <c r="B658" s="631" t="n">
        <v>1000</v>
      </c>
      <c r="C658" s="631" t="n">
        <v>2000</v>
      </c>
      <c r="D658" s="651">
        <f>$A658&amp;B658&amp;C658</f>
        <v/>
      </c>
      <c r="E658" s="1040">
        <f>SUM(G658:AD658)</f>
        <v/>
      </c>
      <c r="F658" s="647" t="n">
        <v>21</v>
      </c>
      <c r="G658" s="633">
        <f>F658*CCBASE!$B$51</f>
        <v/>
      </c>
      <c r="H658" s="633">
        <f>CCBASE!$I$11*B658/1000</f>
        <v/>
      </c>
      <c r="I658" s="633" t="n"/>
      <c r="J658" s="633" t="n"/>
      <c r="K658" s="633" t="n"/>
      <c r="L658" s="638" t="n"/>
      <c r="M658" s="633">
        <f>CCBASE!$I$15*B658/1000</f>
        <v/>
      </c>
      <c r="N658" s="633">
        <f>CCBASE!$I$7*B658/1000</f>
        <v/>
      </c>
      <c r="O658" s="633">
        <f>CCBASE!$I$45*B658/1000</f>
        <v/>
      </c>
      <c r="P658" s="633">
        <f>CCBASE!$I$10</f>
        <v/>
      </c>
      <c r="Q658" s="633">
        <f>CCBASE!$I$51</f>
        <v/>
      </c>
      <c r="R658" s="633">
        <f>CCBASE!$I$4</f>
        <v/>
      </c>
      <c r="S658" s="633">
        <f>CCBASE!$I$8</f>
        <v/>
      </c>
      <c r="T658" s="632" t="n"/>
      <c r="U658" s="638">
        <f>CCBASE!$I$47</f>
        <v/>
      </c>
      <c r="V658" s="632" t="n"/>
      <c r="W658" s="633">
        <f>CCBASE!$I$43*B658/1000</f>
        <v/>
      </c>
      <c r="X658" s="633" t="n"/>
      <c r="Y658" s="633" t="n"/>
      <c r="Z658" s="633" t="n"/>
      <c r="AA658" s="633" t="n"/>
      <c r="AB658" s="633" t="n"/>
      <c r="AC658" s="633" t="n"/>
      <c r="AD658" s="652">
        <f>CCBASE!$I$35*2</f>
        <v/>
      </c>
      <c r="AI658" s="635" t="n"/>
      <c r="AJ658" s="635" t="n"/>
      <c r="AK658" s="636" t="n"/>
      <c r="AL658" s="636" t="n"/>
      <c r="AM658" s="636" t="n"/>
      <c r="AN658" s="636" t="n"/>
      <c r="AO658" s="636" t="n"/>
      <c r="AP658" s="636" t="n"/>
      <c r="AQ658" s="636" t="n"/>
      <c r="AR658" s="636" t="n"/>
      <c r="AS658" s="636" t="n"/>
    </row>
    <row r="659" ht="17" customHeight="1" s="1085" thickBot="1">
      <c r="A659" s="659" t="inlineStr">
        <is>
          <t>UVX-M</t>
        </is>
      </c>
      <c r="B659" s="631" t="n">
        <v>1250</v>
      </c>
      <c r="C659" s="631" t="n">
        <v>2000</v>
      </c>
      <c r="D659" s="651">
        <f>$A659&amp;B659&amp;C659</f>
        <v/>
      </c>
      <c r="E659" s="1040">
        <f>SUM(G659:AD659)</f>
        <v/>
      </c>
      <c r="F659" s="632" t="n">
        <v>21</v>
      </c>
      <c r="G659" s="633">
        <f>F659*CCBASE!$B$51</f>
        <v/>
      </c>
      <c r="H659" s="633">
        <f>CCBASE!$I$11*B659/1000</f>
        <v/>
      </c>
      <c r="I659" s="633" t="n"/>
      <c r="J659" s="633" t="n"/>
      <c r="K659" s="633" t="n"/>
      <c r="L659" s="638" t="n"/>
      <c r="M659" s="633">
        <f>CCBASE!$I$15*B659/1000</f>
        <v/>
      </c>
      <c r="N659" s="633">
        <f>CCBASE!$I$7*B659/1000</f>
        <v/>
      </c>
      <c r="O659" s="633">
        <f>CCBASE!$I$45*B659/1000</f>
        <v/>
      </c>
      <c r="P659" s="633">
        <f>CCBASE!$I$10</f>
        <v/>
      </c>
      <c r="Q659" s="633">
        <f>CCBASE!$I$51</f>
        <v/>
      </c>
      <c r="R659" s="633">
        <f>CCBASE!$I$4</f>
        <v/>
      </c>
      <c r="S659" s="633">
        <f>CCBASE!$I$8</f>
        <v/>
      </c>
      <c r="T659" s="632" t="n"/>
      <c r="U659" s="638">
        <f>CCBASE!$I$47</f>
        <v/>
      </c>
      <c r="V659" s="632" t="n"/>
      <c r="W659" s="633">
        <f>CCBASE!$I$43*B659/1000</f>
        <v/>
      </c>
      <c r="X659" s="633" t="n"/>
      <c r="Y659" s="633" t="n"/>
      <c r="Z659" s="633" t="n"/>
      <c r="AA659" s="633" t="n"/>
      <c r="AB659" s="633" t="n"/>
      <c r="AC659" s="633" t="n"/>
      <c r="AD659" s="652">
        <f>CCBASE!$I$35*2</f>
        <v/>
      </c>
      <c r="AI659" s="635" t="n"/>
      <c r="AJ659" s="635" t="n"/>
      <c r="AK659" s="636" t="n"/>
      <c r="AL659" s="636" t="n"/>
      <c r="AM659" s="636" t="n"/>
      <c r="AN659" s="636" t="n"/>
      <c r="AO659" s="636" t="n"/>
      <c r="AP659" s="636" t="n"/>
      <c r="AQ659" s="636" t="n"/>
      <c r="AR659" s="636" t="n"/>
      <c r="AS659" s="636" t="n"/>
    </row>
    <row r="660" ht="17" customHeight="1" s="1085" thickBot="1">
      <c r="A660" s="659" t="inlineStr">
        <is>
          <t>UVX-M</t>
        </is>
      </c>
      <c r="B660" s="631" t="n">
        <v>1500</v>
      </c>
      <c r="C660" s="631" t="n">
        <v>2000</v>
      </c>
      <c r="D660" s="651">
        <f>$A660&amp;B660&amp;C660</f>
        <v/>
      </c>
      <c r="E660" s="1040">
        <f>SUM(G660:AD660)</f>
        <v/>
      </c>
      <c r="F660" s="632" t="n">
        <v>21</v>
      </c>
      <c r="G660" s="633">
        <f>F660*CCBASE!$B$51</f>
        <v/>
      </c>
      <c r="H660" s="633">
        <f>CCBASE!$I$11*B660/1000</f>
        <v/>
      </c>
      <c r="I660" s="633" t="n"/>
      <c r="J660" s="633" t="n"/>
      <c r="K660" s="633" t="n"/>
      <c r="L660" s="638" t="n"/>
      <c r="M660" s="633">
        <f>CCBASE!$I$15*B660/1000</f>
        <v/>
      </c>
      <c r="N660" s="633">
        <f>CCBASE!$I$7*B660/1000</f>
        <v/>
      </c>
      <c r="O660" s="633">
        <f>CCBASE!$I$45*B660/1000</f>
        <v/>
      </c>
      <c r="P660" s="633">
        <f>CCBASE!$I$10</f>
        <v/>
      </c>
      <c r="Q660" s="633">
        <f>CCBASE!$I$51</f>
        <v/>
      </c>
      <c r="R660" s="633">
        <f>CCBASE!$I$4</f>
        <v/>
      </c>
      <c r="S660" s="633">
        <f>CCBASE!$I$8</f>
        <v/>
      </c>
      <c r="T660" s="632" t="n"/>
      <c r="U660" s="638">
        <f>CCBASE!$I$47</f>
        <v/>
      </c>
      <c r="V660" s="632" t="n"/>
      <c r="W660" s="633">
        <f>CCBASE!$I$43*B660/1000</f>
        <v/>
      </c>
      <c r="X660" s="633" t="n"/>
      <c r="Y660" s="633" t="n"/>
      <c r="Z660" s="633" t="n"/>
      <c r="AA660" s="633" t="n"/>
      <c r="AB660" s="633" t="n"/>
      <c r="AC660" s="633" t="n"/>
      <c r="AD660" s="652">
        <f>CCBASE!$I$35*2</f>
        <v/>
      </c>
      <c r="AI660" s="635" t="n"/>
      <c r="AJ660" s="635" t="n"/>
      <c r="AK660" s="636" t="n"/>
      <c r="AL660" s="636" t="n"/>
      <c r="AM660" s="636" t="n"/>
      <c r="AN660" s="636" t="n"/>
      <c r="AO660" s="636" t="n"/>
      <c r="AP660" s="636" t="n"/>
      <c r="AQ660" s="636" t="n"/>
      <c r="AR660" s="636" t="n"/>
      <c r="AS660" s="636" t="n"/>
    </row>
    <row r="661" ht="17" customHeight="1" s="1085" thickBot="1">
      <c r="A661" s="659" t="inlineStr">
        <is>
          <t>UVX-M</t>
        </is>
      </c>
      <c r="B661" s="631" t="n">
        <v>1750</v>
      </c>
      <c r="C661" s="631" t="n">
        <v>2000</v>
      </c>
      <c r="D661" s="651">
        <f>$A661&amp;B661&amp;C661</f>
        <v/>
      </c>
      <c r="E661" s="1040">
        <f>SUM(G661:AD661)</f>
        <v/>
      </c>
      <c r="F661" s="632" t="n">
        <v>21</v>
      </c>
      <c r="G661" s="633">
        <f>F661*CCBASE!$B$51</f>
        <v/>
      </c>
      <c r="H661" s="633">
        <f>CCBASE!$I$11*B661/1000</f>
        <v/>
      </c>
      <c r="I661" s="633" t="n"/>
      <c r="J661" s="633" t="n"/>
      <c r="K661" s="633" t="n"/>
      <c r="L661" s="638" t="n"/>
      <c r="M661" s="633">
        <f>CCBASE!$I$15*B661/1000</f>
        <v/>
      </c>
      <c r="N661" s="633">
        <f>CCBASE!$I$7*B661/1000</f>
        <v/>
      </c>
      <c r="O661" s="633">
        <f>CCBASE!$I$45*B661/1000</f>
        <v/>
      </c>
      <c r="P661" s="633">
        <f>CCBASE!$I$10</f>
        <v/>
      </c>
      <c r="Q661" s="633">
        <f>CCBASE!$I$51</f>
        <v/>
      </c>
      <c r="R661" s="633">
        <f>CCBASE!$I$4</f>
        <v/>
      </c>
      <c r="S661" s="633">
        <f>CCBASE!$I$8</f>
        <v/>
      </c>
      <c r="T661" s="632" t="n"/>
      <c r="U661" s="638">
        <f>CCBASE!$I$47</f>
        <v/>
      </c>
      <c r="V661" s="632" t="n"/>
      <c r="W661" s="633">
        <f>CCBASE!$I$43*B661/1000</f>
        <v/>
      </c>
      <c r="X661" s="633" t="n"/>
      <c r="Y661" s="633" t="n"/>
      <c r="Z661" s="633" t="n"/>
      <c r="AA661" s="633" t="n"/>
      <c r="AB661" s="633" t="n"/>
      <c r="AC661" s="633" t="n"/>
      <c r="AD661" s="652">
        <f>CCBASE!$I$35*2</f>
        <v/>
      </c>
      <c r="AI661" s="635" t="n"/>
      <c r="AJ661" s="635" t="n"/>
      <c r="AK661" s="636" t="n"/>
      <c r="AL661" s="636" t="n"/>
      <c r="AM661" s="636" t="n"/>
      <c r="AN661" s="636" t="n"/>
      <c r="AO661" s="636" t="n"/>
      <c r="AP661" s="636" t="n"/>
      <c r="AQ661" s="636" t="n"/>
      <c r="AR661" s="636" t="n"/>
      <c r="AS661" s="636" t="n"/>
    </row>
    <row r="662" ht="17" customHeight="1" s="1085" thickBot="1">
      <c r="A662" s="659" t="inlineStr">
        <is>
          <t>UVX-M</t>
        </is>
      </c>
      <c r="B662" s="631" t="n">
        <v>2000</v>
      </c>
      <c r="C662" s="631" t="n">
        <v>2000</v>
      </c>
      <c r="D662" s="651">
        <f>$A662&amp;B662&amp;C662</f>
        <v/>
      </c>
      <c r="E662" s="1040">
        <f>SUM(G662:AD662)</f>
        <v/>
      </c>
      <c r="F662" s="632" t="n">
        <v>21</v>
      </c>
      <c r="G662" s="633">
        <f>F662*CCBASE!$B$51</f>
        <v/>
      </c>
      <c r="H662" s="633">
        <f>CCBASE!$I$11*B662/1000</f>
        <v/>
      </c>
      <c r="I662" s="633" t="n"/>
      <c r="J662" s="633" t="n"/>
      <c r="K662" s="633" t="n"/>
      <c r="L662" s="638" t="n"/>
      <c r="M662" s="633">
        <f>CCBASE!$I$15*B662/1000</f>
        <v/>
      </c>
      <c r="N662" s="633">
        <f>CCBASE!$I$7*B662/1000</f>
        <v/>
      </c>
      <c r="O662" s="633">
        <f>CCBASE!$I$45*B662/1000</f>
        <v/>
      </c>
      <c r="P662" s="633">
        <f>CCBASE!$I$9</f>
        <v/>
      </c>
      <c r="Q662" s="633">
        <f>CCBASE!$I$51</f>
        <v/>
      </c>
      <c r="R662" s="633">
        <f>CCBASE!$I$4</f>
        <v/>
      </c>
      <c r="S662" s="633">
        <f>CCBASE!$I$8</f>
        <v/>
      </c>
      <c r="T662" s="632" t="n"/>
      <c r="U662" s="638">
        <f>CCBASE!$I$47</f>
        <v/>
      </c>
      <c r="V662" s="632" t="n"/>
      <c r="W662" s="633">
        <f>CCBASE!$I$43*B662/1000</f>
        <v/>
      </c>
      <c r="X662" s="633" t="n"/>
      <c r="Y662" s="633" t="n"/>
      <c r="Z662" s="633" t="n"/>
      <c r="AA662" s="633" t="n"/>
      <c r="AB662" s="633" t="n"/>
      <c r="AC662" s="633" t="n"/>
      <c r="AD662" s="652">
        <f>CCBASE!$I$35*2</f>
        <v/>
      </c>
      <c r="AI662" s="635" t="n"/>
      <c r="AJ662" s="635" t="n"/>
    </row>
    <row r="663" ht="17" customHeight="1" s="1085" thickBot="1">
      <c r="A663" s="659" t="inlineStr">
        <is>
          <t>UVX-M</t>
        </is>
      </c>
      <c r="B663" s="631" t="n">
        <v>2250</v>
      </c>
      <c r="C663" s="631" t="n">
        <v>2000</v>
      </c>
      <c r="D663" s="651">
        <f>$A663&amp;B663&amp;C663</f>
        <v/>
      </c>
      <c r="E663" s="1040">
        <f>SUM(G663:AD663)</f>
        <v/>
      </c>
      <c r="F663" s="632" t="n">
        <v>22</v>
      </c>
      <c r="G663" s="633">
        <f>F663*CCBASE!$B$51</f>
        <v/>
      </c>
      <c r="H663" s="633">
        <f>CCBASE!$I$11*B663/1000</f>
        <v/>
      </c>
      <c r="I663" s="633" t="n"/>
      <c r="J663" s="633" t="n"/>
      <c r="K663" s="633" t="n"/>
      <c r="L663" s="638" t="n"/>
      <c r="M663" s="633">
        <f>CCBASE!$I$15*B663/1000</f>
        <v/>
      </c>
      <c r="N663" s="633">
        <f>CCBASE!$I$7*B663/1000</f>
        <v/>
      </c>
      <c r="O663" s="633">
        <f>CCBASE!$I$45*B663/1000</f>
        <v/>
      </c>
      <c r="P663" s="633">
        <f>CCBASE!$I$9</f>
        <v/>
      </c>
      <c r="Q663" s="633">
        <f>CCBASE!$I$51</f>
        <v/>
      </c>
      <c r="R663" s="633">
        <f>CCBASE!$I$4</f>
        <v/>
      </c>
      <c r="S663" s="633">
        <f>CCBASE!$I$8</f>
        <v/>
      </c>
      <c r="T663" s="632" t="n"/>
      <c r="U663" s="638">
        <f>CCBASE!$I$47*2</f>
        <v/>
      </c>
      <c r="V663" s="632" t="n"/>
      <c r="W663" s="633">
        <f>CCBASE!$I$43*B663/1000</f>
        <v/>
      </c>
      <c r="X663" s="633" t="n"/>
      <c r="Y663" s="633" t="n"/>
      <c r="Z663" s="633" t="n"/>
      <c r="AA663" s="633" t="n"/>
      <c r="AB663" s="633" t="n"/>
      <c r="AC663" s="633" t="n"/>
      <c r="AD663" s="652">
        <f>CCBASE!$I$35*2</f>
        <v/>
      </c>
      <c r="AI663" s="635" t="n"/>
      <c r="AJ663" s="635" t="n"/>
      <c r="AR663" s="636" t="n"/>
      <c r="AS663" s="636" t="n"/>
    </row>
    <row r="664" ht="17" customHeight="1" s="1085" thickBot="1">
      <c r="A664" s="659" t="inlineStr">
        <is>
          <t>UVX-M</t>
        </is>
      </c>
      <c r="B664" s="631" t="n">
        <v>2500</v>
      </c>
      <c r="C664" s="631" t="n">
        <v>2000</v>
      </c>
      <c r="D664" s="651">
        <f>$A664&amp;B664&amp;C664</f>
        <v/>
      </c>
      <c r="E664" s="1040">
        <f>SUM(G664:AD664)</f>
        <v/>
      </c>
      <c r="F664" s="632" t="n">
        <v>22</v>
      </c>
      <c r="G664" s="633">
        <f>F664*CCBASE!$B$51</f>
        <v/>
      </c>
      <c r="H664" s="633">
        <f>CCBASE!$I$11*B664/1000</f>
        <v/>
      </c>
      <c r="I664" s="633" t="n"/>
      <c r="J664" s="633" t="n"/>
      <c r="K664" s="633" t="n"/>
      <c r="L664" s="638" t="n"/>
      <c r="M664" s="633">
        <f>CCBASE!$I$15*B664/1000</f>
        <v/>
      </c>
      <c r="N664" s="633">
        <f>CCBASE!$I$7*B664/1000</f>
        <v/>
      </c>
      <c r="O664" s="633">
        <f>CCBASE!$I$45*B664/1000</f>
        <v/>
      </c>
      <c r="P664" s="633">
        <f>CCBASE!$I$9</f>
        <v/>
      </c>
      <c r="Q664" s="633">
        <f>CCBASE!$I$51</f>
        <v/>
      </c>
      <c r="R664" s="633">
        <f>CCBASE!$I$4</f>
        <v/>
      </c>
      <c r="S664" s="633">
        <f>CCBASE!$I$8</f>
        <v/>
      </c>
      <c r="T664" s="632" t="n"/>
      <c r="U664" s="638">
        <f>CCBASE!$I$47*2</f>
        <v/>
      </c>
      <c r="V664" s="632" t="n"/>
      <c r="W664" s="633">
        <f>CCBASE!$I$43*B664/1000</f>
        <v/>
      </c>
      <c r="X664" s="633" t="n"/>
      <c r="Y664" s="633" t="n"/>
      <c r="Z664" s="633" t="n"/>
      <c r="AA664" s="633" t="n"/>
      <c r="AB664" s="633" t="n"/>
      <c r="AC664" s="633" t="n"/>
      <c r="AD664" s="652">
        <f>CCBASE!$I$35*2</f>
        <v/>
      </c>
      <c r="AI664" s="635" t="n"/>
      <c r="AJ664" s="635" t="n"/>
      <c r="AR664" s="636" t="n"/>
      <c r="AS664" s="636" t="n"/>
    </row>
    <row r="665" ht="17" customHeight="1" s="1085" thickBot="1">
      <c r="A665" s="659" t="inlineStr">
        <is>
          <t>UVX-M</t>
        </is>
      </c>
      <c r="B665" s="631" t="n">
        <v>2750</v>
      </c>
      <c r="C665" s="631" t="n">
        <v>2000</v>
      </c>
      <c r="D665" s="651">
        <f>$A665&amp;B665&amp;C665</f>
        <v/>
      </c>
      <c r="E665" s="1040">
        <f>SUM(G665:AD665)</f>
        <v/>
      </c>
      <c r="F665" s="632" t="n">
        <v>23</v>
      </c>
      <c r="G665" s="633">
        <f>F665*CCBASE!$B$51</f>
        <v/>
      </c>
      <c r="H665" s="633">
        <f>CCBASE!$I$11*B665/1000</f>
        <v/>
      </c>
      <c r="I665" s="633" t="n"/>
      <c r="J665" s="633" t="n"/>
      <c r="K665" s="633" t="n"/>
      <c r="L665" s="638" t="n"/>
      <c r="M665" s="633">
        <f>CCBASE!$I$15*B665/1000</f>
        <v/>
      </c>
      <c r="N665" s="633">
        <f>CCBASE!$I$7*B665/1000</f>
        <v/>
      </c>
      <c r="O665" s="633">
        <f>CCBASE!$I$45*B665/1000</f>
        <v/>
      </c>
      <c r="P665" s="633">
        <f>CCBASE!$I$9</f>
        <v/>
      </c>
      <c r="Q665" s="633">
        <f>CCBASE!$I$51</f>
        <v/>
      </c>
      <c r="R665" s="633">
        <f>CCBASE!$I$4</f>
        <v/>
      </c>
      <c r="S665" s="633">
        <f>CCBASE!$I$8</f>
        <v/>
      </c>
      <c r="T665" s="632" t="n"/>
      <c r="U665" s="638">
        <f>CCBASE!$I$47*2</f>
        <v/>
      </c>
      <c r="V665" s="632" t="n"/>
      <c r="W665" s="633">
        <f>CCBASE!$I$43*B665/1000</f>
        <v/>
      </c>
      <c r="X665" s="633" t="n"/>
      <c r="Y665" s="633" t="n"/>
      <c r="Z665" s="633" t="n"/>
      <c r="AA665" s="633" t="n"/>
      <c r="AB665" s="633" t="n"/>
      <c r="AC665" s="633" t="n"/>
      <c r="AD665" s="652">
        <f>CCBASE!$I$35*2</f>
        <v/>
      </c>
      <c r="AI665" s="635" t="n"/>
      <c r="AJ665" s="635" t="n"/>
      <c r="AK665" s="636" t="n"/>
      <c r="AL665" s="636" t="n"/>
      <c r="AM665" s="636" t="n"/>
      <c r="AN665" s="636" t="n"/>
      <c r="AO665" s="636" t="n"/>
      <c r="AP665" s="636" t="n"/>
      <c r="AQ665" s="636" t="n"/>
      <c r="AR665" s="636" t="n"/>
      <c r="AS665" s="636" t="n"/>
    </row>
    <row r="666" ht="17" customHeight="1" s="1085" thickBot="1">
      <c r="A666" s="659" t="inlineStr">
        <is>
          <t>UVX-M</t>
        </is>
      </c>
      <c r="B666" s="653" t="n">
        <v>3000</v>
      </c>
      <c r="C666" s="653" t="n">
        <v>2000</v>
      </c>
      <c r="D666" s="654">
        <f>$A666&amp;B666&amp;C666</f>
        <v/>
      </c>
      <c r="E666" s="1040">
        <f>SUM(G666:AD666)</f>
        <v/>
      </c>
      <c r="F666" s="632" t="n">
        <v>23</v>
      </c>
      <c r="G666" s="655">
        <f>F666*CCBASE!$B$51</f>
        <v/>
      </c>
      <c r="H666" s="655">
        <f>CCBASE!$I$11*B666/1000</f>
        <v/>
      </c>
      <c r="I666" s="655" t="n"/>
      <c r="J666" s="655" t="n"/>
      <c r="K666" s="655" t="n"/>
      <c r="L666" s="656" t="n"/>
      <c r="M666" s="655">
        <f>CCBASE!$I$15*B666/1000</f>
        <v/>
      </c>
      <c r="N666" s="655">
        <f>CCBASE!$I$7*B666/1000</f>
        <v/>
      </c>
      <c r="O666" s="655">
        <f>CCBASE!$I$45*B666/1000</f>
        <v/>
      </c>
      <c r="P666" s="655">
        <f>CCBASE!$I$9</f>
        <v/>
      </c>
      <c r="Q666" s="655">
        <f>CCBASE!$I$51</f>
        <v/>
      </c>
      <c r="R666" s="655">
        <f>CCBASE!$I$4</f>
        <v/>
      </c>
      <c r="S666" s="655">
        <f>CCBASE!$I$8</f>
        <v/>
      </c>
      <c r="T666" s="657" t="n"/>
      <c r="U666" s="656">
        <f>CCBASE!$I$47*2</f>
        <v/>
      </c>
      <c r="V666" s="657" t="n"/>
      <c r="W666" s="655">
        <f>CCBASE!$I$43*B666/1000</f>
        <v/>
      </c>
      <c r="X666" s="655" t="n"/>
      <c r="Y666" s="655" t="n"/>
      <c r="Z666" s="655" t="n"/>
      <c r="AA666" s="655" t="n"/>
      <c r="AB666" s="655" t="n"/>
      <c r="AC666" s="655" t="n"/>
      <c r="AD666" s="658">
        <f>CCBASE!$I$35*2</f>
        <v/>
      </c>
      <c r="AI666" s="635" t="n"/>
      <c r="AJ666" s="635" t="n"/>
      <c r="AK666" s="636" t="n"/>
      <c r="AL666" s="636" t="n"/>
      <c r="AM666" s="636" t="n"/>
      <c r="AN666" s="636" t="n"/>
      <c r="AO666" s="636" t="n"/>
      <c r="AP666" s="636" t="n"/>
      <c r="AQ666" s="636" t="n"/>
      <c r="AR666" s="636" t="n"/>
      <c r="AS666" s="636" t="n"/>
    </row>
    <row r="667">
      <c r="A667" s="660" t="inlineStr">
        <is>
          <t>UV-C POD</t>
        </is>
      </c>
      <c r="B667" s="631" t="n">
        <v>1500</v>
      </c>
      <c r="C667" s="631" t="n">
        <v>1000</v>
      </c>
      <c r="D667" s="651">
        <f>$A667&amp;B667&amp;C667</f>
        <v/>
      </c>
      <c r="E667" s="1040">
        <f>SUM(G667:AD667)</f>
        <v/>
      </c>
      <c r="F667" s="632" t="n">
        <v>20</v>
      </c>
      <c r="G667" s="633">
        <f>F667*CCBASE!$B$51</f>
        <v/>
      </c>
      <c r="H667" s="633" t="n"/>
      <c r="I667" s="633" t="n">
        <v>320</v>
      </c>
      <c r="J667" s="633" t="n">
        <v>50</v>
      </c>
      <c r="K667" s="633" t="n"/>
      <c r="L667" s="638" t="n"/>
      <c r="M667" s="638" t="n"/>
      <c r="N667" s="638" t="n"/>
      <c r="O667" s="638" t="n"/>
      <c r="P667" s="638" t="n"/>
      <c r="Q667" s="638" t="n"/>
      <c r="R667" s="638" t="n"/>
      <c r="S667" s="638" t="n"/>
      <c r="T667" s="638" t="n"/>
      <c r="U667" s="638" t="n"/>
      <c r="V667" s="638" t="n"/>
      <c r="W667" s="638" t="n"/>
      <c r="X667" s="638" t="n"/>
      <c r="Y667" s="638" t="n"/>
      <c r="Z667" s="638" t="n"/>
      <c r="AA667" s="638" t="n"/>
      <c r="AB667" s="638" t="n"/>
      <c r="AC667" s="638" t="n"/>
      <c r="AD667" s="638" t="n"/>
      <c r="AI667" s="635" t="n"/>
      <c r="AJ667" s="635" t="n"/>
      <c r="AR667" s="636" t="n"/>
      <c r="AS667" s="636" t="n"/>
    </row>
    <row r="668">
      <c r="A668" s="660" t="inlineStr">
        <is>
          <t>UV-C POD</t>
        </is>
      </c>
      <c r="B668" s="631" t="n">
        <v>2000</v>
      </c>
      <c r="C668" s="631" t="n">
        <v>1000</v>
      </c>
      <c r="D668" s="651">
        <f>$A668&amp;B668&amp;C668</f>
        <v/>
      </c>
      <c r="E668" s="1040">
        <f>SUM(G668:AD668)</f>
        <v/>
      </c>
      <c r="F668" s="632" t="n">
        <v>20</v>
      </c>
      <c r="G668" s="633">
        <f>F668*CCBASE!$B$51</f>
        <v/>
      </c>
      <c r="H668" s="633" t="n"/>
      <c r="I668" s="633" t="n">
        <v>426</v>
      </c>
      <c r="J668" s="633" t="n">
        <v>50</v>
      </c>
      <c r="K668" s="633" t="n"/>
      <c r="L668" s="638" t="n"/>
      <c r="M668" s="638" t="n"/>
      <c r="N668" s="638" t="n"/>
      <c r="O668" s="638" t="n"/>
      <c r="P668" s="638" t="n"/>
      <c r="Q668" s="638" t="n"/>
      <c r="R668" s="638" t="n"/>
      <c r="S668" s="638" t="n"/>
      <c r="T668" s="638" t="n"/>
      <c r="U668" s="638" t="n"/>
      <c r="V668" s="638" t="n"/>
      <c r="W668" s="638" t="n"/>
      <c r="X668" s="638" t="n"/>
      <c r="Y668" s="638" t="n"/>
      <c r="Z668" s="638" t="n"/>
      <c r="AA668" s="638" t="n"/>
      <c r="AB668" s="638" t="n"/>
      <c r="AC668" s="638" t="n"/>
      <c r="AD668" s="638" t="n"/>
      <c r="AI668" s="635" t="n"/>
      <c r="AJ668" s="635" t="n"/>
      <c r="AR668" s="636" t="n"/>
      <c r="AS668" s="636" t="n"/>
    </row>
    <row r="669">
      <c r="A669" s="660" t="inlineStr">
        <is>
          <t>UV-C POD</t>
        </is>
      </c>
      <c r="B669" s="631" t="n">
        <v>2500</v>
      </c>
      <c r="C669" s="631" t="n">
        <v>1000</v>
      </c>
      <c r="D669" s="651">
        <f>$A669&amp;B669&amp;C669</f>
        <v/>
      </c>
      <c r="E669" s="1040">
        <f>SUM(G669:AD669)</f>
        <v/>
      </c>
      <c r="F669" s="632" t="n">
        <v>20</v>
      </c>
      <c r="G669" s="633">
        <f>F669*CCBASE!$B$51</f>
        <v/>
      </c>
      <c r="H669" s="633" t="n"/>
      <c r="I669" s="633" t="n">
        <v>533</v>
      </c>
      <c r="J669" s="633" t="n">
        <v>50</v>
      </c>
      <c r="K669" s="633" t="n"/>
      <c r="L669" s="638" t="n"/>
      <c r="M669" s="638" t="n"/>
      <c r="N669" s="638" t="n"/>
      <c r="O669" s="638" t="n"/>
      <c r="P669" s="638" t="n"/>
      <c r="Q669" s="638" t="n"/>
      <c r="R669" s="638" t="n"/>
      <c r="S669" s="638" t="n"/>
      <c r="T669" s="638" t="n"/>
      <c r="U669" s="638" t="n"/>
      <c r="V669" s="638" t="n"/>
      <c r="W669" s="638" t="n"/>
      <c r="X669" s="638" t="n"/>
      <c r="Y669" s="638" t="n"/>
      <c r="Z669" s="638" t="n"/>
      <c r="AA669" s="638" t="n"/>
      <c r="AB669" s="638" t="n"/>
      <c r="AC669" s="638" t="n"/>
      <c r="AD669" s="638" t="n"/>
      <c r="AI669" s="635" t="n"/>
      <c r="AJ669" s="635" t="n"/>
      <c r="AK669" s="636" t="n"/>
      <c r="AL669" s="636" t="n"/>
      <c r="AM669" s="636" t="n"/>
      <c r="AN669" s="636" t="n"/>
      <c r="AO669" s="636" t="n"/>
      <c r="AP669" s="636" t="n"/>
      <c r="AQ669" s="636" t="n"/>
      <c r="AR669" s="636" t="n"/>
      <c r="AS669" s="636" t="n"/>
    </row>
    <row r="670" ht="17" customHeight="1" s="1085" thickBot="1">
      <c r="A670" s="660" t="inlineStr">
        <is>
          <t>UV-C POD</t>
        </is>
      </c>
      <c r="B670" s="653" t="n">
        <v>3000</v>
      </c>
      <c r="C670" s="653" t="n">
        <v>1000</v>
      </c>
      <c r="D670" s="654">
        <f>$A670&amp;B670&amp;C670</f>
        <v/>
      </c>
      <c r="E670" s="1040">
        <f>SUM(G670:AD670)</f>
        <v/>
      </c>
      <c r="F670" s="657" t="n">
        <v>20</v>
      </c>
      <c r="G670" s="655">
        <f>F670*CCBASE!$B$51</f>
        <v/>
      </c>
      <c r="H670" s="655" t="n"/>
      <c r="I670" s="655" t="n">
        <v>639</v>
      </c>
      <c r="J670" s="655" t="n">
        <v>50</v>
      </c>
      <c r="K670" s="655" t="n"/>
      <c r="L670" s="638" t="n"/>
      <c r="M670" s="638" t="n"/>
      <c r="N670" s="638" t="n"/>
      <c r="O670" s="638" t="n"/>
      <c r="P670" s="638" t="n"/>
      <c r="Q670" s="638" t="n"/>
      <c r="R670" s="638" t="n"/>
      <c r="S670" s="638" t="n"/>
      <c r="T670" s="638" t="n"/>
      <c r="U670" s="638" t="n"/>
      <c r="V670" s="638" t="n"/>
      <c r="W670" s="638" t="n"/>
      <c r="X670" s="638" t="n"/>
      <c r="Y670" s="638" t="n"/>
      <c r="Z670" s="638" t="n"/>
      <c r="AA670" s="638" t="n"/>
      <c r="AB670" s="638" t="n"/>
      <c r="AC670" s="638" t="n"/>
      <c r="AD670" s="638" t="n"/>
      <c r="AI670" s="635" t="n"/>
      <c r="AJ670" s="635" t="n"/>
      <c r="AK670" s="636" t="n"/>
      <c r="AL670" s="636" t="n"/>
      <c r="AM670" s="636" t="n"/>
      <c r="AN670" s="636" t="n"/>
      <c r="AO670" s="636" t="n"/>
      <c r="AP670" s="636" t="n"/>
      <c r="AQ670" s="636" t="n"/>
      <c r="AR670" s="636" t="n"/>
      <c r="AS670" s="636" t="n"/>
    </row>
  </sheetData>
  <conditionalFormatting sqref="A2:D670">
    <cfRule type="cellIs" priority="1" operator="greaterThan" dxfId="387">
      <formula>0</formula>
    </cfRule>
  </conditionalFormatting>
  <conditionalFormatting sqref="F2:AD670">
    <cfRule type="cellIs" priority="2" operator="greaterThan" dxfId="387">
      <formula>0</formula>
    </cfRule>
  </conditionalFormatting>
  <pageMargins left="0.7" right="0.7" top="0.75" bottom="0.75" header="0.3" footer="0.3"/>
  <pageSetup orientation="portrait" paperSize="9" verticalDpi="0"/>
</worksheet>
</file>

<file path=xl/worksheets/sheet57.xml><?xml version="1.0" encoding="utf-8"?>
<worksheet xmlns="http://schemas.openxmlformats.org/spreadsheetml/2006/main">
  <sheetPr codeName="Sheet12">
    <tabColor rgb="FFFF0000"/>
    <outlinePr summaryBelow="1" summaryRight="1"/>
    <pageSetUpPr fitToPage="1"/>
  </sheetPr>
  <dimension ref="A1:Q89"/>
  <sheetViews>
    <sheetView topLeftCell="A30" zoomScale="85" zoomScaleNormal="85" workbookViewId="0">
      <selection activeCell="E51" sqref="E51"/>
    </sheetView>
  </sheetViews>
  <sheetFormatPr baseColWidth="10" defaultColWidth="8.83203125" defaultRowHeight="13"/>
  <cols>
    <col width="35.5" bestFit="1" customWidth="1" style="426" min="1" max="1"/>
    <col width="12.5" bestFit="1" customWidth="1" style="426" min="2" max="2"/>
    <col width="19.1640625" bestFit="1" customWidth="1" style="426" min="3" max="3"/>
    <col width="26.1640625" bestFit="1" customWidth="1" style="426" min="4" max="4"/>
    <col width="12.5" bestFit="1" customWidth="1" style="426" min="5" max="5"/>
    <col width="14" bestFit="1" customWidth="1" style="426" min="6" max="6"/>
    <col width="14.33203125" bestFit="1" customWidth="1" style="426" min="7" max="7"/>
    <col width="16.6640625" bestFit="1" customWidth="1" style="426" min="8" max="8"/>
    <col width="13.33203125" bestFit="1" customWidth="1" style="426" min="9" max="10"/>
    <col width="12.5" bestFit="1" customWidth="1" style="426" min="11" max="11"/>
    <col width="14.33203125" bestFit="1" customWidth="1" style="426" min="12" max="12"/>
    <col width="16.6640625" bestFit="1" customWidth="1" style="426" min="13" max="13"/>
    <col width="13.33203125" bestFit="1" customWidth="1" style="426" min="14" max="14"/>
    <col width="7.33203125" customWidth="1" style="426" min="15" max="15"/>
    <col width="29.1640625" customWidth="1" style="426" min="16" max="16"/>
    <col width="21.6640625" bestFit="1" customWidth="1" style="426" min="17" max="17"/>
    <col width="8.83203125" customWidth="1" style="426" min="18" max="18"/>
    <col width="8.83203125" customWidth="1" style="426" min="19" max="16384"/>
  </cols>
  <sheetData>
    <row r="1" ht="16" customHeight="1" s="1085">
      <c r="A1" s="443" t="inlineStr">
        <is>
          <t>PRICES JUL 2023</t>
        </is>
      </c>
      <c r="B1" s="444" t="n"/>
      <c r="C1" s="445" t="n"/>
      <c r="D1" s="444" t="n"/>
      <c r="E1" s="444" t="n"/>
      <c r="F1" s="445" t="n"/>
      <c r="G1" s="445" t="n"/>
      <c r="H1" s="445" t="n"/>
      <c r="I1" s="445" t="n"/>
      <c r="J1" s="428" t="n"/>
      <c r="K1" s="428" t="n"/>
      <c r="L1" s="428" t="n"/>
      <c r="M1" s="427" t="n"/>
      <c r="N1" s="427" t="n"/>
      <c r="O1" s="427" t="n"/>
      <c r="P1" s="427" t="n"/>
      <c r="Q1" s="427" t="n"/>
    </row>
    <row r="2">
      <c r="A2" s="430" t="n"/>
      <c r="B2" s="430" t="n"/>
      <c r="C2" s="430" t="n"/>
      <c r="D2" s="430" t="n"/>
      <c r="E2" s="430" t="n"/>
      <c r="F2" s="430" t="n"/>
      <c r="G2" s="430" t="n"/>
      <c r="H2" s="430" t="n"/>
      <c r="I2" s="430" t="n"/>
      <c r="J2" s="430" t="n"/>
      <c r="K2" s="430" t="n"/>
      <c r="L2" s="430" t="n"/>
      <c r="M2" s="429" t="n"/>
      <c r="N2" s="430" t="n"/>
      <c r="O2" s="430" t="n"/>
      <c r="P2" s="430" t="n"/>
      <c r="Q2" s="430" t="n"/>
    </row>
    <row r="3" ht="14" customHeight="1" s="1085">
      <c r="A3" s="456" t="n"/>
      <c r="B3" s="454" t="inlineStr">
        <is>
          <t>Material</t>
        </is>
      </c>
      <c r="C3" s="457" t="inlineStr">
        <is>
          <t>Material Price m²</t>
        </is>
      </c>
      <c r="D3" s="454" t="inlineStr">
        <is>
          <t>Sq. Metres</t>
        </is>
      </c>
      <c r="E3" s="457" t="inlineStr">
        <is>
          <t>Sub Total</t>
        </is>
      </c>
      <c r="F3" s="457" t="inlineStr">
        <is>
          <t>Scrap</t>
        </is>
      </c>
      <c r="G3" s="457" t="inlineStr">
        <is>
          <t>Locks</t>
        </is>
      </c>
      <c r="H3" s="457" t="inlineStr">
        <is>
          <t>Hinges</t>
        </is>
      </c>
      <c r="I3" s="454" t="inlineStr">
        <is>
          <t>Total</t>
        </is>
      </c>
      <c r="J3" s="428" t="n"/>
      <c r="K3" s="430" t="n"/>
      <c r="L3" s="430" t="n"/>
      <c r="M3" s="430" t="n"/>
    </row>
    <row r="4">
      <c r="A4" s="458" t="inlineStr">
        <is>
          <t>GREASE DRAWER</t>
        </is>
      </c>
      <c r="B4" s="455" t="inlineStr">
        <is>
          <t>SC2</t>
        </is>
      </c>
      <c r="C4" s="435">
        <f>HLOOKUP(B4,$A$50:$N$51,2,FALSE)</f>
        <v/>
      </c>
      <c r="D4" s="455" t="n">
        <v>0.142</v>
      </c>
      <c r="E4" s="436">
        <f>C4*D4</f>
        <v/>
      </c>
      <c r="F4" s="436">
        <f>E4*$A$51</f>
        <v/>
      </c>
      <c r="G4" s="435" t="n"/>
      <c r="H4" s="435" t="n"/>
      <c r="I4" s="437">
        <f>SUM(E4:H4)</f>
        <v/>
      </c>
      <c r="J4" s="438" t="n"/>
    </row>
    <row r="5">
      <c r="A5" s="458" t="inlineStr">
        <is>
          <t>PERF FRONT PANEL FRAME</t>
        </is>
      </c>
      <c r="B5" s="441" t="inlineStr">
        <is>
          <t>SC2</t>
        </is>
      </c>
      <c r="C5" s="435">
        <f>HLOOKUP(B5,$A$50:$N$51,2,FALSE)</f>
        <v/>
      </c>
      <c r="D5" s="441" t="n">
        <v>0.793</v>
      </c>
      <c r="E5" s="436">
        <f>C5*D5</f>
        <v/>
      </c>
      <c r="F5" s="436">
        <f>E5*$A$51</f>
        <v/>
      </c>
      <c r="G5" s="435" t="n"/>
      <c r="H5" s="435" t="n"/>
      <c r="I5" s="437">
        <f>SUM(E5:H5)</f>
        <v/>
      </c>
      <c r="J5" s="438" t="n"/>
    </row>
    <row r="6">
      <c r="A6" s="458" t="inlineStr">
        <is>
          <t>PERF FRONT PANEL C</t>
        </is>
      </c>
      <c r="B6" s="441" t="inlineStr">
        <is>
          <t>SC2</t>
        </is>
      </c>
      <c r="C6" s="435">
        <f>HLOOKUP(B6,$A$50:$N$51,2,FALSE)</f>
        <v/>
      </c>
      <c r="D6" s="441" t="n">
        <v>2.05</v>
      </c>
      <c r="E6" s="436">
        <f>C6*D6</f>
        <v/>
      </c>
      <c r="F6" s="436">
        <f>E6*$A$51</f>
        <v/>
      </c>
      <c r="G6" s="435" t="n"/>
      <c r="H6" s="435" t="n"/>
      <c r="I6" s="437">
        <f>SUM(E6:H6)</f>
        <v/>
      </c>
      <c r="J6" s="438" t="n"/>
    </row>
    <row r="7">
      <c r="A7" s="458" t="inlineStr">
        <is>
          <t>PERF PANEL 1000MM</t>
        </is>
      </c>
      <c r="B7" s="441" t="inlineStr">
        <is>
          <t>PERF30</t>
        </is>
      </c>
      <c r="C7" s="788">
        <f>HLOOKUP(B7,$A$50:$N$51,2,FALSE)</f>
        <v/>
      </c>
      <c r="D7" s="441" t="n">
        <v>0.77</v>
      </c>
      <c r="E7" s="436">
        <f>C7*D7</f>
        <v/>
      </c>
      <c r="F7" s="436">
        <f>E7*$A$51</f>
        <v/>
      </c>
      <c r="G7" s="435" t="n"/>
      <c r="H7" s="435" t="n"/>
      <c r="I7" s="437">
        <f>SUM(E7:H7)</f>
        <v/>
      </c>
      <c r="J7" s="438" t="n"/>
    </row>
    <row r="8">
      <c r="A8" s="458" t="inlineStr">
        <is>
          <t>SLIDING PLATE DAMPERS</t>
        </is>
      </c>
      <c r="B8" s="441" t="inlineStr">
        <is>
          <t>SC1</t>
        </is>
      </c>
      <c r="C8" s="435">
        <f>HLOOKUP(B8,$A$50:$N$51,2,FALSE)</f>
        <v/>
      </c>
      <c r="D8" s="441" t="n">
        <v>0.3</v>
      </c>
      <c r="E8" s="436">
        <f>C8*D8</f>
        <v/>
      </c>
      <c r="F8" s="436">
        <f>E8*$A$51</f>
        <v/>
      </c>
      <c r="G8" s="435" t="n"/>
      <c r="H8" s="435" t="n"/>
      <c r="I8" s="437">
        <f>SUM(E8:H8)</f>
        <v/>
      </c>
      <c r="J8" s="434" t="n"/>
    </row>
    <row r="9">
      <c r="A9" s="458" t="inlineStr">
        <is>
          <t>UV DOORS LONG</t>
        </is>
      </c>
      <c r="B9" s="441" t="inlineStr">
        <is>
          <t>SC2</t>
        </is>
      </c>
      <c r="C9" s="435">
        <f>HLOOKUP(B9,$A$50:$N$51,2,FALSE)</f>
        <v/>
      </c>
      <c r="D9" s="441" t="n">
        <v>0.373</v>
      </c>
      <c r="E9" s="439">
        <f>C9*D9</f>
        <v/>
      </c>
      <c r="F9" s="439">
        <f>E9*$A$51</f>
        <v/>
      </c>
      <c r="G9" s="435">
        <f>$C$51</f>
        <v/>
      </c>
      <c r="H9" s="435">
        <f>$D$51</f>
        <v/>
      </c>
      <c r="I9" s="437">
        <f>SUM(E9:H9)</f>
        <v/>
      </c>
      <c r="J9" s="438" t="n"/>
    </row>
    <row r="10">
      <c r="A10" s="458" t="inlineStr">
        <is>
          <t>UV DOORS SHORT</t>
        </is>
      </c>
      <c r="B10" s="441" t="inlineStr">
        <is>
          <t>SC2</t>
        </is>
      </c>
      <c r="C10" s="435">
        <f>HLOOKUP(B10,$A$50:$N$51,2,FALSE)</f>
        <v/>
      </c>
      <c r="D10" s="441" t="n">
        <v>0.22</v>
      </c>
      <c r="E10" s="439">
        <f>C10*D10</f>
        <v/>
      </c>
      <c r="F10" s="439">
        <f>E10*$A$51</f>
        <v/>
      </c>
      <c r="G10" s="435">
        <f>$C$51</f>
        <v/>
      </c>
      <c r="H10" s="435">
        <f>$D$51</f>
        <v/>
      </c>
      <c r="I10" s="437">
        <f>SUM(E10:H10)</f>
        <v/>
      </c>
      <c r="J10" s="434" t="n"/>
    </row>
    <row r="11">
      <c r="A11" s="458" t="inlineStr">
        <is>
          <t xml:space="preserve">UV-C EXTRACT PLENUM 1000MM </t>
        </is>
      </c>
      <c r="B11" s="441" t="inlineStr">
        <is>
          <t>SC2</t>
        </is>
      </c>
      <c r="C11" s="435">
        <f>HLOOKUP(B11,$A$50:$N$51,2,FALSE)</f>
        <v/>
      </c>
      <c r="D11" s="441" t="n">
        <v>2.722</v>
      </c>
      <c r="E11" s="435">
        <f>C11*D11</f>
        <v/>
      </c>
      <c r="F11" s="435">
        <f>E11*$A$51</f>
        <v/>
      </c>
      <c r="G11" s="435" t="n"/>
      <c r="H11" s="435" t="n"/>
      <c r="I11" s="437">
        <f>SUM(E11:H11)</f>
        <v/>
      </c>
      <c r="J11" s="434" t="n"/>
    </row>
    <row r="12">
      <c r="A12" s="458" t="inlineStr">
        <is>
          <t>KVX EXTRACT PLENUM 1000MM</t>
        </is>
      </c>
      <c r="B12" s="441" t="inlineStr">
        <is>
          <t>SC2</t>
        </is>
      </c>
      <c r="C12" s="435">
        <f>HLOOKUP(B12,$A$50:$N$51,2,FALSE)</f>
        <v/>
      </c>
      <c r="D12" s="441" t="n">
        <v>2.023</v>
      </c>
      <c r="E12" s="435">
        <f>C12*D12</f>
        <v/>
      </c>
      <c r="F12" s="435">
        <f>E12*$A$51</f>
        <v/>
      </c>
      <c r="G12" s="435" t="n"/>
      <c r="H12" s="435" t="n"/>
      <c r="I12" s="437">
        <f>SUM(E12:H12)</f>
        <v/>
      </c>
      <c r="J12" s="438" t="n"/>
    </row>
    <row r="13">
      <c r="A13" s="458" t="inlineStr">
        <is>
          <t>KVF CJ PLENUM 1000MM</t>
        </is>
      </c>
      <c r="B13" s="441" t="inlineStr">
        <is>
          <t>SC2</t>
        </is>
      </c>
      <c r="C13" s="435">
        <f>HLOOKUP(B13,$A$50:$N$51,2,FALSE)</f>
        <v/>
      </c>
      <c r="D13" s="441" t="n">
        <v>4.05</v>
      </c>
      <c r="E13" s="435">
        <f>C13*D13</f>
        <v/>
      </c>
      <c r="F13" s="435">
        <f>E13*$A$51</f>
        <v/>
      </c>
      <c r="G13" s="435" t="n"/>
      <c r="H13" s="435" t="n"/>
      <c r="I13" s="437">
        <f>SUM(E13:H13)</f>
        <v/>
      </c>
      <c r="J13" s="438" t="n"/>
    </row>
    <row r="14">
      <c r="A14" s="458" t="inlineStr">
        <is>
          <t>KVI CJ EXTRACT PLENUM 1000MM</t>
        </is>
      </c>
      <c r="B14" s="441" t="inlineStr">
        <is>
          <t>SC2</t>
        </is>
      </c>
      <c r="C14" s="435">
        <f>HLOOKUP(B14,$A$50:$N$51,2,FALSE)</f>
        <v/>
      </c>
      <c r="D14" s="441" t="n">
        <v>3.54</v>
      </c>
      <c r="E14" s="435">
        <f>C14*D14</f>
        <v/>
      </c>
      <c r="F14" s="435">
        <f>E14*$A$51</f>
        <v/>
      </c>
      <c r="G14" s="435" t="n"/>
      <c r="H14" s="435" t="n"/>
      <c r="I14" s="437">
        <f>SUM(E14:H14)</f>
        <v/>
      </c>
      <c r="J14" s="438" t="n"/>
    </row>
    <row r="15">
      <c r="A15" s="458" t="inlineStr">
        <is>
          <t>KVX FRONT PANEL 1000MM</t>
        </is>
      </c>
      <c r="B15" s="441" t="inlineStr">
        <is>
          <t>SC2</t>
        </is>
      </c>
      <c r="C15" s="435">
        <f>HLOOKUP(B15,$A$50:$N$51,2,FALSE)</f>
        <v/>
      </c>
      <c r="D15" s="441" t="n">
        <v>1.35</v>
      </c>
      <c r="E15" s="435">
        <f>C15*D15</f>
        <v/>
      </c>
      <c r="F15" s="435">
        <f>E15*$A$51</f>
        <v/>
      </c>
      <c r="G15" s="435" t="n"/>
      <c r="H15" s="435" t="n"/>
      <c r="I15" s="437">
        <f>SUM(E15:H15)</f>
        <v/>
      </c>
      <c r="J15" s="438" t="n"/>
      <c r="K15" s="438" t="n"/>
    </row>
    <row r="16">
      <c r="A16" s="458" t="inlineStr">
        <is>
          <t>C EXTRACT PLENUM -1250</t>
        </is>
      </c>
      <c r="B16" s="441" t="inlineStr">
        <is>
          <t>SC2</t>
        </is>
      </c>
      <c r="C16" s="435">
        <f>HLOOKUP(B16,$A$50:$N$51,2,FALSE)</f>
        <v/>
      </c>
      <c r="D16" s="441" t="n">
        <v>1.3357</v>
      </c>
      <c r="E16" s="435">
        <f>C16*D16</f>
        <v/>
      </c>
      <c r="F16" s="435">
        <f>E16*$A$51</f>
        <v/>
      </c>
      <c r="G16" s="435" t="n"/>
      <c r="H16" s="435" t="n"/>
      <c r="I16" s="437">
        <f>SUM(E16:H16)</f>
        <v/>
      </c>
      <c r="J16" s="438" t="n"/>
    </row>
    <row r="17">
      <c r="A17" s="458" t="inlineStr">
        <is>
          <t>C EXTRACT PLENUM -1500</t>
        </is>
      </c>
      <c r="B17" s="441" t="inlineStr">
        <is>
          <t>SC2</t>
        </is>
      </c>
      <c r="C17" s="435">
        <f>HLOOKUP(B17,$A$50:$N$51,2,FALSE)</f>
        <v/>
      </c>
      <c r="D17" s="441" t="n">
        <v>1.669</v>
      </c>
      <c r="E17" s="435">
        <f>C17*D17</f>
        <v/>
      </c>
      <c r="F17" s="435">
        <f>E17*$A$51</f>
        <v/>
      </c>
      <c r="G17" s="435" t="n"/>
      <c r="H17" s="435" t="n"/>
      <c r="I17" s="437">
        <f>SUM(E17:H17)</f>
        <v/>
      </c>
      <c r="J17" s="438" t="n"/>
    </row>
    <row r="18">
      <c r="A18" s="458" t="inlineStr">
        <is>
          <t>C EXTRACT PLENUM -1750</t>
        </is>
      </c>
      <c r="B18" s="441" t="inlineStr">
        <is>
          <t>SC2</t>
        </is>
      </c>
      <c r="C18" s="435">
        <f>HLOOKUP(B18,$A$50:$N$51,2,FALSE)</f>
        <v/>
      </c>
      <c r="D18" s="441" t="n">
        <v>2.57</v>
      </c>
      <c r="E18" s="435">
        <f>C18*D18</f>
        <v/>
      </c>
      <c r="F18" s="435">
        <f>E18*$A$51</f>
        <v/>
      </c>
      <c r="G18" s="435" t="n"/>
      <c r="H18" s="435" t="n"/>
      <c r="I18" s="437">
        <f>SUM(E18:H18)</f>
        <v/>
      </c>
      <c r="J18" s="438" t="n"/>
    </row>
    <row r="19">
      <c r="A19" s="458" t="inlineStr">
        <is>
          <t>C EXTRACT PLENUM - 2000</t>
        </is>
      </c>
      <c r="B19" s="441" t="inlineStr">
        <is>
          <t>SC2</t>
        </is>
      </c>
      <c r="C19" s="435">
        <f>HLOOKUP(B19,$A$50:$N$51,2,FALSE)</f>
        <v/>
      </c>
      <c r="D19" s="441" t="n">
        <v>2.8</v>
      </c>
      <c r="E19" s="435">
        <f>C19*D19</f>
        <v/>
      </c>
      <c r="F19" s="435">
        <f>E19*$A$51</f>
        <v/>
      </c>
      <c r="G19" s="435" t="n"/>
      <c r="H19" s="435" t="n"/>
      <c r="I19" s="437">
        <f>SUM(E19:H19)</f>
        <v/>
      </c>
      <c r="J19" s="438" t="n"/>
    </row>
    <row r="20">
      <c r="A20" s="458" t="inlineStr">
        <is>
          <t>CMW EXTRACT PLENUM BODY</t>
        </is>
      </c>
      <c r="B20" s="441" t="inlineStr">
        <is>
          <t>SC2</t>
        </is>
      </c>
      <c r="C20" s="435">
        <f>HLOOKUP(B20,$A$50:$N$51,2,FALSE)</f>
        <v/>
      </c>
      <c r="D20" s="441" t="n">
        <v>1.465</v>
      </c>
      <c r="E20" s="435">
        <f>C20*D20</f>
        <v/>
      </c>
      <c r="F20" s="435">
        <f>E20*$A$51</f>
        <v/>
      </c>
      <c r="G20" s="435" t="n"/>
      <c r="H20" s="435" t="n"/>
      <c r="I20" s="437">
        <f>SUM(E20:H20)</f>
        <v/>
      </c>
      <c r="J20" s="438" t="n"/>
    </row>
    <row r="21">
      <c r="A21" s="458" t="inlineStr">
        <is>
          <t>CX-W BODY - 1000</t>
        </is>
      </c>
      <c r="B21" s="441" t="inlineStr">
        <is>
          <t>SC2</t>
        </is>
      </c>
      <c r="C21" s="435">
        <f>HLOOKUP(B21,$A$50:$N$51,2,FALSE)</f>
        <v/>
      </c>
      <c r="D21" s="441" t="n">
        <v>3.7</v>
      </c>
      <c r="E21" s="435">
        <f>C21*D21</f>
        <v/>
      </c>
      <c r="F21" s="435">
        <f>E21*$A$51</f>
        <v/>
      </c>
      <c r="G21" s="435" t="n"/>
      <c r="H21" s="435" t="n"/>
      <c r="I21" s="437">
        <f>SUM(E21:H21)</f>
        <v/>
      </c>
      <c r="J21" s="438" t="n"/>
      <c r="N21" s="427" t="n"/>
      <c r="O21" s="427" t="n"/>
      <c r="P21" s="427" t="n"/>
      <c r="Q21" s="427" t="n"/>
    </row>
    <row r="22">
      <c r="A22" s="458" t="inlineStr">
        <is>
          <t>CX-W BODY - 1250</t>
        </is>
      </c>
      <c r="B22" s="441" t="inlineStr">
        <is>
          <t>SC2</t>
        </is>
      </c>
      <c r="C22" s="435">
        <f>HLOOKUP(B22,$A$50:$N$51,2,FALSE)</f>
        <v/>
      </c>
      <c r="D22" s="441" t="n">
        <v>4.2</v>
      </c>
      <c r="E22" s="435">
        <f>C22*D22</f>
        <v/>
      </c>
      <c r="F22" s="435">
        <f>E22*$A$51</f>
        <v/>
      </c>
      <c r="G22" s="435" t="n"/>
      <c r="H22" s="435" t="n"/>
      <c r="I22" s="437">
        <f>SUM(E22:H22)</f>
        <v/>
      </c>
      <c r="J22" s="438" t="n"/>
      <c r="K22" s="787" t="n"/>
      <c r="M22" s="427" t="n"/>
      <c r="N22" s="427" t="n"/>
      <c r="O22" s="427" t="n"/>
      <c r="P22" s="427" t="n"/>
      <c r="Q22" s="427" t="n"/>
    </row>
    <row r="23">
      <c r="A23" s="458" t="inlineStr">
        <is>
          <t>CX-W BODY - 1500</t>
        </is>
      </c>
      <c r="B23" s="441" t="inlineStr">
        <is>
          <t>SC2</t>
        </is>
      </c>
      <c r="C23" s="435">
        <f>HLOOKUP(B23,$A$50:$N$51,2,FALSE)</f>
        <v/>
      </c>
      <c r="D23" s="441" t="n">
        <v>4.85</v>
      </c>
      <c r="E23" s="435">
        <f>C23*D23</f>
        <v/>
      </c>
      <c r="F23" s="435">
        <f>E23*$A$51</f>
        <v/>
      </c>
      <c r="G23" s="435" t="n"/>
      <c r="H23" s="435" t="n"/>
      <c r="I23" s="437">
        <f>SUM(E23:H23)</f>
        <v/>
      </c>
      <c r="J23" s="438" t="n"/>
      <c r="M23" s="427" t="n"/>
      <c r="N23" s="427" t="n"/>
      <c r="O23" s="427" t="n"/>
      <c r="P23" s="427" t="n"/>
      <c r="Q23" s="427" t="n"/>
    </row>
    <row r="24">
      <c r="A24" s="458" t="inlineStr">
        <is>
          <t>CX-W BODY - 1750</t>
        </is>
      </c>
      <c r="B24" s="441" t="inlineStr">
        <is>
          <t>SC2</t>
        </is>
      </c>
      <c r="C24" s="435">
        <f>HLOOKUP(B24,$A$50:$N$51,2,FALSE)</f>
        <v/>
      </c>
      <c r="D24" s="441" t="n">
        <v>7</v>
      </c>
      <c r="E24" s="435">
        <f>C24*D24</f>
        <v/>
      </c>
      <c r="F24" s="435">
        <f>E24*$A$51</f>
        <v/>
      </c>
      <c r="G24" s="435" t="n"/>
      <c r="H24" s="435" t="n"/>
      <c r="I24" s="437">
        <f>SUM(E24:H24)</f>
        <v/>
      </c>
      <c r="J24" s="438" t="n"/>
      <c r="M24" s="427" t="n"/>
      <c r="N24" s="427" t="n"/>
      <c r="O24" s="427" t="n"/>
      <c r="P24" s="427" t="n"/>
      <c r="Q24" s="427" t="n"/>
    </row>
    <row r="25">
      <c r="A25" s="458" t="inlineStr">
        <is>
          <t>CX-W BODY - 2000</t>
        </is>
      </c>
      <c r="B25" s="441" t="inlineStr">
        <is>
          <t>SC2</t>
        </is>
      </c>
      <c r="C25" s="435">
        <f>HLOOKUP(B25,$A$50:$N$51,2,FALSE)</f>
        <v/>
      </c>
      <c r="D25" s="441" t="n">
        <v>7.75</v>
      </c>
      <c r="E25" s="435">
        <f>C25*D25</f>
        <v/>
      </c>
      <c r="F25" s="435">
        <f>E25*$A$51</f>
        <v/>
      </c>
      <c r="G25" s="435" t="n"/>
      <c r="H25" s="435" t="n"/>
      <c r="I25" s="437">
        <f>SUM(E25:H25)</f>
        <v/>
      </c>
      <c r="J25" s="438" t="n"/>
      <c r="M25" s="427" t="n"/>
      <c r="N25" s="427" t="n"/>
      <c r="O25" s="427" t="n"/>
      <c r="P25" s="427" t="n"/>
      <c r="Q25" s="427" t="n"/>
    </row>
    <row r="26">
      <c r="A26" s="458" t="inlineStr">
        <is>
          <t>KVV BODY - 1000</t>
        </is>
      </c>
      <c r="B26" s="441" t="inlineStr">
        <is>
          <t>SC2</t>
        </is>
      </c>
      <c r="C26" s="435">
        <f>HLOOKUP(B26,$A$50:$N$51,2,FALSE)</f>
        <v/>
      </c>
      <c r="D26" s="441" t="n">
        <v>4.5</v>
      </c>
      <c r="E26" s="435">
        <f>C26*D26</f>
        <v/>
      </c>
      <c r="F26" s="435">
        <f>E26*$A$51</f>
        <v/>
      </c>
      <c r="G26" s="435" t="n"/>
      <c r="H26" s="435" t="n"/>
      <c r="I26" s="437">
        <f>SUM(E26:H26)</f>
        <v/>
      </c>
      <c r="J26" s="438" t="n"/>
      <c r="M26" s="427" t="n"/>
      <c r="N26" s="427" t="n"/>
      <c r="O26" s="427" t="n"/>
      <c r="P26" s="427" t="n"/>
      <c r="Q26" s="427" t="n"/>
    </row>
    <row r="27">
      <c r="A27" s="458" t="inlineStr">
        <is>
          <t>KVV BODY - 1250</t>
        </is>
      </c>
      <c r="B27" s="441" t="inlineStr">
        <is>
          <t>SC2</t>
        </is>
      </c>
      <c r="C27" s="435">
        <f>HLOOKUP(B27,$A$50:$N$51,2,FALSE)</f>
        <v/>
      </c>
      <c r="D27" s="441" t="n">
        <v>5.6</v>
      </c>
      <c r="E27" s="435">
        <f>C27*D27</f>
        <v/>
      </c>
      <c r="F27" s="435">
        <f>E27*$A$51</f>
        <v/>
      </c>
      <c r="G27" s="435" t="n"/>
      <c r="H27" s="435" t="n"/>
      <c r="I27" s="437">
        <f>SUM(E27:H27)</f>
        <v/>
      </c>
      <c r="J27" s="438" t="n"/>
      <c r="M27" s="427" t="n"/>
      <c r="N27" s="427" t="n"/>
      <c r="O27" s="427" t="n"/>
      <c r="P27" s="427" t="n"/>
      <c r="Q27" s="427" t="n"/>
    </row>
    <row r="28">
      <c r="A28" s="458" t="inlineStr">
        <is>
          <t>KVV BODY - 1500</t>
        </is>
      </c>
      <c r="B28" s="441" t="inlineStr">
        <is>
          <t>SC2</t>
        </is>
      </c>
      <c r="C28" s="435">
        <f>HLOOKUP(B28,$A$50:$N$51,2,FALSE)</f>
        <v/>
      </c>
      <c r="D28" s="441" t="n">
        <v>6.75</v>
      </c>
      <c r="E28" s="435">
        <f>C28*D28</f>
        <v/>
      </c>
      <c r="F28" s="435">
        <f>E28*$A$51</f>
        <v/>
      </c>
      <c r="G28" s="435" t="n"/>
      <c r="H28" s="435" t="n"/>
      <c r="I28" s="437">
        <f>SUM(E28:H28)</f>
        <v/>
      </c>
      <c r="J28" s="438" t="n"/>
      <c r="M28" s="427" t="n"/>
      <c r="N28" s="427" t="n"/>
      <c r="O28" s="427" t="n"/>
      <c r="P28" s="427" t="n"/>
      <c r="Q28" s="427" t="n"/>
    </row>
    <row r="29">
      <c r="A29" s="458" t="inlineStr">
        <is>
          <t>KVV BODY - 1750</t>
        </is>
      </c>
      <c r="B29" s="441" t="inlineStr">
        <is>
          <t>SC2</t>
        </is>
      </c>
      <c r="C29" s="435">
        <f>HLOOKUP(B29,$A$50:$N$51,2,FALSE)</f>
        <v/>
      </c>
      <c r="D29" s="441" t="n">
        <v>7.88</v>
      </c>
      <c r="E29" s="435">
        <f>C29*D29</f>
        <v/>
      </c>
      <c r="F29" s="435">
        <f>E29*$A$51</f>
        <v/>
      </c>
      <c r="G29" s="435" t="n"/>
      <c r="H29" s="435" t="n"/>
      <c r="I29" s="437">
        <f>SUM(E29:H29)</f>
        <v/>
      </c>
      <c r="J29" s="438" t="n"/>
      <c r="M29" s="427" t="n"/>
      <c r="N29" s="427" t="n"/>
      <c r="O29" s="427" t="n"/>
      <c r="P29" s="427" t="n"/>
      <c r="Q29" s="427" t="n"/>
    </row>
    <row r="30">
      <c r="A30" s="458" t="inlineStr">
        <is>
          <t>KVV BODY - 2000</t>
        </is>
      </c>
      <c r="B30" s="441" t="inlineStr">
        <is>
          <t>SC2</t>
        </is>
      </c>
      <c r="C30" s="435">
        <f>HLOOKUP(B30,$A$50:$N$51,2,FALSE)</f>
        <v/>
      </c>
      <c r="D30" s="441" t="n">
        <v>9</v>
      </c>
      <c r="E30" s="435">
        <f>C30*D30</f>
        <v/>
      </c>
      <c r="F30" s="435">
        <f>E30*$A$51</f>
        <v/>
      </c>
      <c r="G30" s="435" t="n"/>
      <c r="H30" s="435" t="n"/>
      <c r="I30" s="437">
        <f>SUM(E30:H30)</f>
        <v/>
      </c>
      <c r="J30" s="438" t="n"/>
      <c r="M30" s="427" t="n"/>
      <c r="N30" s="427" t="n"/>
      <c r="O30" s="427" t="n"/>
      <c r="P30" s="427" t="n"/>
      <c r="Q30" s="427" t="n"/>
    </row>
    <row r="31">
      <c r="A31" s="458" t="inlineStr">
        <is>
          <t>END PANEL SINGLE SKIN - 1000</t>
        </is>
      </c>
      <c r="B31" s="441" t="inlineStr">
        <is>
          <t>SC2</t>
        </is>
      </c>
      <c r="C31" s="435">
        <f>HLOOKUP(B31,$A$50:$N$51,2,FALSE)</f>
        <v/>
      </c>
      <c r="D31" s="441" t="n">
        <v>0.75</v>
      </c>
      <c r="E31" s="435">
        <f>C31*D31</f>
        <v/>
      </c>
      <c r="F31" s="435">
        <f>E31*$A$51</f>
        <v/>
      </c>
      <c r="G31" s="435" t="n"/>
      <c r="H31" s="435" t="n"/>
      <c r="I31" s="437">
        <f>SUM(E31:H31)</f>
        <v/>
      </c>
      <c r="J31" s="438" t="n"/>
      <c r="M31" s="427" t="n"/>
      <c r="N31" s="427" t="n"/>
      <c r="O31" s="427" t="n"/>
      <c r="P31" s="427" t="n"/>
      <c r="Q31" s="427" t="n"/>
    </row>
    <row r="32">
      <c r="A32" s="458" t="inlineStr">
        <is>
          <t>END PANEL SINGLE SKIN - 1250</t>
        </is>
      </c>
      <c r="B32" s="441" t="inlineStr">
        <is>
          <t>SC2</t>
        </is>
      </c>
      <c r="C32" s="435">
        <f>HLOOKUP(B32,$A$50:$N$51,2,FALSE)</f>
        <v/>
      </c>
      <c r="D32" s="441" t="n">
        <v>0.92</v>
      </c>
      <c r="E32" s="435">
        <f>C32*D32</f>
        <v/>
      </c>
      <c r="F32" s="435">
        <f>E32*$A$51</f>
        <v/>
      </c>
      <c r="G32" s="435" t="n"/>
      <c r="H32" s="435" t="n"/>
      <c r="I32" s="437">
        <f>SUM(E32:H32)</f>
        <v/>
      </c>
      <c r="J32" s="438" t="n"/>
      <c r="M32" s="427" t="n"/>
      <c r="N32" s="427" t="n"/>
      <c r="O32" s="427" t="n"/>
      <c r="P32" s="427" t="n"/>
      <c r="Q32" s="427" t="n"/>
    </row>
    <row r="33">
      <c r="A33" s="458" t="inlineStr">
        <is>
          <t>END PANEL SINGLE SKIN - 1500</t>
        </is>
      </c>
      <c r="B33" s="441" t="inlineStr">
        <is>
          <t>SC2</t>
        </is>
      </c>
      <c r="C33" s="435">
        <f>HLOOKUP(B33,$A$50:$N$51,2,FALSE)</f>
        <v/>
      </c>
      <c r="D33" s="441" t="n">
        <v>1.15</v>
      </c>
      <c r="E33" s="435">
        <f>C33*D33</f>
        <v/>
      </c>
      <c r="F33" s="435">
        <f>E33*$A$51</f>
        <v/>
      </c>
      <c r="G33" s="435" t="n"/>
      <c r="H33" s="435" t="n"/>
      <c r="I33" s="437">
        <f>SUM(E33:H33)</f>
        <v/>
      </c>
      <c r="J33" s="438" t="n"/>
      <c r="K33" s="438" t="n"/>
      <c r="L33" s="438" t="n"/>
      <c r="M33" s="427" t="n"/>
      <c r="N33" s="427" t="n"/>
      <c r="O33" s="427" t="n"/>
      <c r="P33" s="427" t="n"/>
      <c r="Q33" s="427" t="n"/>
    </row>
    <row r="34">
      <c r="A34" s="458" t="inlineStr">
        <is>
          <t>END PANEL SINGLE SKIN - 1750</t>
        </is>
      </c>
      <c r="B34" s="441" t="inlineStr">
        <is>
          <t>SC2</t>
        </is>
      </c>
      <c r="C34" s="435">
        <f>HLOOKUP(B34,$A$50:$N$51,2,FALSE)</f>
        <v/>
      </c>
      <c r="D34" s="441" t="n">
        <v>1.77</v>
      </c>
      <c r="E34" s="435">
        <f>C34*D34</f>
        <v/>
      </c>
      <c r="F34" s="435">
        <f>E34*$A$51</f>
        <v/>
      </c>
      <c r="G34" s="435" t="n"/>
      <c r="H34" s="435" t="n"/>
      <c r="I34" s="437">
        <f>SUM(E34:H34)</f>
        <v/>
      </c>
      <c r="J34" s="438" t="n"/>
      <c r="K34" s="438" t="n"/>
      <c r="L34" s="438" t="n"/>
      <c r="M34" s="427" t="n"/>
      <c r="N34" s="427" t="n"/>
      <c r="O34" s="427" t="n"/>
      <c r="P34" s="427" t="n"/>
      <c r="Q34" s="427" t="n"/>
    </row>
    <row r="35">
      <c r="A35" s="458" t="inlineStr">
        <is>
          <t>END PANEL SINGLE SKIN - 2000</t>
        </is>
      </c>
      <c r="B35" s="441" t="inlineStr">
        <is>
          <t>SC2</t>
        </is>
      </c>
      <c r="C35" s="435">
        <f>HLOOKUP(B35,$A$50:$N$51,2,FALSE)</f>
        <v/>
      </c>
      <c r="D35" s="441" t="n">
        <v>2.4</v>
      </c>
      <c r="E35" s="435">
        <f>C35*D35</f>
        <v/>
      </c>
      <c r="F35" s="435">
        <f>E35*$A$51</f>
        <v/>
      </c>
      <c r="G35" s="435" t="n"/>
      <c r="H35" s="435" t="n"/>
      <c r="I35" s="437">
        <f>SUM(E35:H35)</f>
        <v/>
      </c>
      <c r="J35" s="438" t="n"/>
      <c r="K35" s="438" t="n"/>
      <c r="L35" s="438" t="n"/>
      <c r="M35" s="427" t="n"/>
      <c r="N35" s="427" t="n"/>
      <c r="O35" s="427" t="n"/>
      <c r="P35" s="440" t="n"/>
      <c r="Q35" s="431" t="n"/>
    </row>
    <row r="36">
      <c r="A36" s="458" t="inlineStr">
        <is>
          <t>END PANEL DOUBLE SKIN (CJ) - 1250</t>
        </is>
      </c>
      <c r="B36" s="441" t="inlineStr">
        <is>
          <t>SC2</t>
        </is>
      </c>
      <c r="C36" s="435">
        <f>HLOOKUP(B36,$A$50:$N$51,2,FALSE)</f>
        <v/>
      </c>
      <c r="D36" s="441" t="n">
        <v>1.62</v>
      </c>
      <c r="E36" s="435">
        <f>C36*D36</f>
        <v/>
      </c>
      <c r="F36" s="435">
        <f>E36*$A$51</f>
        <v/>
      </c>
      <c r="G36" s="435" t="n"/>
      <c r="H36" s="435" t="n"/>
      <c r="I36" s="437">
        <f>SUM(E36:H36)</f>
        <v/>
      </c>
      <c r="J36" s="438" t="n"/>
      <c r="K36" s="438" t="n"/>
      <c r="L36" s="438" t="n"/>
      <c r="M36" s="427" t="n"/>
      <c r="N36" s="427" t="n"/>
      <c r="O36" s="427" t="n"/>
      <c r="P36" s="440" t="n"/>
      <c r="Q36" s="431" t="n"/>
    </row>
    <row r="37">
      <c r="A37" s="458" t="inlineStr">
        <is>
          <t>END PANEL DOUBLE SKIN (CJ) - 1500</t>
        </is>
      </c>
      <c r="B37" s="441" t="inlineStr">
        <is>
          <t>SC2</t>
        </is>
      </c>
      <c r="C37" s="435">
        <f>HLOOKUP(B37,$A$50:$N$51,2,FALSE)</f>
        <v/>
      </c>
      <c r="D37" s="441" t="n">
        <v>2.03</v>
      </c>
      <c r="E37" s="435">
        <f>C37*D37</f>
        <v/>
      </c>
      <c r="F37" s="435">
        <f>E37*$A$51</f>
        <v/>
      </c>
      <c r="G37" s="435" t="n"/>
      <c r="H37" s="435" t="n"/>
      <c r="I37" s="437">
        <f>SUM(E37:H37)</f>
        <v/>
      </c>
      <c r="J37" s="438" t="n"/>
      <c r="K37" s="438" t="n"/>
      <c r="L37" s="438" t="n"/>
      <c r="M37" s="427" t="n"/>
      <c r="N37" s="427" t="n"/>
      <c r="O37" s="427" t="n"/>
      <c r="P37" s="440" t="n"/>
      <c r="Q37" s="431" t="n"/>
    </row>
    <row r="38">
      <c r="A38" s="458" t="inlineStr">
        <is>
          <t>END PANEL DOUBLE SKIN (CJ) - 1750</t>
        </is>
      </c>
      <c r="B38" s="441" t="inlineStr">
        <is>
          <t>SC2</t>
        </is>
      </c>
      <c r="C38" s="435">
        <f>HLOOKUP(B38,$A$50:$N$51,2,FALSE)</f>
        <v/>
      </c>
      <c r="D38" s="441" t="n">
        <v>2.3</v>
      </c>
      <c r="E38" s="435">
        <f>C38*D38</f>
        <v/>
      </c>
      <c r="F38" s="435">
        <f>E38*$A$51</f>
        <v/>
      </c>
      <c r="G38" s="435" t="n"/>
      <c r="H38" s="435" t="n"/>
      <c r="I38" s="437">
        <f>SUM(E38:H38)</f>
        <v/>
      </c>
      <c r="J38" s="438" t="n"/>
      <c r="K38" s="438" t="n"/>
    </row>
    <row r="39">
      <c r="A39" s="458" t="inlineStr">
        <is>
          <t>END PANEL DOUBLE SKIN (CJ) - 2000</t>
        </is>
      </c>
      <c r="B39" s="441" t="inlineStr">
        <is>
          <t>SC2</t>
        </is>
      </c>
      <c r="C39" s="435">
        <f>HLOOKUP(B39,$A$50:$N$51,2,FALSE)</f>
        <v/>
      </c>
      <c r="D39" s="441" t="n">
        <v>2.63</v>
      </c>
      <c r="E39" s="435">
        <f>C39*D39</f>
        <v/>
      </c>
      <c r="F39" s="435">
        <f>E39*$A$51</f>
        <v/>
      </c>
      <c r="G39" s="435" t="n"/>
      <c r="H39" s="435" t="n"/>
      <c r="I39" s="437">
        <f>SUM(E39:H39)</f>
        <v/>
      </c>
      <c r="J39" s="438" t="n"/>
      <c r="K39" s="438" t="n"/>
    </row>
    <row r="40">
      <c r="A40" s="458" t="inlineStr">
        <is>
          <t>LIGHT ROOF PER 1000MM - 1250</t>
        </is>
      </c>
      <c r="B40" s="441" t="inlineStr">
        <is>
          <t>SC2</t>
        </is>
      </c>
      <c r="C40" s="435">
        <f>HLOOKUP(B40,$A$50:$N$51,2,FALSE)</f>
        <v/>
      </c>
      <c r="D40" s="441" t="n">
        <v>0.4</v>
      </c>
      <c r="E40" s="435">
        <f>C40*D40</f>
        <v/>
      </c>
      <c r="F40" s="435">
        <f>E40*$A$51</f>
        <v/>
      </c>
      <c r="G40" s="435">
        <f>$C$51</f>
        <v/>
      </c>
      <c r="H40" s="435">
        <f>$D$51</f>
        <v/>
      </c>
      <c r="I40" s="437">
        <f>SUM(E40:H40)</f>
        <v/>
      </c>
      <c r="J40" s="438" t="n"/>
      <c r="K40" s="438" t="n"/>
    </row>
    <row r="41">
      <c r="A41" s="458" t="inlineStr">
        <is>
          <t>LIGHT ROOF PER 1000MM - 1500</t>
        </is>
      </c>
      <c r="B41" s="441" t="inlineStr">
        <is>
          <t>SC2</t>
        </is>
      </c>
      <c r="C41" s="435">
        <f>HLOOKUP(B41,$A$50:$N$51,2,FALSE)</f>
        <v/>
      </c>
      <c r="D41" s="441" t="n">
        <v>0.7</v>
      </c>
      <c r="E41" s="435">
        <f>C41*D41</f>
        <v/>
      </c>
      <c r="F41" s="435">
        <f>E41*$A$51</f>
        <v/>
      </c>
      <c r="G41" s="435">
        <f>$C$51</f>
        <v/>
      </c>
      <c r="H41" s="435">
        <f>$D$51</f>
        <v/>
      </c>
      <c r="I41" s="437">
        <f>SUM(E41:H41)</f>
        <v/>
      </c>
      <c r="J41" s="438" t="n"/>
      <c r="K41" s="438" t="n"/>
    </row>
    <row r="42">
      <c r="A42" s="458" t="inlineStr">
        <is>
          <t>LIGHT ROOF PER 1000MM - 1750</t>
        </is>
      </c>
      <c r="B42" s="441" t="inlineStr">
        <is>
          <t>SC2</t>
        </is>
      </c>
      <c r="C42" s="435">
        <f>HLOOKUP(B42,$A$50:$N$51,2,FALSE)</f>
        <v/>
      </c>
      <c r="D42" s="441" t="n">
        <v>0.9</v>
      </c>
      <c r="E42" s="435">
        <f>C42*D42</f>
        <v/>
      </c>
      <c r="F42" s="435">
        <f>E42*$A$51</f>
        <v/>
      </c>
      <c r="G42" s="435">
        <f>$C$51</f>
        <v/>
      </c>
      <c r="H42" s="435">
        <f>$D$51</f>
        <v/>
      </c>
      <c r="I42" s="437">
        <f>SUM(E42:H42)</f>
        <v/>
      </c>
      <c r="J42" s="438" t="n"/>
      <c r="K42" s="438" t="n"/>
    </row>
    <row r="43">
      <c r="A43" s="458" t="inlineStr">
        <is>
          <t>LIGHT ROOF PER 1000MM - 2000</t>
        </is>
      </c>
      <c r="B43" s="441" t="inlineStr">
        <is>
          <t>SC2</t>
        </is>
      </c>
      <c r="C43" s="435">
        <f>HLOOKUP(B43,$A$50:$N$51,2,FALSE)</f>
        <v/>
      </c>
      <c r="D43" s="441" t="n">
        <v>1.2</v>
      </c>
      <c r="E43" s="435">
        <f>C43*D43</f>
        <v/>
      </c>
      <c r="F43" s="435">
        <f>E43*$A$51</f>
        <v/>
      </c>
      <c r="G43" s="435">
        <f>$C$51</f>
        <v/>
      </c>
      <c r="H43" s="435">
        <f>$D$51</f>
        <v/>
      </c>
      <c r="I43" s="437">
        <f>SUM(E43:H43)</f>
        <v/>
      </c>
      <c r="J43" s="438" t="n"/>
      <c r="K43" s="438" t="n"/>
    </row>
    <row r="44">
      <c r="A44" s="458" t="inlineStr">
        <is>
          <t>CJ FAN</t>
        </is>
      </c>
      <c r="B44" s="441" t="inlineStr">
        <is>
          <t>CJ</t>
        </is>
      </c>
      <c r="C44" s="435">
        <f>+F51</f>
        <v/>
      </c>
      <c r="D44" s="441" t="n">
        <v>1</v>
      </c>
      <c r="E44" s="435">
        <f>C44*D44</f>
        <v/>
      </c>
      <c r="F44" s="435" t="n"/>
      <c r="G44" s="435" t="n"/>
      <c r="H44" s="435" t="n"/>
      <c r="I44" s="437">
        <f>SUM(E44:H44)</f>
        <v/>
      </c>
      <c r="J44" s="438" t="n"/>
      <c r="K44" s="438" t="n"/>
      <c r="L44" s="928" t="n"/>
    </row>
    <row r="45">
      <c r="A45" s="458" t="inlineStr">
        <is>
          <t>INSULATION PER METER</t>
        </is>
      </c>
      <c r="B45" s="441" t="inlineStr">
        <is>
          <t>INSUL</t>
        </is>
      </c>
      <c r="C45" s="435">
        <f>HLOOKUP(B45,$A$50:$N$51,2,FALSE)</f>
        <v/>
      </c>
      <c r="D45" s="441" t="n">
        <v>1</v>
      </c>
      <c r="E45" s="435">
        <f>C45*D45</f>
        <v/>
      </c>
      <c r="F45" s="435" t="n"/>
      <c r="G45" s="435" t="n"/>
      <c r="H45" s="435" t="n"/>
      <c r="I45" s="437">
        <f>SUM(E45:H45)</f>
        <v/>
      </c>
      <c r="J45" s="438" t="n"/>
      <c r="K45" s="438" t="n"/>
    </row>
    <row r="46">
      <c r="A46" s="458" t="inlineStr">
        <is>
          <t xml:space="preserve">DIFFUSER </t>
        </is>
      </c>
      <c r="B46" s="441" t="inlineStr">
        <is>
          <t xml:space="preserve">DIFFUSER </t>
        </is>
      </c>
      <c r="C46" s="435">
        <f>HLOOKUP(B46,$A$50:$N$51,2,FALSE)</f>
        <v/>
      </c>
      <c r="D46" s="441" t="n">
        <v>1</v>
      </c>
      <c r="E46" s="435">
        <f>C46*D46</f>
        <v/>
      </c>
      <c r="F46" s="435" t="n"/>
      <c r="G46" s="435" t="n"/>
      <c r="H46" s="435" t="n"/>
      <c r="I46" s="437">
        <f>SUM(E46:H46)</f>
        <v/>
      </c>
      <c r="J46" s="438" t="n"/>
      <c r="K46" s="438" t="n"/>
    </row>
    <row r="47">
      <c r="A47" s="458" t="inlineStr">
        <is>
          <t>MUA SPIGOT</t>
        </is>
      </c>
      <c r="B47" s="441" t="inlineStr">
        <is>
          <t>MUA SPIGOT</t>
        </is>
      </c>
      <c r="C47" s="435">
        <f>HLOOKUP(B47,$A$50:$N$51,2,FALSE)</f>
        <v/>
      </c>
      <c r="D47" s="441" t="n">
        <v>1</v>
      </c>
      <c r="E47" s="435">
        <f>C47*D47</f>
        <v/>
      </c>
      <c r="F47" s="435" t="n"/>
      <c r="G47" s="435" t="n"/>
      <c r="H47" s="435" t="n"/>
      <c r="I47" s="437">
        <f>SUM(E47:H47)</f>
        <v/>
      </c>
      <c r="J47" s="438" t="n"/>
      <c r="K47" s="438" t="n"/>
    </row>
    <row r="48">
      <c r="A48" s="458" t="inlineStr">
        <is>
          <t>WATERWASH ENCLOSURE</t>
        </is>
      </c>
      <c r="B48" s="441" t="inlineStr">
        <is>
          <t>SC2</t>
        </is>
      </c>
      <c r="C48" s="435">
        <f>HLOOKUP(B48,$A$50:$N$51,2,FALSE)</f>
        <v/>
      </c>
      <c r="D48" s="441" t="n">
        <v>3.451</v>
      </c>
      <c r="E48" s="435">
        <f>C48*D48</f>
        <v/>
      </c>
      <c r="F48" s="435" t="n"/>
      <c r="G48" s="435" t="n"/>
      <c r="H48" s="435" t="n"/>
      <c r="I48" s="437">
        <f>SUM(E48:H48)</f>
        <v/>
      </c>
      <c r="J48" s="438" t="n"/>
      <c r="K48" s="438" t="n"/>
    </row>
    <row r="49">
      <c r="A49" s="432" t="n"/>
      <c r="B49" s="429" t="n"/>
      <c r="C49" s="433" t="n"/>
      <c r="D49" s="433" t="n"/>
      <c r="E49" s="433" t="n"/>
      <c r="F49" s="433" t="n"/>
      <c r="G49" s="433" t="n"/>
      <c r="H49" s="433" t="n"/>
      <c r="J49" s="438" t="n"/>
      <c r="K49" s="438" t="n"/>
    </row>
    <row r="50" ht="15" customHeight="1" s="1085" thickBot="1">
      <c r="A50" s="454" t="inlineStr">
        <is>
          <t>SCRAP</t>
        </is>
      </c>
      <c r="B50" s="454" t="inlineStr">
        <is>
          <t>LABOUR</t>
        </is>
      </c>
      <c r="C50" s="454" t="inlineStr">
        <is>
          <t>LOCKS (MFG-045)</t>
        </is>
      </c>
      <c r="D50" s="454" t="inlineStr">
        <is>
          <t>HINGES (MFG148)</t>
        </is>
      </c>
      <c r="E50" s="454" t="inlineStr">
        <is>
          <t xml:space="preserve">DIFFUSER </t>
        </is>
      </c>
      <c r="F50" s="454" t="inlineStr">
        <is>
          <t>CJ (CJF-008)</t>
        </is>
      </c>
      <c r="G50" s="454" t="inlineStr">
        <is>
          <t>MUA SPIGOT</t>
        </is>
      </c>
      <c r="H50" s="454" t="inlineStr">
        <is>
          <t>PRESS TAP-CJ</t>
        </is>
      </c>
      <c r="I50" s="454" t="inlineStr">
        <is>
          <t>PRESS TAP</t>
        </is>
      </c>
      <c r="J50" s="454" t="inlineStr">
        <is>
          <t>SC1</t>
        </is>
      </c>
      <c r="K50" s="454" t="inlineStr">
        <is>
          <t>SC2</t>
        </is>
      </c>
      <c r="L50" s="454" t="inlineStr">
        <is>
          <t>PERF30</t>
        </is>
      </c>
      <c r="M50" s="454" t="inlineStr">
        <is>
          <t>DES 2B</t>
        </is>
      </c>
      <c r="N50" s="454" t="inlineStr">
        <is>
          <t>INSUL</t>
        </is>
      </c>
      <c r="P50" s="807" t="n"/>
    </row>
    <row r="51" ht="14" customHeight="1" s="1085" thickBot="1">
      <c r="A51" s="931" t="n">
        <v>0.33</v>
      </c>
      <c r="B51" s="907" t="n">
        <v>36</v>
      </c>
      <c r="C51" s="907" t="n">
        <v>12.19</v>
      </c>
      <c r="D51" s="907" t="n">
        <v>5.46</v>
      </c>
      <c r="E51" s="907" t="n">
        <v>2.44</v>
      </c>
      <c r="F51" s="1036" t="n">
        <v>94.69</v>
      </c>
      <c r="G51" s="907" t="n">
        <v>14.41</v>
      </c>
      <c r="H51" s="907" t="n">
        <v>5.16</v>
      </c>
      <c r="I51" s="907" t="n">
        <v>2.9</v>
      </c>
      <c r="J51" s="932" t="n">
        <v>40.74</v>
      </c>
      <c r="K51" s="932" t="n">
        <v>44.47</v>
      </c>
      <c r="L51" s="932" t="n">
        <v>30.8</v>
      </c>
      <c r="M51" s="932" t="n">
        <v>38.9</v>
      </c>
      <c r="N51" s="932" t="n">
        <v>9.970000000000001</v>
      </c>
      <c r="O51" s="567" t="n"/>
      <c r="P51" s="565" t="inlineStr">
        <is>
          <t>%</t>
        </is>
      </c>
      <c r="Q51" s="564" t="n"/>
    </row>
    <row r="52">
      <c r="P52" s="807" t="n"/>
    </row>
    <row r="53">
      <c r="A53" s="453" t="inlineStr">
        <is>
          <t>SELECT WORKS</t>
        </is>
      </c>
      <c r="B53" s="442" t="n">
        <v>0</v>
      </c>
      <c r="C53" s="446" t="n">
        <v>0</v>
      </c>
      <c r="D53" s="442">
        <f>""</f>
        <v/>
      </c>
      <c r="I53" s="450" t="n"/>
      <c r="J53" s="429" t="n"/>
      <c r="K53" s="429" t="n"/>
      <c r="L53" s="429" t="n"/>
      <c r="M53" s="429" t="n"/>
      <c r="N53" s="429" t="n"/>
      <c r="O53" s="429" t="n"/>
    </row>
    <row r="54">
      <c r="A54" s="453" t="inlineStr">
        <is>
          <t>ROUND CORNERS</t>
        </is>
      </c>
      <c r="B54" s="907" t="n">
        <v>63.6</v>
      </c>
      <c r="C54" s="447" t="n">
        <v>4</v>
      </c>
      <c r="D54" s="442" t="inlineStr">
        <is>
          <t>CORNER(S)</t>
        </is>
      </c>
      <c r="F54" s="806" t="n"/>
      <c r="I54" s="433" t="n"/>
      <c r="J54" s="449" t="n"/>
      <c r="K54" s="434" t="n"/>
      <c r="N54" s="451" t="n"/>
      <c r="O54" s="451" t="n"/>
    </row>
    <row r="55">
      <c r="A55" s="453" t="inlineStr">
        <is>
          <t>CUT OUT</t>
        </is>
      </c>
      <c r="B55" s="907" t="n">
        <v>170</v>
      </c>
      <c r="C55" s="447" t="n">
        <v>5</v>
      </c>
      <c r="D55" s="442" t="inlineStr">
        <is>
          <t>CUT OUT(S) PER CANOPY</t>
        </is>
      </c>
      <c r="J55" s="449" t="n"/>
      <c r="K55" s="434" t="n"/>
      <c r="N55" s="451" t="n"/>
      <c r="O55" s="451" t="n"/>
    </row>
    <row r="56">
      <c r="A56" s="453" t="inlineStr">
        <is>
          <t xml:space="preserve">CASTELLE LOCKING </t>
        </is>
      </c>
      <c r="B56" s="907" t="n">
        <v>1043</v>
      </c>
      <c r="C56" s="446" t="n">
        <v>8</v>
      </c>
      <c r="D56" s="442" t="inlineStr">
        <is>
          <t>SECTION(S) OF CANOPY</t>
        </is>
      </c>
      <c r="J56" s="449" t="n"/>
      <c r="K56" s="434" t="n"/>
      <c r="N56" s="451" t="n"/>
      <c r="O56" s="451" t="n"/>
    </row>
    <row r="57">
      <c r="A57" s="453" t="inlineStr">
        <is>
          <t>HEADER DUCT S/S</t>
        </is>
      </c>
      <c r="B57" s="907" t="n">
        <v>398</v>
      </c>
      <c r="C57" s="447" t="n">
        <v>4</v>
      </c>
      <c r="D57" s="442" t="inlineStr">
        <is>
          <t>METER OF DUCT</t>
        </is>
      </c>
      <c r="J57" s="449" t="n"/>
      <c r="K57" s="434" t="n"/>
      <c r="N57" s="451" t="n"/>
      <c r="O57" s="451" t="n"/>
    </row>
    <row r="58">
      <c r="A58" s="453" t="inlineStr">
        <is>
          <t xml:space="preserve">HEADER DUCT </t>
        </is>
      </c>
      <c r="B58" s="907" t="n">
        <v>0</v>
      </c>
      <c r="C58" s="447" t="n">
        <v>0</v>
      </c>
      <c r="D58" s="442" t="inlineStr">
        <is>
          <t>METER OF DUCT</t>
        </is>
      </c>
      <c r="G58" s="427" t="n">
        <v>2020</v>
      </c>
      <c r="H58" s="886" t="inlineStr">
        <is>
          <t>18% May 21</t>
        </is>
      </c>
      <c r="I58" s="886" t="inlineStr">
        <is>
          <t>3% Oct 21</t>
        </is>
      </c>
      <c r="J58" s="893" t="n">
        <v>44652</v>
      </c>
      <c r="K58" s="930" t="inlineStr">
        <is>
          <t>10% Jul-23</t>
        </is>
      </c>
      <c r="L58" s="1037" t="inlineStr">
        <is>
          <t>6% Jan-25</t>
        </is>
      </c>
    </row>
    <row r="59">
      <c r="A59" s="453" t="inlineStr">
        <is>
          <t>PAINT FINSH</t>
        </is>
      </c>
      <c r="B59" s="907" t="n">
        <v>0</v>
      </c>
      <c r="C59" s="447" t="n">
        <v>0</v>
      </c>
      <c r="D59" s="442" t="inlineStr">
        <is>
          <t>PER METER</t>
        </is>
      </c>
      <c r="F59" s="426" t="inlineStr">
        <is>
          <t>2B</t>
        </is>
      </c>
      <c r="G59" s="888" t="inlineStr">
        <is>
          <t>£20.78/M2</t>
        </is>
      </c>
      <c r="H59" s="887" t="n">
        <v>24.52</v>
      </c>
      <c r="I59" s="887" t="n">
        <v>25.26</v>
      </c>
      <c r="J59" s="426" t="n">
        <v>35.36</v>
      </c>
      <c r="K59" s="929" t="n">
        <v>38.9</v>
      </c>
    </row>
    <row r="60">
      <c r="A60" s="453" t="inlineStr">
        <is>
          <t>UV ON DEMAND</t>
        </is>
      </c>
      <c r="B60" s="907" t="n">
        <v>257</v>
      </c>
      <c r="C60" s="447" t="n">
        <v>0</v>
      </c>
      <c r="D60" s="442">
        <f>""</f>
        <v/>
      </c>
      <c r="F60" s="426" t="inlineStr">
        <is>
          <t>SC1</t>
        </is>
      </c>
      <c r="G60" s="427" t="inlineStr">
        <is>
          <t>£21.77/M2</t>
        </is>
      </c>
      <c r="H60" s="887" t="n">
        <v>25.69</v>
      </c>
      <c r="I60" s="887" t="n">
        <v>26.46</v>
      </c>
      <c r="J60" s="426" t="n">
        <v>37.04</v>
      </c>
      <c r="K60" s="929" t="n">
        <v>40.74</v>
      </c>
    </row>
    <row r="61">
      <c r="A61" s="453" t="inlineStr">
        <is>
          <t>E/over for emergency strip light</t>
        </is>
      </c>
      <c r="B61" s="907" t="n">
        <v>0</v>
      </c>
      <c r="C61" s="447" t="n">
        <v>0</v>
      </c>
      <c r="D61" s="442" t="inlineStr">
        <is>
          <t>PER SECTION</t>
        </is>
      </c>
      <c r="F61" s="426" t="inlineStr">
        <is>
          <t>SC2</t>
        </is>
      </c>
      <c r="G61" s="427" t="inlineStr">
        <is>
          <t>£23.76/M2</t>
        </is>
      </c>
      <c r="H61" s="887" t="n">
        <v>28.04</v>
      </c>
      <c r="I61" s="887" t="n">
        <v>28.88</v>
      </c>
      <c r="J61" s="426" t="n">
        <v>40.43</v>
      </c>
      <c r="K61" s="929" t="n">
        <v>44.47</v>
      </c>
    </row>
    <row r="62">
      <c r="A62" s="453" t="inlineStr">
        <is>
          <t>E/over for small emer. spot light</t>
        </is>
      </c>
      <c r="B62" s="907" t="n">
        <v>0</v>
      </c>
      <c r="C62" s="447" t="n">
        <v>0</v>
      </c>
      <c r="D62" s="442">
        <f>""</f>
        <v/>
      </c>
      <c r="F62" s="426" t="inlineStr">
        <is>
          <t>PERF</t>
        </is>
      </c>
      <c r="H62" s="887" t="n">
        <v>24.5</v>
      </c>
      <c r="I62" s="887" t="n">
        <v>25.24</v>
      </c>
      <c r="K62" s="929" t="n">
        <v>30.8</v>
      </c>
      <c r="M62" s="566" t="n"/>
    </row>
    <row r="63">
      <c r="A63" s="453" t="inlineStr">
        <is>
          <t>E/over for large emer. spot light</t>
        </is>
      </c>
      <c r="B63" s="907" t="n">
        <v>0</v>
      </c>
      <c r="C63" s="447" t="n">
        <v>0</v>
      </c>
      <c r="D63" s="442" t="inlineStr">
        <is>
          <t>PER LIGHT FITTING</t>
        </is>
      </c>
    </row>
    <row r="64">
      <c r="A64" s="453" t="inlineStr">
        <is>
          <t>COLD MIST ON DEMAND</t>
        </is>
      </c>
      <c r="B64" s="907" t="n">
        <v>543</v>
      </c>
      <c r="C64" s="447" t="n">
        <v>0</v>
      </c>
      <c r="D64" s="442" t="inlineStr">
        <is>
          <t>PER SECTION</t>
        </is>
      </c>
      <c r="I64" s="433" t="n"/>
      <c r="J64" s="449" t="n"/>
      <c r="K64" s="434" t="n"/>
      <c r="N64" s="451" t="n"/>
      <c r="O64" s="451" t="n"/>
    </row>
    <row r="65">
      <c r="A65" s="453" t="inlineStr">
        <is>
          <t>CMW  PIPEWORK HWS/CWS</t>
        </is>
      </c>
      <c r="B65" s="907" t="n">
        <v>1590</v>
      </c>
      <c r="C65" s="447" t="n">
        <v>0</v>
      </c>
      <c r="D65" s="442" t="inlineStr">
        <is>
          <t>UP TO 5M</t>
        </is>
      </c>
      <c r="J65" s="449" t="n"/>
      <c r="K65" s="434" t="n"/>
      <c r="N65" s="451" t="n"/>
      <c r="O65" s="451" t="n"/>
    </row>
    <row r="66">
      <c r="A66" s="453" t="inlineStr">
        <is>
          <t>CANOPY GROUND SUPPORT</t>
        </is>
      </c>
      <c r="B66" s="907" t="n">
        <v>0</v>
      </c>
      <c r="C66" s="447" t="n">
        <v>1</v>
      </c>
      <c r="D66" s="442" t="inlineStr">
        <is>
          <t>S/S  T-SHAPED SUPPORT</t>
        </is>
      </c>
      <c r="J66" s="449" t="n"/>
      <c r="K66" s="434" t="n"/>
      <c r="N66" s="451" t="n"/>
      <c r="O66" s="451" t="n"/>
    </row>
    <row r="67">
      <c r="A67" s="453" t="inlineStr">
        <is>
          <t>BIM/ REVIT per CANOPY</t>
        </is>
      </c>
      <c r="B67" s="907" t="n">
        <v>50</v>
      </c>
      <c r="C67" s="447" t="n">
        <v>1</v>
      </c>
      <c r="D67" s="442" t="inlineStr">
        <is>
          <t>SECTION(S) OF CANOPY</t>
        </is>
      </c>
      <c r="J67" s="449" t="n"/>
      <c r="K67" s="434" t="n"/>
      <c r="N67" s="451" t="n"/>
      <c r="O67" s="451" t="n"/>
    </row>
    <row r="68">
      <c r="A68" s="453" t="inlineStr">
        <is>
          <t xml:space="preserve"> 2nd EXTRACT PLENUM</t>
        </is>
      </c>
      <c r="B68" s="907" t="n">
        <v>449</v>
      </c>
      <c r="C68" s="447" t="n">
        <v>1</v>
      </c>
      <c r="D68" s="442" t="inlineStr">
        <is>
          <t>PER METRE (292mm)</t>
        </is>
      </c>
    </row>
    <row r="69">
      <c r="A69" s="453" t="inlineStr">
        <is>
          <t>SUPPLY AIR PLENUM</t>
        </is>
      </c>
      <c r="B69" s="907" t="n">
        <v>402</v>
      </c>
      <c r="C69" s="447" t="n">
        <v>1</v>
      </c>
      <c r="D69" s="442" t="inlineStr">
        <is>
          <t>PER METRE (365mm)</t>
        </is>
      </c>
    </row>
    <row r="70">
      <c r="A70" s="453" t="inlineStr">
        <is>
          <t>CAPTUREJET PLENUM</t>
        </is>
      </c>
      <c r="B70" s="907" t="n">
        <v>288</v>
      </c>
      <c r="C70" s="447" t="n">
        <v>4</v>
      </c>
      <c r="D70" s="442" t="inlineStr">
        <is>
          <t>PER METRE</t>
        </is>
      </c>
    </row>
    <row r="71">
      <c r="A71" s="453" t="inlineStr">
        <is>
          <t>COALESCER</t>
        </is>
      </c>
      <c r="B71" s="1035" t="n">
        <v>80</v>
      </c>
      <c r="C71" s="447" t="n">
        <v>1</v>
      </c>
      <c r="D71" s="442" t="inlineStr">
        <is>
          <t>EACH</t>
        </is>
      </c>
    </row>
    <row r="72">
      <c r="A72" s="453" t="n"/>
      <c r="B72" s="442" t="n">
        <v>0</v>
      </c>
      <c r="C72" s="447" t="n">
        <v>0</v>
      </c>
      <c r="D72" s="442">
        <f>""</f>
        <v/>
      </c>
    </row>
    <row r="73">
      <c r="A73" s="453" t="n"/>
      <c r="B73" s="442" t="n">
        <v>0</v>
      </c>
      <c r="C73" s="447" t="n">
        <v>0</v>
      </c>
      <c r="D73" s="442">
        <f>""</f>
        <v/>
      </c>
    </row>
    <row r="81">
      <c r="A81" s="453" t="inlineStr">
        <is>
          <t>SELECT PANEL</t>
        </is>
      </c>
      <c r="B81" s="891" t="n">
        <v>0</v>
      </c>
      <c r="C81" s="446" t="n">
        <v>0</v>
      </c>
      <c r="D81" s="1038" t="inlineStr">
        <is>
          <t>6% Jan-25</t>
        </is>
      </c>
    </row>
    <row r="82">
      <c r="A82" s="453">
        <f>CC!D569</f>
        <v/>
      </c>
      <c r="B82" s="1039" t="n">
        <v>3957.74</v>
      </c>
      <c r="C82" s="446" t="n">
        <v>6</v>
      </c>
    </row>
    <row r="83">
      <c r="A83" s="453">
        <f>CC!D570</f>
        <v/>
      </c>
      <c r="B83" s="1039" t="n">
        <v>4249.6</v>
      </c>
      <c r="C83" s="446" t="n">
        <v>6</v>
      </c>
    </row>
    <row r="84">
      <c r="A84" s="453">
        <f>CC!D571</f>
        <v/>
      </c>
      <c r="B84" s="1039" t="n">
        <v>4541.45</v>
      </c>
      <c r="C84" s="446" t="n">
        <v>6</v>
      </c>
    </row>
    <row r="85">
      <c r="A85" s="453">
        <f>CC!D572</f>
        <v/>
      </c>
      <c r="B85" s="1039" t="n">
        <v>4611.61</v>
      </c>
      <c r="C85" s="446" t="n">
        <v>6</v>
      </c>
    </row>
    <row r="86">
      <c r="A86" s="789" t="inlineStr">
        <is>
          <t>CP1S HOT ONLY</t>
        </is>
      </c>
      <c r="B86" s="1037" t="n">
        <v>3640.4</v>
      </c>
    </row>
    <row r="87">
      <c r="A87" s="789" t="inlineStr">
        <is>
          <t>CP2S HOT ONLY</t>
        </is>
      </c>
      <c r="B87" s="1037" t="n">
        <v>3841.58</v>
      </c>
    </row>
    <row r="88">
      <c r="A88" s="789" t="inlineStr">
        <is>
          <t>CP3S HOT ONLY</t>
        </is>
      </c>
      <c r="B88" s="1037" t="n">
        <v>4077.12</v>
      </c>
    </row>
    <row r="89">
      <c r="A89" s="789" t="inlineStr">
        <is>
          <t>CP4S HOT ONLY</t>
        </is>
      </c>
      <c r="B89" s="1037" t="n">
        <v>4313.39</v>
      </c>
    </row>
  </sheetData>
  <dataValidations count="1">
    <dataValidation sqref="B4:B48" showDropDown="0" showInputMessage="1" showErrorMessage="1" allowBlank="1" type="list">
      <formula1>$A$50:$N$50</formula1>
    </dataValidation>
  </dataValidations>
  <pageMargins left="0.7" right="0.7" top="0.75" bottom="0.75" header="0.3" footer="0.3"/>
  <pageSetup orientation="landscape" paperSize="8" scale="66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I193"/>
  <sheetViews>
    <sheetView workbookViewId="0">
      <selection activeCell="A1" sqref="A1"/>
    </sheetView>
  </sheetViews>
  <sheetFormatPr baseColWidth="10" defaultColWidth="8.83203125" defaultRowHeight="13"/>
  <sheetData>
    <row r="1">
      <c r="A1" t="inlineStr">
        <is>
          <t>LED STRIP L6 Inc DALI</t>
        </is>
      </c>
      <c r="B1" t="inlineStr">
        <is>
          <t>SELECT WORKS</t>
        </is>
      </c>
      <c r="C1" t="inlineStr"/>
      <c r="D1" t="inlineStr">
        <is>
          <t>CP1S</t>
        </is>
      </c>
      <c r="E1" t="inlineStr">
        <is>
          <t>1000-S</t>
        </is>
      </c>
      <c r="F1" t="inlineStr"/>
      <c r="G1" t="inlineStr"/>
      <c r="H1" t="inlineStr">
        <is>
          <t>SELECT TANK SYSTEM</t>
        </is>
      </c>
      <c r="I1" t="inlineStr">
        <is>
          <t>1 TANK</t>
        </is>
      </c>
    </row>
    <row r="2">
      <c r="A2" t="inlineStr">
        <is>
          <t>LED STRIP L12 inc DALI</t>
        </is>
      </c>
      <c r="B2" t="inlineStr">
        <is>
          <t>ROUND CORNERS</t>
        </is>
      </c>
      <c r="C2" t="inlineStr">
        <is>
          <t>2M² (HFL)</t>
        </is>
      </c>
      <c r="D2" t="inlineStr">
        <is>
          <t>CP2S</t>
        </is>
      </c>
      <c r="E2" t="inlineStr">
        <is>
          <t>1500-S</t>
        </is>
      </c>
      <c r="F2" t="inlineStr">
        <is>
          <t>ABERDEEN 590</t>
        </is>
      </c>
      <c r="G2" t="inlineStr">
        <is>
          <t>SL10 GENIE</t>
        </is>
      </c>
      <c r="H2" t="inlineStr">
        <is>
          <t>1 TANK SYSTEM</t>
        </is>
      </c>
      <c r="I2" t="inlineStr">
        <is>
          <t>1 TANK DISTANCE</t>
        </is>
      </c>
    </row>
    <row r="3">
      <c r="A3" t="inlineStr">
        <is>
          <t>LED STRIP L18 Inc DALI</t>
        </is>
      </c>
      <c r="B3" t="inlineStr">
        <is>
          <t>CUT OUT</t>
        </is>
      </c>
      <c r="D3" t="inlineStr">
        <is>
          <t>CP3S</t>
        </is>
      </c>
      <c r="E3" t="inlineStr">
        <is>
          <t>2000-S</t>
        </is>
      </c>
      <c r="F3" t="inlineStr">
        <is>
          <t>ABINGDON 110</t>
        </is>
      </c>
      <c r="G3" t="inlineStr">
        <is>
          <t>EXTENSION FORKS</t>
        </is>
      </c>
      <c r="H3" t="inlineStr">
        <is>
          <t>1 TANK TRAVEL HUB</t>
        </is>
      </c>
      <c r="I3" t="inlineStr">
        <is>
          <t>2 TANK</t>
        </is>
      </c>
    </row>
    <row r="4">
      <c r="A4" t="inlineStr">
        <is>
          <t>Small LED Spots inc DALI</t>
        </is>
      </c>
      <c r="B4" t="inlineStr">
        <is>
          <t>CASTELLE LOCKING</t>
        </is>
      </c>
      <c r="D4" t="inlineStr">
        <is>
          <t>CP4S</t>
        </is>
      </c>
      <c r="E4" t="inlineStr">
        <is>
          <t>2500-S</t>
        </is>
      </c>
      <c r="F4" t="inlineStr">
        <is>
          <t>ALDEBURGH 112</t>
        </is>
      </c>
      <c r="G4" t="inlineStr">
        <is>
          <t>2.5M COMBI LADDER</t>
        </is>
      </c>
      <c r="H4" t="inlineStr">
        <is>
          <t>1 TANK DISTANCE</t>
        </is>
      </c>
      <c r="I4" t="inlineStr">
        <is>
          <t>2 TANK DISTANCE</t>
        </is>
      </c>
    </row>
    <row r="5">
      <c r="A5" t="inlineStr">
        <is>
          <t>LARGE LED Spots inc DALI</t>
        </is>
      </c>
      <c r="B5" t="inlineStr">
        <is>
          <t>HEADER DUCT S/S</t>
        </is>
      </c>
      <c r="E5" t="inlineStr">
        <is>
          <t>3000-S</t>
        </is>
      </c>
      <c r="F5" t="inlineStr">
        <is>
          <t>ALDERSHOT 110</t>
        </is>
      </c>
      <c r="G5" t="inlineStr">
        <is>
          <t>1.5M PODIUM</t>
        </is>
      </c>
      <c r="H5" t="inlineStr">
        <is>
          <t>NOBEL</t>
        </is>
      </c>
      <c r="I5" t="inlineStr">
        <is>
          <t>3 TANK</t>
        </is>
      </c>
    </row>
    <row r="6">
      <c r="B6" t="inlineStr">
        <is>
          <t>HEADER DUCT</t>
        </is>
      </c>
      <c r="E6" t="inlineStr">
        <is>
          <t>1000-D</t>
        </is>
      </c>
      <c r="F6" t="inlineStr">
        <is>
          <t>ALNWICK 342</t>
        </is>
      </c>
      <c r="G6" t="inlineStr">
        <is>
          <t>3M TOWER</t>
        </is>
      </c>
      <c r="H6" t="inlineStr">
        <is>
          <t>AMAREX</t>
        </is>
      </c>
      <c r="I6" t="inlineStr">
        <is>
          <t>3 TANK DISTANCE</t>
        </is>
      </c>
    </row>
    <row r="7">
      <c r="B7" t="inlineStr">
        <is>
          <t>PAINT FINSH</t>
        </is>
      </c>
      <c r="E7" t="inlineStr">
        <is>
          <t>1500-D</t>
        </is>
      </c>
      <c r="F7" t="inlineStr">
        <is>
          <t>ANDOVER 110</t>
        </is>
      </c>
      <c r="G7" t="inlineStr">
        <is>
          <t>COMBI LADDER</t>
        </is>
      </c>
      <c r="H7" t="inlineStr">
        <is>
          <t>OTHER</t>
        </is>
      </c>
      <c r="I7" t="inlineStr">
        <is>
          <t>4 TANK</t>
        </is>
      </c>
    </row>
    <row r="8">
      <c r="B8" t="inlineStr">
        <is>
          <t>UV ON DEMAND</t>
        </is>
      </c>
      <c r="E8" t="inlineStr">
        <is>
          <t>2000-D</t>
        </is>
      </c>
      <c r="F8" t="inlineStr">
        <is>
          <t>ASHFORD 25</t>
        </is>
      </c>
      <c r="G8" t="inlineStr">
        <is>
          <t>PECO LIFT</t>
        </is>
      </c>
      <c r="H8" t="inlineStr">
        <is>
          <t>2 TANK SYSTEM</t>
        </is>
      </c>
      <c r="I8" t="inlineStr">
        <is>
          <t>4 TANK DISTANCE</t>
        </is>
      </c>
    </row>
    <row r="9">
      <c r="B9" t="inlineStr">
        <is>
          <t>E/over for emergency strip light</t>
        </is>
      </c>
      <c r="E9" t="inlineStr">
        <is>
          <t>2500-D</t>
        </is>
      </c>
      <c r="F9" t="inlineStr">
        <is>
          <t>AYLESBURY 86</t>
        </is>
      </c>
      <c r="G9" t="inlineStr">
        <is>
          <t>3M YOUNGMAN BOARD</t>
        </is>
      </c>
      <c r="H9" t="inlineStr">
        <is>
          <t>2 TANK TRAVEL HUB</t>
        </is>
      </c>
      <c r="I9" t="inlineStr">
        <is>
          <t>5 TANK</t>
        </is>
      </c>
    </row>
    <row r="10">
      <c r="B10" t="inlineStr">
        <is>
          <t>E/over for small emer. spot light</t>
        </is>
      </c>
      <c r="E10" t="inlineStr">
        <is>
          <t>3000-D</t>
        </is>
      </c>
      <c r="F10" t="inlineStr">
        <is>
          <t>BANBURY 102</t>
        </is>
      </c>
      <c r="G10" t="inlineStr">
        <is>
          <t>GS1930 SCISSOR LIFT</t>
        </is>
      </c>
      <c r="H10" t="inlineStr">
        <is>
          <t>2 TANK DISTANCE</t>
        </is>
      </c>
      <c r="I10" t="inlineStr">
        <is>
          <t>5 TANK DISTANCE</t>
        </is>
      </c>
    </row>
    <row r="11">
      <c r="B11" t="inlineStr">
        <is>
          <t>E/over for large emer. spot light</t>
        </is>
      </c>
      <c r="F11" t="inlineStr">
        <is>
          <t>BANGOR 324</t>
        </is>
      </c>
      <c r="G11" t="inlineStr">
        <is>
          <t>4-6 SHERASCOPIC</t>
        </is>
      </c>
      <c r="H11" t="inlineStr">
        <is>
          <t>3 TANK SYSTEM</t>
        </is>
      </c>
      <c r="I11" t="inlineStr">
        <is>
          <t>6 TANK</t>
        </is>
      </c>
    </row>
    <row r="12">
      <c r="B12" t="inlineStr">
        <is>
          <t>COLD MIST ON DEMAND</t>
        </is>
      </c>
      <c r="F12" t="inlineStr">
        <is>
          <t>BARKING 32</t>
        </is>
      </c>
      <c r="G12" t="inlineStr">
        <is>
          <t>7-9 SHERASCOPIC</t>
        </is>
      </c>
      <c r="H12" t="inlineStr">
        <is>
          <t>3 TANK TRAVEL HUB</t>
        </is>
      </c>
      <c r="I12" t="inlineStr">
        <is>
          <t>6 TANK DISTANCE</t>
        </is>
      </c>
    </row>
    <row r="13">
      <c r="B13" t="inlineStr">
        <is>
          <t>CMW  PIPEWORK HWS/CWS</t>
        </is>
      </c>
      <c r="F13" t="inlineStr">
        <is>
          <t>BARNET 55</t>
        </is>
      </c>
      <c r="H13" t="inlineStr">
        <is>
          <t>3 TANK DISTANCE</t>
        </is>
      </c>
    </row>
    <row r="14">
      <c r="B14" t="inlineStr">
        <is>
          <t>CANOPY GROUND SUPPORT</t>
        </is>
      </c>
      <c r="F14" t="inlineStr">
        <is>
          <t>BARNSLEY 209</t>
        </is>
      </c>
      <c r="H14" t="inlineStr">
        <is>
          <t>4 TANK SYSTEM</t>
        </is>
      </c>
    </row>
    <row r="15">
      <c r="B15" t="inlineStr">
        <is>
          <t>2nd EXTRACT PLENUM</t>
        </is>
      </c>
      <c r="F15" t="inlineStr">
        <is>
          <t>BARNSTABLE 227</t>
        </is>
      </c>
      <c r="H15" t="inlineStr">
        <is>
          <t>4 TANK TRAVEL HUB</t>
        </is>
      </c>
    </row>
    <row r="16">
      <c r="B16" t="inlineStr">
        <is>
          <t>SUPPLY AIR PLENUM</t>
        </is>
      </c>
      <c r="F16" t="inlineStr">
        <is>
          <t>BARROW-IN-FURNESS 348</t>
        </is>
      </c>
      <c r="H16" t="inlineStr">
        <is>
          <t>4 TANK DISTANCE</t>
        </is>
      </c>
    </row>
    <row r="17">
      <c r="B17" t="inlineStr">
        <is>
          <t>CAPTUREJET PLENUM</t>
        </is>
      </c>
      <c r="F17" t="inlineStr">
        <is>
          <t>BASILDON 38</t>
        </is>
      </c>
      <c r="H17" t="inlineStr">
        <is>
          <t>5 TANK SYSTEM</t>
        </is>
      </c>
    </row>
    <row r="18">
      <c r="B18" t="inlineStr">
        <is>
          <t>COALESCER</t>
        </is>
      </c>
      <c r="F18" t="inlineStr">
        <is>
          <t>BASINGSTOKE 82</t>
        </is>
      </c>
      <c r="H18" t="inlineStr">
        <is>
          <t>5 TANK TRAVEL HUB</t>
        </is>
      </c>
    </row>
    <row r="19">
      <c r="F19" t="inlineStr">
        <is>
          <t>BATH 154</t>
        </is>
      </c>
      <c r="H19" t="inlineStr">
        <is>
          <t>5 TANK DISTANCE</t>
        </is>
      </c>
    </row>
    <row r="20">
      <c r="F20" t="inlineStr">
        <is>
          <t>BEDFORD 103</t>
        </is>
      </c>
      <c r="H20" t="inlineStr">
        <is>
          <t>6 TANK SYSTEM</t>
        </is>
      </c>
    </row>
    <row r="21">
      <c r="F21" t="inlineStr">
        <is>
          <t>BERWICK-UPON-TWEED 371</t>
        </is>
      </c>
      <c r="H21" t="inlineStr">
        <is>
          <t>6 TANK TRAVEL HUB</t>
        </is>
      </c>
    </row>
    <row r="22">
      <c r="F22" t="inlineStr">
        <is>
          <t>BILLERICAY 37</t>
        </is>
      </c>
      <c r="H22" t="inlineStr">
        <is>
          <t>6 TANK DISTANCE</t>
        </is>
      </c>
    </row>
    <row r="23">
      <c r="F23" t="inlineStr">
        <is>
          <t>BIRKENHEAD 277</t>
        </is>
      </c>
    </row>
    <row r="24">
      <c r="F24" t="inlineStr">
        <is>
          <t>BIRMINGHAM 168</t>
        </is>
      </c>
    </row>
    <row r="25">
      <c r="F25" t="inlineStr">
        <is>
          <t>BLACKBURN 283</t>
        </is>
      </c>
    </row>
    <row r="26">
      <c r="F26" t="inlineStr">
        <is>
          <t>BLACKPOOL 289</t>
        </is>
      </c>
    </row>
    <row r="27">
      <c r="F27" t="inlineStr">
        <is>
          <t>BLANDFORD FORUM 144</t>
        </is>
      </c>
    </row>
    <row r="28">
      <c r="F28" t="inlineStr">
        <is>
          <t>BODMIN 273</t>
        </is>
      </c>
    </row>
    <row r="29">
      <c r="F29" t="inlineStr">
        <is>
          <t>BOGNOR REGIS 88</t>
        </is>
      </c>
    </row>
    <row r="30">
      <c r="F30" t="inlineStr">
        <is>
          <t>BOLTON 259</t>
        </is>
      </c>
    </row>
    <row r="31">
      <c r="F31" t="inlineStr">
        <is>
          <t>BOOTLE 272</t>
        </is>
      </c>
    </row>
    <row r="32">
      <c r="F32" t="inlineStr">
        <is>
          <t>BOURNEMOUTH 140</t>
        </is>
      </c>
    </row>
    <row r="33">
      <c r="F33" t="inlineStr">
        <is>
          <t>BRADFORD 234</t>
        </is>
      </c>
    </row>
    <row r="34">
      <c r="F34" t="inlineStr">
        <is>
          <t>BRAINTREE 60</t>
        </is>
      </c>
    </row>
    <row r="35">
      <c r="F35" t="inlineStr">
        <is>
          <t>BRIDGEND 205</t>
        </is>
      </c>
    </row>
    <row r="36">
      <c r="F36" t="inlineStr">
        <is>
          <t>BRIDLINGTON 244</t>
        </is>
      </c>
    </row>
    <row r="37">
      <c r="F37" t="inlineStr">
        <is>
          <t>BRIGHTON 68</t>
        </is>
      </c>
    </row>
    <row r="38">
      <c r="F38" t="inlineStr">
        <is>
          <t>BRISTOL 157</t>
        </is>
      </c>
    </row>
    <row r="39">
      <c r="F39" t="inlineStr">
        <is>
          <t>BUCKINGHAMSHIRE 109</t>
        </is>
      </c>
    </row>
    <row r="40">
      <c r="F40" t="inlineStr">
        <is>
          <t>BURNLEY 296</t>
        </is>
      </c>
    </row>
    <row r="41">
      <c r="F41" t="inlineStr">
        <is>
          <t>BURTON UPON TRENT 175</t>
        </is>
      </c>
    </row>
    <row r="42">
      <c r="F42" t="inlineStr">
        <is>
          <t>BURY ST EDMUNDS 98</t>
        </is>
      </c>
    </row>
    <row r="43">
      <c r="F43" t="inlineStr">
        <is>
          <t>CAMBRIDGE 85</t>
        </is>
      </c>
    </row>
    <row r="44">
      <c r="F44" t="inlineStr">
        <is>
          <t>CANNOCK 175</t>
        </is>
      </c>
    </row>
    <row r="45">
      <c r="F45" t="inlineStr">
        <is>
          <t>CANTERBURY 30</t>
        </is>
      </c>
    </row>
    <row r="46">
      <c r="F46" t="inlineStr">
        <is>
          <t>CARDIFF 192</t>
        </is>
      </c>
    </row>
    <row r="47">
      <c r="F47" t="inlineStr">
        <is>
          <t>CARLISLE 356</t>
        </is>
      </c>
    </row>
    <row r="48">
      <c r="F48" t="inlineStr">
        <is>
          <t>CARMARTHEN 252</t>
        </is>
      </c>
    </row>
    <row r="49">
      <c r="F49" t="inlineStr">
        <is>
          <t>CHELTENHAM 148</t>
        </is>
      </c>
    </row>
    <row r="50">
      <c r="F50" t="inlineStr">
        <is>
          <t>CHESTER 268</t>
        </is>
      </c>
    </row>
    <row r="51">
      <c r="F51" t="inlineStr">
        <is>
          <t>COVENTRY 146</t>
        </is>
      </c>
    </row>
    <row r="52">
      <c r="F52" t="inlineStr">
        <is>
          <t>CHIPPENHAM 136</t>
        </is>
      </c>
    </row>
    <row r="53">
      <c r="F53" t="inlineStr">
        <is>
          <t>COLCHESTER 78</t>
        </is>
      </c>
    </row>
    <row r="54">
      <c r="F54" t="inlineStr">
        <is>
          <t>CORBY 128</t>
        </is>
      </c>
    </row>
    <row r="55">
      <c r="F55" t="inlineStr">
        <is>
          <t>DARTMOUTH 245</t>
        </is>
      </c>
    </row>
    <row r="56">
      <c r="F56" t="inlineStr">
        <is>
          <t>DERBY 178</t>
        </is>
      </c>
    </row>
    <row r="57">
      <c r="F57" t="inlineStr">
        <is>
          <t>DONCASTER 203</t>
        </is>
      </c>
    </row>
    <row r="58">
      <c r="F58" t="inlineStr">
        <is>
          <t>DORCHESTER 160</t>
        </is>
      </c>
    </row>
    <row r="59">
      <c r="F59" t="inlineStr">
        <is>
          <t>DORKING 46</t>
        </is>
      </c>
    </row>
    <row r="60">
      <c r="F60" t="inlineStr">
        <is>
          <t>DOVER 45</t>
        </is>
      </c>
    </row>
    <row r="61">
      <c r="F61" t="inlineStr">
        <is>
          <t>DURHAM 299</t>
        </is>
      </c>
    </row>
    <row r="62">
      <c r="F62" t="inlineStr">
        <is>
          <t>EASTBOURNE 57</t>
        </is>
      </c>
    </row>
    <row r="63">
      <c r="F63" t="inlineStr">
        <is>
          <t>EASTLEIGH 109</t>
        </is>
      </c>
    </row>
    <row r="64">
      <c r="F64" t="inlineStr">
        <is>
          <t>EDINBURGH 428</t>
        </is>
      </c>
    </row>
    <row r="65">
      <c r="F65" t="inlineStr">
        <is>
          <t>ENFIELD 49</t>
        </is>
      </c>
    </row>
    <row r="66">
      <c r="F66" t="inlineStr">
        <is>
          <t>EXETER 205</t>
        </is>
      </c>
    </row>
    <row r="67">
      <c r="F67" t="inlineStr">
        <is>
          <t>EXMOUTH 207</t>
        </is>
      </c>
    </row>
    <row r="68">
      <c r="F68" t="inlineStr">
        <is>
          <t>FELIXSTOWE 103</t>
        </is>
      </c>
    </row>
    <row r="69">
      <c r="F69" t="inlineStr">
        <is>
          <t>GATWICK 44</t>
        </is>
      </c>
    </row>
    <row r="70">
      <c r="F70" t="inlineStr">
        <is>
          <t>GLASGOW 456</t>
        </is>
      </c>
    </row>
    <row r="71">
      <c r="F71" t="inlineStr">
        <is>
          <t>GLASTONBURY 164</t>
        </is>
      </c>
    </row>
    <row r="72">
      <c r="F72" t="inlineStr">
        <is>
          <t>GLOUCESTER 151</t>
        </is>
      </c>
    </row>
    <row r="73">
      <c r="F73" t="inlineStr">
        <is>
          <t>GRANTHAM 143</t>
        </is>
      </c>
    </row>
    <row r="74">
      <c r="F74" t="inlineStr">
        <is>
          <t>GREAT YARMOUTH 147</t>
        </is>
      </c>
    </row>
    <row r="75">
      <c r="F75" t="inlineStr">
        <is>
          <t>GRIMSBY 215</t>
        </is>
      </c>
    </row>
    <row r="76">
      <c r="F76" t="inlineStr">
        <is>
          <t>GUILDFORD 59</t>
        </is>
      </c>
    </row>
    <row r="77">
      <c r="F77" t="inlineStr">
        <is>
          <t>HARLOW 47</t>
        </is>
      </c>
    </row>
    <row r="78">
      <c r="F78" t="inlineStr">
        <is>
          <t>HARROGATE 236</t>
        </is>
      </c>
    </row>
    <row r="79">
      <c r="F79" t="inlineStr">
        <is>
          <t>HARTLEPOOL 286</t>
        </is>
      </c>
    </row>
    <row r="80">
      <c r="F80" t="inlineStr">
        <is>
          <t>HASTINGS 40</t>
        </is>
      </c>
    </row>
    <row r="81">
      <c r="F81" t="inlineStr">
        <is>
          <t>HEXHAM 325</t>
        </is>
      </c>
    </row>
    <row r="82">
      <c r="F82" t="inlineStr">
        <is>
          <t>HEREFORD 184</t>
        </is>
      </c>
    </row>
    <row r="83">
      <c r="F83" t="inlineStr">
        <is>
          <t>HIGH WYCOMBE 80</t>
        </is>
      </c>
    </row>
    <row r="84">
      <c r="F84" t="inlineStr">
        <is>
          <t>HIGHBRIDGE 187</t>
        </is>
      </c>
    </row>
    <row r="85">
      <c r="F85" t="inlineStr">
        <is>
          <t>HONITON 190</t>
        </is>
      </c>
    </row>
    <row r="86">
      <c r="F86" t="inlineStr">
        <is>
          <t>HORSHAM 55</t>
        </is>
      </c>
    </row>
    <row r="87">
      <c r="F87" t="inlineStr">
        <is>
          <t>HOUNSLOW 55</t>
        </is>
      </c>
    </row>
    <row r="88">
      <c r="F88" t="inlineStr">
        <is>
          <t>HUDDERSFIELD 239</t>
        </is>
      </c>
    </row>
    <row r="89">
      <c r="F89" t="inlineStr">
        <is>
          <t>HULL 247</t>
        </is>
      </c>
    </row>
    <row r="90">
      <c r="F90" t="inlineStr">
        <is>
          <t>HUNTINGDON 94</t>
        </is>
      </c>
    </row>
    <row r="91">
      <c r="F91" t="inlineStr">
        <is>
          <t>INVERNESS 619</t>
        </is>
      </c>
    </row>
    <row r="92">
      <c r="F92" t="inlineStr">
        <is>
          <t>IPSWICH 94</t>
        </is>
      </c>
    </row>
    <row r="93">
      <c r="F93" t="inlineStr">
        <is>
          <t>IRELAND</t>
        </is>
      </c>
    </row>
    <row r="94">
      <c r="F94" t="inlineStr">
        <is>
          <t>KENDAL 321</t>
        </is>
      </c>
    </row>
    <row r="95">
      <c r="F95" t="inlineStr">
        <is>
          <t>KETTERING 127</t>
        </is>
      </c>
    </row>
    <row r="96">
      <c r="F96" t="inlineStr">
        <is>
          <t>KIDDERMINSTER 179</t>
        </is>
      </c>
    </row>
    <row r="97">
      <c r="F97" t="inlineStr">
        <is>
          <t>KILMARNOCK 449</t>
        </is>
      </c>
    </row>
    <row r="98">
      <c r="F98" t="inlineStr">
        <is>
          <t>KINGSTON UPON HULL 220</t>
        </is>
      </c>
    </row>
    <row r="99">
      <c r="F99" t="inlineStr">
        <is>
          <t>KINGSTON UPON THAMES 52</t>
        </is>
      </c>
    </row>
    <row r="100">
      <c r="F100" t="inlineStr">
        <is>
          <t>LANCASTER 290</t>
        </is>
      </c>
    </row>
    <row r="101">
      <c r="F101" t="inlineStr">
        <is>
          <t>LAUNCESTON 251</t>
        </is>
      </c>
    </row>
    <row r="102">
      <c r="F102" t="inlineStr">
        <is>
          <t>LEAMINGTON SPA 146</t>
        </is>
      </c>
    </row>
    <row r="103">
      <c r="F103" t="inlineStr">
        <is>
          <t>LEEDS 231</t>
        </is>
      </c>
    </row>
    <row r="104">
      <c r="F104" t="inlineStr">
        <is>
          <t>LEICESTER 151</t>
        </is>
      </c>
    </row>
    <row r="105">
      <c r="F105" t="inlineStr">
        <is>
          <t>LEIGH ON SEA 45</t>
        </is>
      </c>
    </row>
    <row r="106">
      <c r="F106" t="inlineStr">
        <is>
          <t>LEWISHAM 29</t>
        </is>
      </c>
    </row>
    <row r="107">
      <c r="F107" t="inlineStr">
        <is>
          <t>LINCOLN 179</t>
        </is>
      </c>
    </row>
    <row r="108">
      <c r="F108" t="inlineStr">
        <is>
          <t>LIVERPOOL 258</t>
        </is>
      </c>
    </row>
    <row r="109">
      <c r="F109" t="inlineStr">
        <is>
          <t>LLANDUDNO 309</t>
        </is>
      </c>
    </row>
    <row r="110">
      <c r="F110" t="inlineStr">
        <is>
          <t>LONDON in FORS GOLD(varies)</t>
        </is>
      </c>
    </row>
    <row r="111">
      <c r="F111" t="inlineStr">
        <is>
          <t>LUTON 80</t>
        </is>
      </c>
    </row>
    <row r="112">
      <c r="F112" t="inlineStr">
        <is>
          <t>MABLETHORPE 182</t>
        </is>
      </c>
    </row>
    <row r="113">
      <c r="F113" t="inlineStr">
        <is>
          <t>MACCLESFIELD 244</t>
        </is>
      </c>
    </row>
    <row r="114">
      <c r="F114" t="inlineStr">
        <is>
          <t>MANCHESTER 251</t>
        </is>
      </c>
    </row>
    <row r="115">
      <c r="F115" t="inlineStr">
        <is>
          <t>MARGATE 46</t>
        </is>
      </c>
    </row>
    <row r="116">
      <c r="F116" t="inlineStr">
        <is>
          <t>MIDDLESBROUGH 286</t>
        </is>
      </c>
    </row>
    <row r="117">
      <c r="F117" t="inlineStr">
        <is>
          <t>MILFORD HAVEN 289</t>
        </is>
      </c>
    </row>
    <row r="118">
      <c r="F118" t="inlineStr">
        <is>
          <t>MILTON KEYNES 101</t>
        </is>
      </c>
    </row>
    <row r="119">
      <c r="F119" t="inlineStr">
        <is>
          <t>MORPETH 327</t>
        </is>
      </c>
    </row>
    <row r="120">
      <c r="F120" t="inlineStr">
        <is>
          <t>NANTWICH 232</t>
        </is>
      </c>
    </row>
    <row r="121">
      <c r="F121" t="inlineStr">
        <is>
          <t>NEWBURY 101</t>
        </is>
      </c>
    </row>
    <row r="122">
      <c r="F122" t="inlineStr">
        <is>
          <t>NEWCASTLE 308</t>
        </is>
      </c>
    </row>
    <row r="123">
      <c r="F123" t="inlineStr">
        <is>
          <t>NEWPORT 178</t>
        </is>
      </c>
    </row>
    <row r="124">
      <c r="F124" t="inlineStr">
        <is>
          <t>NEWQUAY 178</t>
        </is>
      </c>
    </row>
    <row r="125">
      <c r="F125" t="inlineStr">
        <is>
          <t>NORTHAMPTON 116</t>
        </is>
      </c>
    </row>
    <row r="126">
      <c r="F126" t="inlineStr">
        <is>
          <t>NORTHUMBERLAND 341</t>
        </is>
      </c>
    </row>
    <row r="127">
      <c r="F127" t="inlineStr">
        <is>
          <t>NORWICH 136</t>
        </is>
      </c>
    </row>
    <row r="128">
      <c r="F128" t="inlineStr">
        <is>
          <t>NOTTINGHAM 177</t>
        </is>
      </c>
    </row>
    <row r="129">
      <c r="F129" t="inlineStr">
        <is>
          <t>OKEHAMPTON 232</t>
        </is>
      </c>
    </row>
    <row r="130">
      <c r="F130" t="inlineStr">
        <is>
          <t>OXFORD 106</t>
        </is>
      </c>
    </row>
    <row r="131">
      <c r="F131" t="inlineStr">
        <is>
          <t>PENRITH 316</t>
        </is>
      </c>
    </row>
    <row r="132">
      <c r="F132" t="inlineStr">
        <is>
          <t>PENZANCE 318</t>
        </is>
      </c>
    </row>
    <row r="133">
      <c r="F133" t="inlineStr">
        <is>
          <t>PERTH 477</t>
        </is>
      </c>
    </row>
    <row r="134">
      <c r="F134" t="inlineStr">
        <is>
          <t>PETERBOROUGH 124</t>
        </is>
      </c>
    </row>
    <row r="135">
      <c r="F135" t="inlineStr">
        <is>
          <t>PETERSFIELD 87</t>
        </is>
      </c>
    </row>
    <row r="136">
      <c r="F136" t="inlineStr">
        <is>
          <t>PETWORTH 71</t>
        </is>
      </c>
    </row>
    <row r="137">
      <c r="F137" t="inlineStr">
        <is>
          <t>PLYMOUTH 247</t>
        </is>
      </c>
    </row>
    <row r="138">
      <c r="F138" t="inlineStr">
        <is>
          <t>PONTEFRACT 221</t>
        </is>
      </c>
    </row>
    <row r="139">
      <c r="F139" t="inlineStr">
        <is>
          <t>POOLE 144</t>
        </is>
      </c>
    </row>
    <row r="140">
      <c r="F140" t="inlineStr">
        <is>
          <t>PORTSMOUTH 102</t>
        </is>
      </c>
    </row>
    <row r="141">
      <c r="F141" t="inlineStr">
        <is>
          <t>READING 88</t>
        </is>
      </c>
    </row>
    <row r="142">
      <c r="F142" t="inlineStr">
        <is>
          <t>REIGATE 39</t>
        </is>
      </c>
    </row>
    <row r="143">
      <c r="F143" t="inlineStr">
        <is>
          <t>RINGWOOD 130</t>
        </is>
      </c>
    </row>
    <row r="144">
      <c r="F144" t="inlineStr">
        <is>
          <t>ROSS-ON-WYE 171</t>
        </is>
      </c>
    </row>
    <row r="145">
      <c r="F145" t="inlineStr">
        <is>
          <t>ROTHERHAM 203</t>
        </is>
      </c>
    </row>
    <row r="146">
      <c r="F146" t="inlineStr">
        <is>
          <t>SALISBURY 120</t>
        </is>
      </c>
    </row>
    <row r="147">
      <c r="F147" t="inlineStr">
        <is>
          <t>SCARBOROUGH 277</t>
        </is>
      </c>
    </row>
    <row r="148">
      <c r="F148" t="inlineStr">
        <is>
          <t>SCUNTHORPE 204</t>
        </is>
      </c>
    </row>
    <row r="149">
      <c r="F149" t="inlineStr">
        <is>
          <t>SHEFFIELD 205</t>
        </is>
      </c>
    </row>
    <row r="150">
      <c r="F150" t="inlineStr">
        <is>
          <t>SHREWSBURY 207</t>
        </is>
      </c>
    </row>
    <row r="151">
      <c r="F151" t="inlineStr">
        <is>
          <t>SHROPSHIRE 218</t>
        </is>
      </c>
    </row>
    <row r="152">
      <c r="F152" t="inlineStr">
        <is>
          <t>SLOUGH 72</t>
        </is>
      </c>
    </row>
    <row r="153">
      <c r="F153" t="inlineStr">
        <is>
          <t>SOUTH SHIELDS 310</t>
        </is>
      </c>
    </row>
    <row r="154">
      <c r="F154" t="inlineStr">
        <is>
          <t>SOUTHAMPTON 112</t>
        </is>
      </c>
    </row>
    <row r="155">
      <c r="F155" t="inlineStr">
        <is>
          <t>SOUTHEND 52</t>
        </is>
      </c>
    </row>
    <row r="156">
      <c r="F156" t="inlineStr">
        <is>
          <t>SOUTHPORT 279</t>
        </is>
      </c>
    </row>
    <row r="157">
      <c r="F157" t="inlineStr">
        <is>
          <t>SPALDING 143</t>
        </is>
      </c>
    </row>
    <row r="158">
      <c r="F158" t="inlineStr">
        <is>
          <t>ST ALBANS 62</t>
        </is>
      </c>
    </row>
    <row r="159">
      <c r="F159" t="inlineStr">
        <is>
          <t>ST IVES 317</t>
        </is>
      </c>
    </row>
    <row r="160">
      <c r="F160" t="inlineStr">
        <is>
          <t>STAFFORD 187</t>
        </is>
      </c>
    </row>
    <row r="161">
      <c r="F161" t="inlineStr">
        <is>
          <t>STAINES 61</t>
        </is>
      </c>
    </row>
    <row r="162">
      <c r="F162" t="inlineStr">
        <is>
          <t>STEVENAGE 72</t>
        </is>
      </c>
    </row>
    <row r="163">
      <c r="F163" t="inlineStr">
        <is>
          <t>STIRLING 445</t>
        </is>
      </c>
    </row>
    <row r="164">
      <c r="F164" t="inlineStr">
        <is>
          <t>STOCKPORT 257</t>
        </is>
      </c>
    </row>
    <row r="165">
      <c r="F165" t="inlineStr">
        <is>
          <t>STOCKTON 278</t>
        </is>
      </c>
    </row>
    <row r="166">
      <c r="F166" t="inlineStr">
        <is>
          <t>STOKE-ON-TRENT 205</t>
        </is>
      </c>
    </row>
    <row r="167">
      <c r="F167" t="inlineStr">
        <is>
          <t>STRATFORD UPON AVON 151</t>
        </is>
      </c>
    </row>
    <row r="168">
      <c r="F168" t="inlineStr">
        <is>
          <t>SUNDERLAND 309</t>
        </is>
      </c>
    </row>
    <row r="169">
      <c r="F169" t="inlineStr">
        <is>
          <t>SWINDON 121</t>
        </is>
      </c>
    </row>
    <row r="170">
      <c r="F170" t="inlineStr">
        <is>
          <t>TAMWORTH 180</t>
        </is>
      </c>
    </row>
    <row r="171">
      <c r="F171" t="inlineStr">
        <is>
          <t>TAUNTON 185</t>
        </is>
      </c>
    </row>
    <row r="172">
      <c r="F172" t="inlineStr">
        <is>
          <t>TELFORD 193</t>
        </is>
      </c>
    </row>
    <row r="173">
      <c r="F173" t="inlineStr">
        <is>
          <t>TILBURY 34</t>
        </is>
      </c>
    </row>
    <row r="174">
      <c r="F174" t="inlineStr">
        <is>
          <t>TORQUAY 227</t>
        </is>
      </c>
    </row>
    <row r="175">
      <c r="F175" t="inlineStr">
        <is>
          <t>TUNBRIDGE WELLS 26</t>
        </is>
      </c>
    </row>
    <row r="176">
      <c r="F176" t="inlineStr">
        <is>
          <t>UXBRIDGE 74</t>
        </is>
      </c>
    </row>
    <row r="177">
      <c r="F177" t="inlineStr">
        <is>
          <t>WAKEFIELD 214</t>
        </is>
      </c>
    </row>
    <row r="178">
      <c r="F178" t="inlineStr">
        <is>
          <t>WARMISTER 137</t>
        </is>
      </c>
    </row>
    <row r="179">
      <c r="F179" t="inlineStr">
        <is>
          <t>WARWICK 148</t>
        </is>
      </c>
    </row>
    <row r="180">
      <c r="F180" t="inlineStr">
        <is>
          <t>WATFORD 67</t>
        </is>
      </c>
    </row>
    <row r="181">
      <c r="F181" t="inlineStr">
        <is>
          <t>WELSHPOOL 238</t>
        </is>
      </c>
    </row>
    <row r="182">
      <c r="F182" t="inlineStr">
        <is>
          <t>WEMBLEY 55</t>
        </is>
      </c>
    </row>
    <row r="183">
      <c r="F183" t="inlineStr">
        <is>
          <t>WEYMOUTH 173</t>
        </is>
      </c>
    </row>
    <row r="184">
      <c r="F184" t="inlineStr">
        <is>
          <t>WHITBY 282</t>
        </is>
      </c>
    </row>
    <row r="185">
      <c r="F185" t="inlineStr">
        <is>
          <t>WIGAN 252</t>
        </is>
      </c>
    </row>
    <row r="186">
      <c r="F186" t="inlineStr">
        <is>
          <t>WINCANTON 149</t>
        </is>
      </c>
    </row>
    <row r="187">
      <c r="F187" t="inlineStr">
        <is>
          <t>WINCHESTER 100</t>
        </is>
      </c>
    </row>
    <row r="188">
      <c r="F188" t="inlineStr">
        <is>
          <t>WOKING 60</t>
        </is>
      </c>
    </row>
    <row r="189">
      <c r="F189" t="inlineStr">
        <is>
          <t>WOLVERHAMPTON 175</t>
        </is>
      </c>
    </row>
    <row r="190">
      <c r="F190" t="inlineStr">
        <is>
          <t>WORCESTER 160</t>
        </is>
      </c>
    </row>
    <row r="191">
      <c r="F191" t="inlineStr">
        <is>
          <t>WREXHAM 250</t>
        </is>
      </c>
    </row>
    <row r="192">
      <c r="F192" t="inlineStr">
        <is>
          <t>YEOVIL 163</t>
        </is>
      </c>
    </row>
    <row r="193">
      <c r="F193" t="inlineStr">
        <is>
          <t>YORK 243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 codeName="Sheet17">
    <tabColor theme="8" tint="0.7999816888943144"/>
    <outlinePr summaryBelow="1" summaryRight="1"/>
    <pageSetUpPr fitToPage="1"/>
  </sheetPr>
  <dimension ref="B1:AB82"/>
  <sheetViews>
    <sheetView zoomScale="90" zoomScaleNormal="90" workbookViewId="0">
      <selection activeCell="C4" sqref="C4"/>
    </sheetView>
  </sheetViews>
  <sheetFormatPr baseColWidth="10" defaultColWidth="13.1640625" defaultRowHeight="15" customHeight="1"/>
  <cols>
    <col width="2" customWidth="1" style="1088" min="1" max="1"/>
    <col width="32.6640625" bestFit="1" customWidth="1" style="1088" min="2" max="2"/>
    <col width="16.33203125" customWidth="1" style="119" min="3" max="3"/>
    <col width="32.33203125" customWidth="1" style="1088" min="4" max="4"/>
    <col width="14.5" bestFit="1" customWidth="1" style="1088" min="5" max="5"/>
    <col width="12.1640625" customWidth="1" style="331" min="6" max="6"/>
    <col width="13.5" customWidth="1" style="331" min="7" max="7"/>
    <col width="10.33203125" customWidth="1" style="119" min="8" max="8"/>
    <col hidden="1" width="11.5" customWidth="1" style="119" min="9" max="9"/>
    <col width="14.1640625" customWidth="1" style="119" min="10" max="10"/>
    <col width="13.1640625" customWidth="1" style="119" min="11" max="11"/>
    <col width="13.1640625" customWidth="1" style="1088" min="12" max="12"/>
    <col width="13.1640625" customWidth="1" style="120" min="13" max="13"/>
    <col width="13.1640625" customWidth="1" style="1088" min="14" max="15"/>
    <col width="13.1640625" customWidth="1" style="120" min="16" max="16"/>
    <col width="13.1640625" customWidth="1" style="1088" min="17" max="18"/>
    <col width="13.1640625" customWidth="1" style="120" min="19" max="19"/>
    <col width="13.1640625" customWidth="1" style="1088" min="20" max="27"/>
    <col width="13.1640625" customWidth="1" style="120" min="28" max="28"/>
    <col width="13.1640625" customWidth="1" style="1088" min="29" max="29"/>
    <col width="13.1640625" customWidth="1" style="1088" min="30" max="16384"/>
  </cols>
  <sheetData>
    <row r="1" ht="15" customFormat="1" customHeight="1" s="123" thickBot="1">
      <c r="B1" s="156" t="inlineStr">
        <is>
          <t>F24-19   AHU TESTING COST SHEET</t>
        </is>
      </c>
      <c r="C1" s="1090" t="inlineStr">
        <is>
          <t>UNDER CONSTRUCTION - WATCH THIS SPACE</t>
        </is>
      </c>
      <c r="D1" s="1082" t="n"/>
      <c r="E1" s="1082" t="n"/>
      <c r="F1" s="1082" t="n"/>
      <c r="G1" s="1082" t="n"/>
      <c r="H1" s="1082" t="n"/>
      <c r="I1" s="1082" t="n"/>
      <c r="J1" s="1083" t="n"/>
      <c r="K1" s="975" t="inlineStr">
        <is>
          <t>JAN25-19</t>
        </is>
      </c>
      <c r="R1" s="124" t="n"/>
      <c r="U1" s="125" t="n"/>
    </row>
    <row r="2" ht="15" customFormat="1" customHeight="1" s="1086">
      <c r="B2" s="102" t="n"/>
      <c r="C2" s="103" t="n"/>
      <c r="E2" s="66" t="n"/>
      <c r="F2" s="324" t="n"/>
      <c r="G2" s="325" t="n"/>
      <c r="H2" s="326" t="n"/>
      <c r="I2" s="320" t="n"/>
      <c r="J2" s="320" t="n"/>
      <c r="K2" s="148" t="n"/>
      <c r="P2" s="106" t="n"/>
      <c r="R2" s="100" t="n"/>
      <c r="U2" s="101" t="n"/>
    </row>
    <row r="3" ht="15" customFormat="1" customHeight="1" s="1086">
      <c r="B3" s="107" t="inlineStr">
        <is>
          <t>Job No</t>
        </is>
      </c>
      <c r="C3" s="1074">
        <f>IF(CANOPY!C3="","",CANOPY!C3)</f>
        <v/>
      </c>
      <c r="E3" s="108" t="inlineStr">
        <is>
          <t>Project Name</t>
        </is>
      </c>
      <c r="F3" s="1071">
        <f>IF(CANOPY!G3="","",CANOPY!G3)</f>
        <v/>
      </c>
      <c r="H3" s="326" t="n"/>
      <c r="I3" s="320" t="n"/>
      <c r="J3" s="320" t="n"/>
      <c r="K3" s="148" t="n"/>
      <c r="R3" s="100" t="n"/>
      <c r="U3" s="101" t="n"/>
    </row>
    <row r="4" ht="15" customFormat="1" customHeight="1" s="1086">
      <c r="B4" s="102" t="n"/>
      <c r="C4" s="102" t="n"/>
      <c r="E4" s="109" t="n"/>
      <c r="F4" s="332" t="n"/>
      <c r="G4" s="333" t="n"/>
      <c r="H4" s="326" t="n"/>
      <c r="I4" s="320" t="n"/>
      <c r="J4" s="320" t="n"/>
      <c r="K4" s="148" t="n"/>
      <c r="R4" s="100" t="n"/>
      <c r="U4" s="101" t="n"/>
    </row>
    <row r="5" ht="15" customFormat="1" customHeight="1" s="1086">
      <c r="B5" s="107" t="inlineStr">
        <is>
          <t>Customer</t>
        </is>
      </c>
      <c r="C5" s="1074">
        <f>IF(CANOPY!C5="","",CANOPY!C5)</f>
        <v/>
      </c>
      <c r="E5" s="108" t="inlineStr">
        <is>
          <t>Location</t>
        </is>
      </c>
      <c r="F5" s="1071">
        <f>IF(CANOPY!G5="","",CANOPY!G5)</f>
        <v/>
      </c>
      <c r="H5" s="326" t="n"/>
      <c r="I5" s="320" t="n"/>
      <c r="J5" s="320" t="n"/>
      <c r="K5" s="148" t="n"/>
      <c r="L5" s="110" t="n"/>
      <c r="R5" s="100" t="n"/>
      <c r="U5" s="101" t="n"/>
    </row>
    <row r="6" ht="15" customFormat="1" customHeight="1" s="1086">
      <c r="B6" s="107" t="n"/>
      <c r="C6" s="102" t="n"/>
      <c r="E6" s="108" t="n"/>
      <c r="F6" s="334" t="n"/>
      <c r="G6" s="335" t="n"/>
      <c r="H6" s="326" t="n"/>
      <c r="I6" s="320" t="n"/>
      <c r="J6" s="320" t="n"/>
      <c r="K6" s="148" t="n"/>
      <c r="L6" s="110" t="n"/>
      <c r="R6" s="111" t="n"/>
      <c r="U6" s="101" t="n"/>
    </row>
    <row r="7" ht="15" customFormat="1" customHeight="1" s="1086">
      <c r="B7" s="80" t="inlineStr">
        <is>
          <t>Sales Manager / Estimator initials</t>
        </is>
      </c>
      <c r="C7" s="1074">
        <f>IF(CANOPY!C7="","",CANOPY!C7)</f>
        <v/>
      </c>
      <c r="E7" s="108" t="inlineStr">
        <is>
          <t>Date</t>
        </is>
      </c>
      <c r="F7" s="1075">
        <f>IF(CANOPY!G7="","",CANOPY!G7)</f>
        <v/>
      </c>
      <c r="H7" s="326" t="n"/>
      <c r="J7" s="321" t="inlineStr">
        <is>
          <t>Revision No</t>
        </is>
      </c>
      <c r="K7" s="900">
        <f>IF(CANOPY!O7="","",CANOPY!O7)</f>
        <v/>
      </c>
      <c r="L7" s="110" t="n"/>
      <c r="M7" s="1091" t="inlineStr">
        <is>
          <t>GP SHOULD BE MINIMUM 30%</t>
        </is>
      </c>
      <c r="R7" s="111" t="n"/>
      <c r="U7" s="101" t="n"/>
    </row>
    <row r="8" ht="15" customFormat="1" customHeight="1" s="116">
      <c r="B8" s="113" t="n"/>
      <c r="D8" s="102" t="n"/>
      <c r="E8" s="115" t="n"/>
      <c r="F8" s="327" t="n"/>
      <c r="G8" s="114" t="n"/>
      <c r="H8" s="322" t="n"/>
      <c r="I8" s="322" t="n"/>
      <c r="J8" s="322" t="n"/>
      <c r="K8" s="322" t="n"/>
      <c r="M8" s="117" t="n"/>
      <c r="P8" s="117" t="n"/>
      <c r="S8" s="117" t="n"/>
      <c r="AB8" s="117" t="n"/>
    </row>
    <row r="9" ht="15" customHeight="1" s="1085">
      <c r="B9" s="38" t="inlineStr">
        <is>
          <t>CURRENCY</t>
        </is>
      </c>
      <c r="C9" s="948" t="n">
        <v>0</v>
      </c>
      <c r="D9" s="377">
        <f>IF(C9=0,0,(SUBTOTAL(9,I12:I66)/(1-C9))-I9)</f>
        <v/>
      </c>
      <c r="G9" s="25">
        <f>SUBTOTAL(9,G13:G66)</f>
        <v/>
      </c>
      <c r="H9" s="967">
        <f>IF(K9=0,"-",K9/I9)</f>
        <v/>
      </c>
      <c r="I9" s="25">
        <f>SUBTOTAL(9,I13:I67)</f>
        <v/>
      </c>
      <c r="J9" s="465">
        <f>SUBTOTAL(9,J13:J66)</f>
        <v/>
      </c>
      <c r="K9" s="25">
        <f>SUBTOTAL(9,K13:K66)</f>
        <v/>
      </c>
    </row>
    <row r="10" ht="15" customHeight="1" s="1085">
      <c r="B10" s="2" t="inlineStr">
        <is>
          <t>CURRENCY</t>
        </is>
      </c>
      <c r="C10" s="2" t="inlineStr">
        <is>
          <t>%</t>
        </is>
      </c>
      <c r="D10" s="2" t="inlineStr">
        <is>
          <t>COMMISSION</t>
        </is>
      </c>
      <c r="E10" s="317" t="n"/>
      <c r="F10" s="2" t="inlineStr">
        <is>
          <t>COST</t>
        </is>
      </c>
      <c r="G10" s="2" t="inlineStr">
        <is>
          <t>TOTAL COST</t>
        </is>
      </c>
      <c r="H10" s="3" t="inlineStr">
        <is>
          <t>GP</t>
        </is>
      </c>
      <c r="I10" s="4" t="inlineStr">
        <is>
          <t>SELL</t>
        </is>
      </c>
      <c r="J10" s="4" t="inlineStr">
        <is>
          <t>SELL</t>
        </is>
      </c>
      <c r="K10" s="318" t="inlineStr">
        <is>
          <t>PROFIT</t>
        </is>
      </c>
    </row>
    <row r="11" ht="15" customHeight="1" s="1085">
      <c r="B11" s="16" t="n"/>
      <c r="C11" s="17" t="n"/>
      <c r="D11" s="17" t="n"/>
      <c r="E11" s="18" t="n"/>
      <c r="F11" s="17" t="n"/>
      <c r="G11" s="17" t="n"/>
      <c r="H11" s="19" t="n"/>
      <c r="I11" s="20" t="n"/>
      <c r="J11" s="20" t="n"/>
      <c r="K11" s="21" t="n"/>
    </row>
    <row r="12" ht="15" customHeight="1" s="1085">
      <c r="B12" s="24" t="inlineStr">
        <is>
          <t>TEST PROCEDURE</t>
        </is>
      </c>
      <c r="C12" s="188" t="inlineStr">
        <is>
          <t>DAYS</t>
        </is>
      </c>
      <c r="D12" s="188" t="inlineStr">
        <is>
          <t>LOCATION</t>
        </is>
      </c>
      <c r="E12" s="23" t="n"/>
      <c r="F12" s="22" t="n"/>
      <c r="G12" s="61">
        <f>SUBTOTAL(9,G13:G54)</f>
        <v/>
      </c>
      <c r="H12" s="39">
        <f>IF(G13=0,"-",K12/I12)</f>
        <v/>
      </c>
      <c r="I12" s="61">
        <f>SUBTOTAL(9,I13:I54)</f>
        <v/>
      </c>
      <c r="J12" s="465">
        <f>SUBTOTAL(9,J13:J54)</f>
        <v/>
      </c>
      <c r="K12" s="61">
        <f>SUBTOTAL(9,K13:K54)</f>
        <v/>
      </c>
    </row>
    <row r="13" ht="15" customHeight="1" s="1085">
      <c r="B13" s="857" t="inlineStr">
        <is>
          <t>FAN &amp; AIRFLOW PER UNIT</t>
        </is>
      </c>
      <c r="C13" s="251" t="n"/>
      <c r="D13" s="853" t="n"/>
      <c r="E13" s="252" t="n"/>
      <c r="F13" s="385" t="n"/>
      <c r="G13" s="378">
        <f>C13*F13</f>
        <v/>
      </c>
      <c r="H13" s="381" t="n">
        <v>0.29</v>
      </c>
      <c r="I13" s="311">
        <f>G13/(1-H13)*(1+$C$9)</f>
        <v/>
      </c>
      <c r="J13" s="378">
        <f>I13*VLOOKUP($B$9,'Base Costs'!$A$32:$B$37,2,FALSE)</f>
        <v/>
      </c>
      <c r="K13" s="379">
        <f>I13-G13</f>
        <v/>
      </c>
    </row>
    <row r="14" ht="15" customHeight="1" s="1085">
      <c r="B14" s="584" t="inlineStr">
        <is>
          <t>TEST EQUIPMENT</t>
        </is>
      </c>
      <c r="C14" s="251" t="n">
        <v>1</v>
      </c>
      <c r="D14" s="853" t="inlineStr">
        <is>
          <t>FACTORY</t>
        </is>
      </c>
      <c r="E14" s="252" t="n"/>
      <c r="F14" s="385" t="n">
        <v>590</v>
      </c>
      <c r="G14" s="378">
        <f>C14*F14</f>
        <v/>
      </c>
      <c r="H14" s="381" t="n">
        <v>0.29</v>
      </c>
      <c r="I14" s="311">
        <f>G14/(1-H14)*(1+$C$9)</f>
        <v/>
      </c>
      <c r="J14" s="378">
        <f>I14*VLOOKUP($B$9,'Base Costs'!$A$32:$B$37,2,FALSE)</f>
        <v/>
      </c>
      <c r="K14" s="379">
        <f>I14-G14</f>
        <v/>
      </c>
    </row>
    <row r="15" ht="15" customHeight="1" s="1085">
      <c r="B15" s="584" t="inlineStr">
        <is>
          <t>ENGINEER</t>
        </is>
      </c>
      <c r="C15" s="251" t="n">
        <v>2</v>
      </c>
      <c r="D15" s="853" t="inlineStr">
        <is>
          <t>FACTORY</t>
        </is>
      </c>
      <c r="E15" s="252" t="n"/>
      <c r="F15" s="385" t="n">
        <v>360</v>
      </c>
      <c r="G15" s="378">
        <f>C15*F15</f>
        <v/>
      </c>
      <c r="H15" s="381" t="n">
        <v>0.29</v>
      </c>
      <c r="I15" s="311">
        <f>G15/(1-H15)*(1+$C$9)</f>
        <v/>
      </c>
      <c r="J15" s="378">
        <f>I15*VLOOKUP($B$9,'Base Costs'!$A$32:$B$37,2,FALSE)</f>
        <v/>
      </c>
      <c r="K15" s="379">
        <f>I15-G15</f>
        <v/>
      </c>
    </row>
    <row r="16" ht="15" customHeight="1" s="1085">
      <c r="B16" s="584" t="inlineStr">
        <is>
          <t>DUCTWORK</t>
        </is>
      </c>
      <c r="C16" s="251" t="n">
        <v>1</v>
      </c>
      <c r="D16" s="853" t="inlineStr">
        <is>
          <t>FACTORY</t>
        </is>
      </c>
      <c r="E16" s="252" t="n"/>
      <c r="F16" s="385" t="n">
        <v>200</v>
      </c>
      <c r="G16" s="378">
        <f>C16*F16</f>
        <v/>
      </c>
      <c r="H16" s="381" t="n">
        <v>0.29</v>
      </c>
      <c r="I16" s="311">
        <f>G16/(1-H16)*(1+$C$9)</f>
        <v/>
      </c>
      <c r="J16" s="378">
        <f>I16*VLOOKUP($B$9,'Base Costs'!$A$32:$B$37,2,FALSE)</f>
        <v/>
      </c>
      <c r="K16" s="379">
        <f>I16-G16</f>
        <v/>
      </c>
    </row>
    <row r="17" ht="15" customHeight="1" s="1085">
      <c r="B17" s="584" t="inlineStr">
        <is>
          <t>FACTORY SPACE</t>
        </is>
      </c>
      <c r="C17" s="251" t="n">
        <v>1</v>
      </c>
      <c r="D17" s="853" t="inlineStr">
        <is>
          <t>FACTORY</t>
        </is>
      </c>
      <c r="E17" s="252" t="n"/>
      <c r="F17" s="385" t="n">
        <v>250</v>
      </c>
      <c r="G17" s="378">
        <f>C17*F17</f>
        <v/>
      </c>
      <c r="H17" s="381" t="n">
        <v>0.29</v>
      </c>
      <c r="I17" s="311">
        <f>G17/(1-H17)*(1+$C$9)</f>
        <v/>
      </c>
      <c r="J17" s="378">
        <f>I17*VLOOKUP($B$9,'Base Costs'!$A$32:$B$37,2,FALSE)</f>
        <v/>
      </c>
      <c r="K17" s="379">
        <f>I17-G17</f>
        <v/>
      </c>
    </row>
    <row r="18" ht="15" customHeight="1" s="1085">
      <c r="B18" s="584" t="n"/>
      <c r="C18" s="251" t="n"/>
      <c r="D18" s="253" t="n"/>
      <c r="E18" s="252" t="n"/>
      <c r="F18" s="385">
        <f>26*1.03</f>
        <v/>
      </c>
      <c r="G18" s="378">
        <f>C18*F18</f>
        <v/>
      </c>
      <c r="H18" s="381" t="n">
        <v>0.29</v>
      </c>
      <c r="I18" s="311">
        <f>G18/(1-H18)*(1+$C$9)</f>
        <v/>
      </c>
      <c r="J18" s="378">
        <f>I18*VLOOKUP($B$9,'Base Costs'!$A$32:$B$37,2,FALSE)</f>
        <v/>
      </c>
      <c r="K18" s="379">
        <f>I18-G18</f>
        <v/>
      </c>
    </row>
    <row r="19" ht="15" customHeight="1" s="1085">
      <c r="B19" s="854" t="inlineStr">
        <is>
          <t>TEST EQUIPMENT</t>
        </is>
      </c>
      <c r="C19" s="251" t="n">
        <v>1</v>
      </c>
      <c r="D19" s="853" t="inlineStr">
        <is>
          <t>SITE</t>
        </is>
      </c>
      <c r="E19" s="252" t="n"/>
      <c r="F19" s="385" t="n">
        <v>590</v>
      </c>
      <c r="G19" s="378">
        <f>C19*F19</f>
        <v/>
      </c>
      <c r="H19" s="381" t="n">
        <v>0.44</v>
      </c>
      <c r="I19" s="311">
        <f>G19/(1-H19)*(1+$C$9)</f>
        <v/>
      </c>
      <c r="J19" s="378">
        <f>I19*VLOOKUP($B$9,'Base Costs'!$A$32:$B$37,2,FALSE)</f>
        <v/>
      </c>
      <c r="K19" s="379">
        <f>I19-G19</f>
        <v/>
      </c>
    </row>
    <row r="20" ht="15" customHeight="1" s="1085">
      <c r="B20" s="854" t="inlineStr">
        <is>
          <t>ENGINEER</t>
        </is>
      </c>
      <c r="C20" s="251" t="n">
        <v>2</v>
      </c>
      <c r="D20" s="853" t="inlineStr">
        <is>
          <t>SITE</t>
        </is>
      </c>
      <c r="E20" s="252" t="n"/>
      <c r="F20" s="385" t="n">
        <v>404</v>
      </c>
      <c r="G20" s="378">
        <f>C20*F20</f>
        <v/>
      </c>
      <c r="H20" s="381" t="n">
        <v>0.29</v>
      </c>
      <c r="I20" s="311">
        <f>G20/(1-H20)*(1+$C$9)</f>
        <v/>
      </c>
      <c r="J20" s="378">
        <f>I20*VLOOKUP($B$9,'Base Costs'!$A$32:$B$37,2,FALSE)</f>
        <v/>
      </c>
      <c r="K20" s="379">
        <f>I20-G20</f>
        <v/>
      </c>
    </row>
    <row r="21" ht="15" customHeight="1" s="1085">
      <c r="B21" s="582" t="n"/>
      <c r="C21" s="251" t="n"/>
      <c r="D21" s="254" t="n"/>
      <c r="E21" s="252" t="n"/>
      <c r="F21" s="385" t="n">
        <v>0</v>
      </c>
      <c r="G21" s="378">
        <f>C21*F21</f>
        <v/>
      </c>
      <c r="H21" s="381" t="n">
        <v>0.29</v>
      </c>
      <c r="I21" s="311">
        <f>G21/(1-H21)*(1+$C$9)</f>
        <v/>
      </c>
      <c r="J21" s="378">
        <f>I21*VLOOKUP($B$9,'Base Costs'!$A$32:$B$37,2,FALSE)</f>
        <v/>
      </c>
      <c r="K21" s="379">
        <f>I21-G21</f>
        <v/>
      </c>
    </row>
    <row r="22" ht="15" customHeight="1" s="1085">
      <c r="B22" s="582" t="n"/>
      <c r="C22" s="251" t="n"/>
      <c r="D22" s="253" t="n"/>
      <c r="E22" s="252" t="n"/>
      <c r="F22" s="385" t="n">
        <v>0</v>
      </c>
      <c r="G22" s="378">
        <f>C22*F22</f>
        <v/>
      </c>
      <c r="H22" s="381" t="n">
        <v>0.29</v>
      </c>
      <c r="I22" s="311">
        <f>G22/(1-H22)*(1+$C$9)</f>
        <v/>
      </c>
      <c r="J22" s="378">
        <f>I22*VLOOKUP($B$9,'Base Costs'!$A$32:$B$37,2,FALSE)</f>
        <v/>
      </c>
      <c r="K22" s="379">
        <f>I22-G22</f>
        <v/>
      </c>
    </row>
    <row r="23" ht="15" customHeight="1" s="1085">
      <c r="B23" s="857" t="inlineStr">
        <is>
          <t xml:space="preserve">PRESSURE  DROP PER MODULE </t>
        </is>
      </c>
      <c r="C23" s="251" t="n"/>
      <c r="D23" s="253" t="n"/>
      <c r="E23" s="252" t="n"/>
      <c r="F23" s="385" t="n">
        <v>0</v>
      </c>
      <c r="G23" s="378">
        <f>C23*F23</f>
        <v/>
      </c>
      <c r="H23" s="381" t="n">
        <v>0.29</v>
      </c>
      <c r="I23" s="311">
        <f>G23/(1-H23)*(1+$C$9)</f>
        <v/>
      </c>
      <c r="J23" s="378">
        <f>I23*VLOOKUP($B$9,'Base Costs'!$A$32:$B$37,2,FALSE)</f>
        <v/>
      </c>
      <c r="K23" s="379">
        <f>I23-G23</f>
        <v/>
      </c>
    </row>
    <row r="24" ht="15" customHeight="1" s="1085">
      <c r="B24" s="858" t="inlineStr">
        <is>
          <t>TEST EQUIPMENT</t>
        </is>
      </c>
      <c r="C24" s="251" t="n">
        <v>1</v>
      </c>
      <c r="D24" s="853" t="inlineStr">
        <is>
          <t>FACTORY</t>
        </is>
      </c>
      <c r="E24" s="252" t="n"/>
      <c r="F24" s="385" t="n">
        <v>250</v>
      </c>
      <c r="G24" s="378">
        <f>C24*F24</f>
        <v/>
      </c>
      <c r="H24" s="381" t="n">
        <v>0.29</v>
      </c>
      <c r="I24" s="311">
        <f>G24/(1-H24)*(1+$C$9)</f>
        <v/>
      </c>
      <c r="J24" s="378">
        <f>I24*VLOOKUP($B$9,'Base Costs'!$A$32:$B$37,2,FALSE)</f>
        <v/>
      </c>
      <c r="K24" s="379">
        <f>I24-G24</f>
        <v/>
      </c>
    </row>
    <row r="25" ht="15" customHeight="1" s="1085">
      <c r="B25" s="856" t="inlineStr">
        <is>
          <t>ENGINEER</t>
        </is>
      </c>
      <c r="C25" s="251" t="n">
        <v>0.5</v>
      </c>
      <c r="D25" s="853" t="inlineStr">
        <is>
          <t>FACTORY</t>
        </is>
      </c>
      <c r="E25" s="252" t="n"/>
      <c r="F25" s="385" t="n">
        <v>360</v>
      </c>
      <c r="G25" s="378">
        <f>C25*F25</f>
        <v/>
      </c>
      <c r="H25" s="381" t="n">
        <v>0.29</v>
      </c>
      <c r="I25" s="311">
        <f>G25/(1-H25)*(1+$C$9)</f>
        <v/>
      </c>
      <c r="J25" s="378">
        <f>I25*VLOOKUP($B$9,'Base Costs'!$A$32:$B$37,2,FALSE)</f>
        <v/>
      </c>
      <c r="K25" s="379">
        <f>I25-G25</f>
        <v/>
      </c>
    </row>
    <row r="26" ht="15" customHeight="1" s="1085">
      <c r="B26" s="583" t="n"/>
      <c r="C26" s="251" t="n"/>
      <c r="D26" s="253" t="n"/>
      <c r="E26" s="252" t="n"/>
      <c r="F26" s="385" t="n"/>
      <c r="G26" s="378">
        <f>C26*F26</f>
        <v/>
      </c>
      <c r="H26" s="381" t="n">
        <v>0.29</v>
      </c>
      <c r="I26" s="311">
        <f>G26/(1-H26)*(1+$C$9)</f>
        <v/>
      </c>
      <c r="J26" s="378">
        <f>I26*VLOOKUP($B$9,'Base Costs'!$A$32:$B$37,2,FALSE)</f>
        <v/>
      </c>
      <c r="K26" s="379">
        <f>I26-G26</f>
        <v/>
      </c>
    </row>
    <row r="27" ht="15" customHeight="1" s="1085">
      <c r="B27" s="859" t="inlineStr">
        <is>
          <t>TEST EQUIPMENT</t>
        </is>
      </c>
      <c r="C27" s="251" t="n">
        <v>1</v>
      </c>
      <c r="D27" s="853" t="inlineStr">
        <is>
          <t>SITE</t>
        </is>
      </c>
      <c r="E27" s="252" t="n"/>
      <c r="F27" s="385" t="n">
        <v>250</v>
      </c>
      <c r="G27" s="378">
        <f>C27*F27</f>
        <v/>
      </c>
      <c r="H27" s="381" t="n">
        <v>0.29</v>
      </c>
      <c r="I27" s="311">
        <f>G27/(1-H27)*(1+$C$9)</f>
        <v/>
      </c>
      <c r="J27" s="378">
        <f>I27*VLOOKUP($B$9,'Base Costs'!$A$32:$B$37,2,FALSE)</f>
        <v/>
      </c>
      <c r="K27" s="379">
        <f>I27-G27</f>
        <v/>
      </c>
    </row>
    <row r="28" ht="15" customHeight="1" s="1085">
      <c r="B28" s="859" t="inlineStr">
        <is>
          <t>ENGINEER</t>
        </is>
      </c>
      <c r="C28" s="251" t="n">
        <v>0.5</v>
      </c>
      <c r="D28" s="853" t="inlineStr">
        <is>
          <t>SITE</t>
        </is>
      </c>
      <c r="E28" s="252" t="n"/>
      <c r="F28" s="385" t="n">
        <v>404</v>
      </c>
      <c r="G28" s="378">
        <f>C28*F28</f>
        <v/>
      </c>
      <c r="H28" s="381" t="n">
        <v>0.29</v>
      </c>
      <c r="I28" s="311">
        <f>G28/(1-H28)*(1+$C$9)</f>
        <v/>
      </c>
      <c r="J28" s="378">
        <f>I28*VLOOKUP($B$9,'Base Costs'!$A$32:$B$37,2,FALSE)</f>
        <v/>
      </c>
      <c r="K28" s="379">
        <f>I28-G28</f>
        <v/>
      </c>
    </row>
    <row r="29" ht="15" customHeight="1" s="1085">
      <c r="B29" s="583" t="n"/>
      <c r="C29" s="251" t="n"/>
      <c r="D29" s="253" t="n"/>
      <c r="E29" s="252" t="n"/>
      <c r="F29" s="385" t="n">
        <v>0</v>
      </c>
      <c r="G29" s="378">
        <f>C29*F29</f>
        <v/>
      </c>
      <c r="H29" s="381" t="n">
        <v>0.29</v>
      </c>
      <c r="I29" s="311">
        <f>G29/(1-H29)*(1+$C$9)</f>
        <v/>
      </c>
      <c r="J29" s="378">
        <f>I29*VLOOKUP($B$9,'Base Costs'!$A$32:$B$37,2,FALSE)</f>
        <v/>
      </c>
      <c r="K29" s="379">
        <f>I29-G29</f>
        <v/>
      </c>
    </row>
    <row r="30" ht="15" customHeight="1" s="1085">
      <c r="B30" s="583" t="n"/>
      <c r="C30" s="251" t="n"/>
      <c r="D30" s="253" t="n"/>
      <c r="E30" s="252" t="n"/>
      <c r="F30" s="385" t="n">
        <v>0</v>
      </c>
      <c r="G30" s="378">
        <f>C30*F30</f>
        <v/>
      </c>
      <c r="H30" s="381" t="n">
        <v>0.29</v>
      </c>
      <c r="I30" s="311">
        <f>G30/(1-H30)*(1+$C$9)</f>
        <v/>
      </c>
      <c r="J30" s="378">
        <f>I30*VLOOKUP($B$9,'Base Costs'!$A$32:$B$37,2,FALSE)</f>
        <v/>
      </c>
      <c r="K30" s="379">
        <f>I30-G30</f>
        <v/>
      </c>
    </row>
    <row r="31" ht="15" customHeight="1" s="1085">
      <c r="B31" s="860" t="inlineStr">
        <is>
          <t>CASING AIR LEAKAGE PER UNIT</t>
        </is>
      </c>
      <c r="C31" s="251" t="n"/>
      <c r="D31" s="253" t="n"/>
      <c r="E31" s="252" t="n"/>
      <c r="F31" s="385" t="n">
        <v>0</v>
      </c>
      <c r="G31" s="378">
        <f>C31*F31</f>
        <v/>
      </c>
      <c r="H31" s="381" t="n">
        <v>0.29</v>
      </c>
      <c r="I31" s="311">
        <f>G31/(1-H31)*(1+$C$9)</f>
        <v/>
      </c>
      <c r="J31" s="378">
        <f>I31*VLOOKUP($B$9,'Base Costs'!$A$32:$B$37,2,FALSE)</f>
        <v/>
      </c>
      <c r="K31" s="379">
        <f>I31-G31</f>
        <v/>
      </c>
    </row>
    <row r="32" ht="15" customHeight="1" s="1085">
      <c r="B32" s="859" t="inlineStr">
        <is>
          <t>TEST EQUIPMENT</t>
        </is>
      </c>
      <c r="C32" s="251" t="n">
        <v>1</v>
      </c>
      <c r="D32" s="853" t="inlineStr">
        <is>
          <t>FACTORY</t>
        </is>
      </c>
      <c r="E32" s="252" t="n"/>
      <c r="F32" s="385" t="n">
        <v>555</v>
      </c>
      <c r="G32" s="378">
        <f>C32*F32</f>
        <v/>
      </c>
      <c r="H32" s="381" t="n">
        <v>0.29</v>
      </c>
      <c r="I32" s="311">
        <f>G32/(1-H32)*(1+$C$9)</f>
        <v/>
      </c>
      <c r="J32" s="378">
        <f>I32*VLOOKUP($B$9,'Base Costs'!$A$32:$B$37,2,FALSE)</f>
        <v/>
      </c>
      <c r="K32" s="379">
        <f>I32-G32</f>
        <v/>
      </c>
    </row>
    <row r="33" ht="15" customHeight="1" s="1085">
      <c r="B33" s="583" t="inlineStr">
        <is>
          <t>ENGINEER</t>
        </is>
      </c>
      <c r="C33" s="251" t="n">
        <v>1</v>
      </c>
      <c r="D33" s="853" t="inlineStr">
        <is>
          <t>FACTORY</t>
        </is>
      </c>
      <c r="E33" s="252" t="n"/>
      <c r="F33" s="385" t="n">
        <v>360</v>
      </c>
      <c r="G33" s="378">
        <f>C33*F33</f>
        <v/>
      </c>
      <c r="H33" s="381" t="n">
        <v>0.29</v>
      </c>
      <c r="I33" s="311">
        <f>G33/(1-H33)*(1+$C$9)</f>
        <v/>
      </c>
      <c r="J33" s="378">
        <f>I33*VLOOKUP($B$9,'Base Costs'!$A$32:$B$37,2,FALSE)</f>
        <v/>
      </c>
      <c r="K33" s="379">
        <f>I33-G33</f>
        <v/>
      </c>
    </row>
    <row r="34" ht="15" customHeight="1" s="1085">
      <c r="B34" s="583" t="inlineStr">
        <is>
          <t>CAPPING PLATES</t>
        </is>
      </c>
      <c r="C34" s="251" t="n">
        <v>2</v>
      </c>
      <c r="D34" s="853" t="inlineStr">
        <is>
          <t>FACTORY</t>
        </is>
      </c>
      <c r="E34" s="252" t="n"/>
      <c r="F34" s="385" t="n">
        <v>75</v>
      </c>
      <c r="G34" s="378">
        <f>C34*F34</f>
        <v/>
      </c>
      <c r="H34" s="381" t="n">
        <v>0.29</v>
      </c>
      <c r="I34" s="311">
        <f>G34/(1-H34)*(1+$C$9)</f>
        <v/>
      </c>
      <c r="J34" s="378">
        <f>I34*VLOOKUP($B$9,'Base Costs'!$A$32:$B$37,2,FALSE)</f>
        <v/>
      </c>
      <c r="K34" s="379">
        <f>I34-G34</f>
        <v/>
      </c>
    </row>
    <row r="35" ht="15" customHeight="1" s="1085">
      <c r="B35" s="583" t="inlineStr">
        <is>
          <t>FACTORY SPACE</t>
        </is>
      </c>
      <c r="C35" s="251" t="n">
        <v>1</v>
      </c>
      <c r="D35" s="853" t="inlineStr">
        <is>
          <t>FACTORY</t>
        </is>
      </c>
      <c r="E35" s="252" t="n"/>
      <c r="F35" s="385" t="n">
        <v>250</v>
      </c>
      <c r="G35" s="378">
        <f>C35*F35</f>
        <v/>
      </c>
      <c r="H35" s="381" t="n">
        <v>0.29</v>
      </c>
      <c r="I35" s="311">
        <f>G35/(1-H35)*(1+$C$9)</f>
        <v/>
      </c>
      <c r="J35" s="378">
        <f>I35*VLOOKUP($B$9,'Base Costs'!$A$32:$B$37,2,FALSE)</f>
        <v/>
      </c>
      <c r="K35" s="379">
        <f>I35-G35</f>
        <v/>
      </c>
    </row>
    <row r="36" ht="15" customHeight="1" s="1085">
      <c r="B36" s="583" t="n"/>
      <c r="C36" s="251" t="n"/>
      <c r="D36" s="253" t="n"/>
      <c r="E36" s="252" t="n"/>
      <c r="F36" s="385">
        <f>26*1.03</f>
        <v/>
      </c>
      <c r="G36" s="378">
        <f>C36*F36</f>
        <v/>
      </c>
      <c r="H36" s="381" t="n">
        <v>0.29</v>
      </c>
      <c r="I36" s="311">
        <f>G36/(1-H36)*(1+$C$9)</f>
        <v/>
      </c>
      <c r="J36" s="378">
        <f>I36*VLOOKUP($B$9,'Base Costs'!$A$32:$B$37,2,FALSE)</f>
        <v/>
      </c>
      <c r="K36" s="379">
        <f>I36-G36</f>
        <v/>
      </c>
    </row>
    <row r="37" ht="15" customHeight="1" s="1085">
      <c r="B37" s="859" t="inlineStr">
        <is>
          <t>TEST EQUIPMENT</t>
        </is>
      </c>
      <c r="C37" s="251" t="n">
        <v>1</v>
      </c>
      <c r="D37" s="853" t="inlineStr">
        <is>
          <t>SITE</t>
        </is>
      </c>
      <c r="E37" s="252" t="n"/>
      <c r="F37" s="385" t="n">
        <v>555</v>
      </c>
      <c r="G37" s="378">
        <f>C37*F37</f>
        <v/>
      </c>
      <c r="H37" s="381" t="n">
        <v>0.29</v>
      </c>
      <c r="I37" s="311">
        <f>G37/(1-H37)*(1+$C$9)</f>
        <v/>
      </c>
      <c r="J37" s="378">
        <f>I37*VLOOKUP($B$9,'Base Costs'!$A$32:$B$37,2,FALSE)</f>
        <v/>
      </c>
      <c r="K37" s="379">
        <f>I37-G37</f>
        <v/>
      </c>
    </row>
    <row r="38" ht="15" customHeight="1" s="1085">
      <c r="B38" s="583" t="inlineStr">
        <is>
          <t>ENGINEER</t>
        </is>
      </c>
      <c r="C38" s="251" t="n">
        <v>1</v>
      </c>
      <c r="D38" s="853" t="inlineStr">
        <is>
          <t>SITE</t>
        </is>
      </c>
      <c r="E38" s="252" t="n"/>
      <c r="F38" s="385" t="n">
        <v>404</v>
      </c>
      <c r="G38" s="378">
        <f>C38*F38</f>
        <v/>
      </c>
      <c r="H38" s="381" t="n">
        <v>0.29</v>
      </c>
      <c r="I38" s="311">
        <f>G38/(1-H38)*(1+$C$9)</f>
        <v/>
      </c>
      <c r="J38" s="378">
        <f>I38*VLOOKUP($B$9,'Base Costs'!$A$32:$B$37,2,FALSE)</f>
        <v/>
      </c>
      <c r="K38" s="379">
        <f>I38-G38</f>
        <v/>
      </c>
    </row>
    <row r="39" ht="15" customHeight="1" s="1085">
      <c r="B39" s="583" t="inlineStr">
        <is>
          <t>CAPPING PLATES</t>
        </is>
      </c>
      <c r="C39" s="251" t="n">
        <v>2</v>
      </c>
      <c r="D39" s="853" t="inlineStr">
        <is>
          <t>SITE</t>
        </is>
      </c>
      <c r="E39" s="252" t="n"/>
      <c r="F39" s="385" t="n">
        <v>75</v>
      </c>
      <c r="G39" s="378">
        <f>C39*F39</f>
        <v/>
      </c>
      <c r="H39" s="381" t="n">
        <v>0.29</v>
      </c>
      <c r="I39" s="311">
        <f>G39/(1-H39)*(1+$C$9)</f>
        <v/>
      </c>
      <c r="J39" s="378">
        <f>I39*VLOOKUP($B$9,'Base Costs'!$A$32:$B$37,2,FALSE)</f>
        <v/>
      </c>
      <c r="K39" s="379">
        <f>I39-G39</f>
        <v/>
      </c>
    </row>
    <row r="40" ht="15" customHeight="1" s="1085">
      <c r="B40" s="584" t="n"/>
      <c r="C40" s="251" t="n"/>
      <c r="D40" s="793" t="n"/>
      <c r="E40" s="252" t="n"/>
      <c r="F40" s="385" t="n"/>
      <c r="G40" s="378">
        <f>C40*F40</f>
        <v/>
      </c>
      <c r="H40" s="381" t="n">
        <v>0.29</v>
      </c>
      <c r="I40" s="311">
        <f>G40/(1-H40)*(1+$C$9)</f>
        <v/>
      </c>
      <c r="J40" s="378">
        <f>I40*VLOOKUP($B$9,'Base Costs'!$A$32:$B$37,2,FALSE)</f>
        <v/>
      </c>
      <c r="K40" s="379">
        <f>I40-G40</f>
        <v/>
      </c>
    </row>
    <row r="41" ht="15" customHeight="1" s="1085">
      <c r="B41" s="584" t="n"/>
      <c r="C41" s="251" t="n"/>
      <c r="D41" s="794" t="n"/>
      <c r="E41" s="252" t="n"/>
      <c r="F41" s="385" t="n"/>
      <c r="G41" s="378">
        <f>C41*F41</f>
        <v/>
      </c>
      <c r="H41" s="381" t="n">
        <v>0.29</v>
      </c>
      <c r="I41" s="311">
        <f>G41/(1-H41)*(1+$C$9)</f>
        <v/>
      </c>
      <c r="J41" s="378">
        <f>I41*VLOOKUP($B$9,'Base Costs'!$A$32:$B$37,2,FALSE)</f>
        <v/>
      </c>
      <c r="K41" s="379">
        <f>I41-G41</f>
        <v/>
      </c>
    </row>
    <row r="42" ht="15" customHeight="1" s="1085">
      <c r="B42" s="860" t="inlineStr">
        <is>
          <t xml:space="preserve">FILTER BYPASS PER MODULE </t>
        </is>
      </c>
      <c r="C42" s="251" t="n"/>
      <c r="D42" s="794" t="n"/>
      <c r="E42" s="252" t="n"/>
      <c r="F42" s="385" t="n"/>
      <c r="G42" s="378">
        <f>C42*F42</f>
        <v/>
      </c>
      <c r="H42" s="381" t="n">
        <v>0.29</v>
      </c>
      <c r="I42" s="311">
        <f>G42/(1-H42)*(1+$C$9)</f>
        <v/>
      </c>
      <c r="J42" s="378">
        <f>I42*VLOOKUP($B$9,'Base Costs'!$A$32:$B$37,2,FALSE)</f>
        <v/>
      </c>
      <c r="K42" s="379">
        <f>I42-G42</f>
        <v/>
      </c>
    </row>
    <row r="43" ht="15" customHeight="1" s="1085">
      <c r="B43" s="855" t="inlineStr">
        <is>
          <t>TEST EQUIPMENT</t>
        </is>
      </c>
      <c r="C43" s="251" t="n">
        <v>1</v>
      </c>
      <c r="D43" s="853" t="inlineStr">
        <is>
          <t>FACTORY</t>
        </is>
      </c>
      <c r="E43" s="252" t="n"/>
      <c r="F43" s="385" t="n">
        <v>250</v>
      </c>
      <c r="G43" s="378">
        <f>C43*F43</f>
        <v/>
      </c>
      <c r="H43" s="381" t="n">
        <v>0.29</v>
      </c>
      <c r="I43" s="311">
        <f>G43/(1-H43)*(1+$C$9)</f>
        <v/>
      </c>
      <c r="J43" s="378">
        <f>I43*VLOOKUP($B$9,'Base Costs'!$A$32:$B$37,2,FALSE)</f>
        <v/>
      </c>
      <c r="K43" s="379">
        <f>I43-G43</f>
        <v/>
      </c>
    </row>
    <row r="44" ht="15" customHeight="1" s="1085">
      <c r="B44" s="855" t="inlineStr">
        <is>
          <t>ENGINEER</t>
        </is>
      </c>
      <c r="C44" s="251" t="n">
        <v>1</v>
      </c>
      <c r="D44" s="853" t="inlineStr">
        <is>
          <t>FACTORY</t>
        </is>
      </c>
      <c r="E44" s="252" t="n"/>
      <c r="F44" s="385" t="n">
        <v>360</v>
      </c>
      <c r="G44" s="378">
        <f>C44*F44</f>
        <v/>
      </c>
      <c r="H44" s="381" t="n">
        <v>0.29</v>
      </c>
      <c r="I44" s="311">
        <f>G44/(1-H44)*(1+$C$9)</f>
        <v/>
      </c>
      <c r="J44" s="378">
        <f>I44*VLOOKUP($B$9,'Base Costs'!$A$32:$B$37,2,FALSE)</f>
        <v/>
      </c>
      <c r="K44" s="379">
        <f>I44-G44</f>
        <v/>
      </c>
    </row>
    <row r="45" ht="15" customHeight="1" s="1085">
      <c r="B45" s="855" t="inlineStr">
        <is>
          <t>CAPPING PLATES</t>
        </is>
      </c>
      <c r="C45" s="251" t="n">
        <v>2</v>
      </c>
      <c r="D45" s="853" t="inlineStr">
        <is>
          <t>FACTORY</t>
        </is>
      </c>
      <c r="E45" s="252" t="n"/>
      <c r="F45" s="385" t="n">
        <v>75</v>
      </c>
      <c r="G45" s="378">
        <f>C45*F45</f>
        <v/>
      </c>
      <c r="H45" s="381" t="n">
        <v>0.29</v>
      </c>
      <c r="I45" s="311">
        <f>G45/(1-H45)*(1+$C$9)</f>
        <v/>
      </c>
      <c r="J45" s="378">
        <f>I45*VLOOKUP($B$9,'Base Costs'!$A$32:$B$37,2,FALSE)</f>
        <v/>
      </c>
      <c r="K45" s="379">
        <f>I45-G45</f>
        <v/>
      </c>
    </row>
    <row r="46" ht="15" customHeight="1" s="1085">
      <c r="B46" s="855" t="inlineStr">
        <is>
          <t>FACTORY SPACE</t>
        </is>
      </c>
      <c r="C46" s="251" t="n">
        <v>1</v>
      </c>
      <c r="D46" s="853" t="inlineStr">
        <is>
          <t>FACTORY</t>
        </is>
      </c>
      <c r="E46" s="252" t="n"/>
      <c r="F46" s="385" t="n">
        <v>250</v>
      </c>
      <c r="G46" s="378">
        <f>C46*F46</f>
        <v/>
      </c>
      <c r="H46" s="381" t="n">
        <v>0.29</v>
      </c>
      <c r="I46" s="311">
        <f>G46/(1-H46)*(1+$C$9)</f>
        <v/>
      </c>
      <c r="J46" s="378">
        <f>I46*VLOOKUP($B$9,'Base Costs'!$A$32:$B$37,2,FALSE)</f>
        <v/>
      </c>
      <c r="K46" s="379">
        <f>I46-G46</f>
        <v/>
      </c>
    </row>
    <row r="47" ht="15" customHeight="1" s="1085">
      <c r="B47" s="855" t="n"/>
      <c r="C47" s="251" t="n"/>
      <c r="D47" s="1087" t="n"/>
      <c r="F47" s="385" t="n">
        <v>550</v>
      </c>
      <c r="G47" s="378">
        <f>C47*F47</f>
        <v/>
      </c>
      <c r="H47" s="381" t="n">
        <v>0.29</v>
      </c>
      <c r="I47" s="311">
        <f>G47/(1-H47)*(1+$C$9)</f>
        <v/>
      </c>
      <c r="J47" s="378">
        <f>I47*VLOOKUP($B$9,'Base Costs'!$A$32:$B$37,2,FALSE)</f>
        <v/>
      </c>
      <c r="K47" s="379">
        <f>I47-G47</f>
        <v/>
      </c>
    </row>
    <row r="48" ht="15" customHeight="1" s="1085">
      <c r="B48" s="855" t="inlineStr">
        <is>
          <t>TEST EQUIPMENT</t>
        </is>
      </c>
      <c r="C48" s="251" t="n">
        <v>1</v>
      </c>
      <c r="D48" s="853" t="inlineStr">
        <is>
          <t>SITE</t>
        </is>
      </c>
      <c r="E48" s="252" t="n"/>
      <c r="F48" s="385" t="n">
        <v>75</v>
      </c>
      <c r="G48" s="378">
        <f>C48*F48</f>
        <v/>
      </c>
      <c r="H48" s="381" t="n">
        <v>0.29</v>
      </c>
      <c r="I48" s="311">
        <f>G48/(1-H48)*(1+$C$9)</f>
        <v/>
      </c>
      <c r="J48" s="378">
        <f>I48*VLOOKUP($B$9,'Base Costs'!$A$32:$B$37,2,FALSE)</f>
        <v/>
      </c>
      <c r="K48" s="379">
        <f>I48-G48</f>
        <v/>
      </c>
    </row>
    <row r="49" ht="15" customHeight="1" s="1085">
      <c r="B49" s="855" t="inlineStr">
        <is>
          <t>ENGINEER</t>
        </is>
      </c>
      <c r="C49" s="251" t="n">
        <v>1</v>
      </c>
      <c r="D49" s="853" t="inlineStr">
        <is>
          <t>SITE</t>
        </is>
      </c>
      <c r="E49" s="252" t="n"/>
      <c r="F49" s="385" t="n">
        <v>404</v>
      </c>
      <c r="G49" s="378">
        <f>C49*F49</f>
        <v/>
      </c>
      <c r="H49" s="381" t="n">
        <v>0.29</v>
      </c>
      <c r="I49" s="311">
        <f>G49/(1-H49)*(1+$C$9)</f>
        <v/>
      </c>
      <c r="J49" s="378">
        <f>I49*VLOOKUP($B$9,'Base Costs'!$A$32:$B$37,2,FALSE)</f>
        <v/>
      </c>
      <c r="K49" s="379">
        <f>I49-G49</f>
        <v/>
      </c>
    </row>
    <row r="50" ht="15" customHeight="1" s="1085">
      <c r="B50" s="855" t="inlineStr">
        <is>
          <t>CAPPING PLATES</t>
        </is>
      </c>
      <c r="C50" s="251" t="n">
        <v>2</v>
      </c>
      <c r="D50" s="853" t="inlineStr">
        <is>
          <t>SITE</t>
        </is>
      </c>
      <c r="E50" s="252" t="n"/>
      <c r="F50" s="385" t="n">
        <v>75</v>
      </c>
      <c r="G50" s="378">
        <f>C50*F50</f>
        <v/>
      </c>
      <c r="H50" s="381" t="n">
        <v>0.29</v>
      </c>
      <c r="I50" s="311">
        <f>G50/(1-H50)*(1+$C$9)</f>
        <v/>
      </c>
      <c r="J50" s="378">
        <f>I50*VLOOKUP($B$9,'Base Costs'!$A$32:$B$37,2,FALSE)</f>
        <v/>
      </c>
      <c r="K50" s="379">
        <f>I50-G50</f>
        <v/>
      </c>
    </row>
    <row r="51" ht="15" customHeight="1" s="1085">
      <c r="B51" s="585" t="n"/>
      <c r="C51" s="251" t="n"/>
      <c r="D51" s="255" t="n"/>
      <c r="E51" s="252" t="n"/>
      <c r="F51" s="385" t="n">
        <v>0</v>
      </c>
      <c r="G51" s="378">
        <f>C51*F51</f>
        <v/>
      </c>
      <c r="H51" s="381" t="n">
        <v>0.29</v>
      </c>
      <c r="I51" s="311">
        <f>G51/(1-H51)*(1+$C$9)</f>
        <v/>
      </c>
      <c r="J51" s="378">
        <f>I51*VLOOKUP($B$9,'Base Costs'!$A$32:$B$37,2,FALSE)</f>
        <v/>
      </c>
      <c r="K51" s="379">
        <f>I51-G51</f>
        <v/>
      </c>
    </row>
    <row r="52" ht="15" customHeight="1" s="1085">
      <c r="B52" s="585" t="n"/>
      <c r="C52" s="251" t="n"/>
      <c r="D52" s="253" t="n"/>
      <c r="E52" s="252" t="n"/>
      <c r="F52" s="385" t="n">
        <v>0</v>
      </c>
      <c r="G52" s="378">
        <f>C52*F52</f>
        <v/>
      </c>
      <c r="H52" s="381" t="n">
        <v>0.29</v>
      </c>
      <c r="I52" s="311">
        <f>G52/(1-H52)*(1+$C$9)</f>
        <v/>
      </c>
      <c r="J52" s="378">
        <f>I52*VLOOKUP($B$9,'Base Costs'!$A$32:$B$37,2,FALSE)</f>
        <v/>
      </c>
      <c r="K52" s="379">
        <f>I52-G52</f>
        <v/>
      </c>
    </row>
    <row r="53" ht="15" customHeight="1" s="1085">
      <c r="B53" s="585" t="n"/>
      <c r="C53" s="251" t="n"/>
      <c r="D53" s="253" t="n"/>
      <c r="E53" s="252" t="n"/>
      <c r="F53" s="385" t="n">
        <v>0</v>
      </c>
      <c r="G53" s="378">
        <f>C53*F53</f>
        <v/>
      </c>
      <c r="H53" s="381" t="n">
        <v>0.29</v>
      </c>
      <c r="I53" s="311">
        <f>G53/(1-H53)*(1+$C$9)</f>
        <v/>
      </c>
      <c r="J53" s="378">
        <f>I53*VLOOKUP($B$9,'Base Costs'!$A$32:$B$37,2,FALSE)</f>
        <v/>
      </c>
      <c r="K53" s="379">
        <f>I53-G53</f>
        <v/>
      </c>
    </row>
    <row r="54" ht="15" customHeight="1" s="1085">
      <c r="B54" s="585" t="n"/>
      <c r="C54" s="251" t="n"/>
      <c r="D54" s="253" t="n"/>
      <c r="E54" s="252" t="n"/>
      <c r="F54" s="385" t="n">
        <v>0</v>
      </c>
      <c r="G54" s="378">
        <f>C54*F54</f>
        <v/>
      </c>
      <c r="H54" s="381" t="n">
        <v>0.29</v>
      </c>
      <c r="I54" s="311">
        <f>G54/(1-H54)*(1+$C$9)</f>
        <v/>
      </c>
      <c r="J54" s="378">
        <f>I54*VLOOKUP($B$9,'Base Costs'!$A$32:$B$37,2,FALSE)</f>
        <v/>
      </c>
      <c r="K54" s="379">
        <f>I54-G54</f>
        <v/>
      </c>
    </row>
    <row r="55" ht="15" customHeight="1" s="1085">
      <c r="B55" s="115" t="n"/>
      <c r="C55" s="121" t="n"/>
      <c r="D55" s="113" t="n"/>
      <c r="F55" s="323" t="n"/>
      <c r="G55" s="323" t="n"/>
      <c r="H55" s="328" t="n"/>
      <c r="I55" s="323" t="n"/>
      <c r="J55" s="323" t="n"/>
      <c r="K55" s="329" t="n"/>
    </row>
    <row r="56" ht="15" customFormat="1" customHeight="1" s="1086">
      <c r="B56" s="1089" t="inlineStr">
        <is>
          <t xml:space="preserve">DELIVERY &amp; INSTALLATION </t>
        </is>
      </c>
      <c r="F56" s="330" t="n"/>
      <c r="G56" s="154">
        <f>SUBTOTAL(9,G57:G66)</f>
        <v/>
      </c>
      <c r="H56" s="15">
        <f>IF(G56=0,"-",K56/I56)</f>
        <v/>
      </c>
      <c r="I56" s="154">
        <f>SUBTOTAL(9,I57:I66)</f>
        <v/>
      </c>
      <c r="J56" s="465">
        <f>SUBTOTAL(9,J57:J66)</f>
        <v/>
      </c>
      <c r="K56" s="154">
        <f>SUBTOTAL(9,K57:K66)</f>
        <v/>
      </c>
      <c r="R56" s="100" t="n"/>
      <c r="U56" s="101" t="n"/>
    </row>
    <row r="57" ht="15" customFormat="1" customHeight="1" s="1086">
      <c r="B57" s="589" t="inlineStr">
        <is>
          <t>DELIVERY x 1.5 for multple loads</t>
        </is>
      </c>
      <c r="C57" s="33" t="n"/>
      <c r="D57" s="309" t="inlineStr">
        <is>
          <t>SELECT LOCATION…</t>
        </is>
      </c>
      <c r="E57" s="28" t="n"/>
      <c r="F57" s="385">
        <f>VLOOKUP(D57,'Base Costs'!E4:G221,2,FALSE)</f>
        <v/>
      </c>
      <c r="G57" s="378">
        <f>C57*F57</f>
        <v/>
      </c>
      <c r="H57" s="381" t="n">
        <v>0.33</v>
      </c>
      <c r="I57" s="311">
        <f>G57/(1-H57)*(1+$C$9)</f>
        <v/>
      </c>
      <c r="J57" s="378">
        <f>I57*VLOOKUP($B$9,'Base Costs'!$A$32:$B$37,2,FALSE)</f>
        <v/>
      </c>
      <c r="K57" s="379">
        <f>I57-G57</f>
        <v/>
      </c>
      <c r="R57" s="100" t="n"/>
      <c r="U57" s="101" t="n"/>
    </row>
    <row r="58" ht="15" customFormat="1" customHeight="1" s="1086">
      <c r="B58" s="584" t="inlineStr">
        <is>
          <t>PLANT HIRE</t>
        </is>
      </c>
      <c r="C58" s="33" t="n"/>
      <c r="D58" s="309" t="inlineStr">
        <is>
          <t>3M TOWER</t>
        </is>
      </c>
      <c r="E58" s="28" t="n"/>
      <c r="F58" s="385">
        <f>VLOOKUP(D58,'Base Costs'!A4:B28,2,FALSE)</f>
        <v/>
      </c>
      <c r="G58" s="378">
        <f>C58*F58</f>
        <v/>
      </c>
      <c r="H58" s="386" t="n">
        <v>0.33</v>
      </c>
      <c r="I58" s="311">
        <f>G58/(1-H58)*(1+$C$9)</f>
        <v/>
      </c>
      <c r="J58" s="378">
        <f>I58*VLOOKUP($B$9,'Base Costs'!$A$32:$B$37,2,FALSE)</f>
        <v/>
      </c>
      <c r="K58" s="379">
        <f>I58-G58</f>
        <v/>
      </c>
      <c r="R58" s="100" t="n"/>
      <c r="U58" s="101" t="n"/>
    </row>
    <row r="59" ht="15" customFormat="1" customHeight="1" s="1086">
      <c r="B59" s="584" t="inlineStr">
        <is>
          <t>STRIP OUT</t>
        </is>
      </c>
      <c r="C59" s="33" t="n"/>
      <c r="D59" s="28" t="inlineStr">
        <is>
          <t>PER DAY</t>
        </is>
      </c>
      <c r="E59" s="28" t="n"/>
      <c r="F59" s="385">
        <f>375*1.03</f>
        <v/>
      </c>
      <c r="G59" s="378">
        <f>C59*F59</f>
        <v/>
      </c>
      <c r="H59" s="386" t="n">
        <v>0.33</v>
      </c>
      <c r="I59" s="311">
        <f>G59/(1-H59)*(1+$C$9)</f>
        <v/>
      </c>
      <c r="J59" s="378">
        <f>I59*VLOOKUP($B$9,'Base Costs'!$A$32:$B$37,2,FALSE)</f>
        <v/>
      </c>
      <c r="K59" s="379">
        <f>I59-G59</f>
        <v/>
      </c>
      <c r="R59" s="100" t="n"/>
      <c r="U59" s="101" t="n"/>
    </row>
    <row r="60" ht="15" customFormat="1" customHeight="1" s="1086">
      <c r="B60" s="584" t="inlineStr">
        <is>
          <t xml:space="preserve">CONSUMABLES </t>
        </is>
      </c>
      <c r="C60" s="33" t="n"/>
      <c r="D60" s="28" t="n"/>
      <c r="E60" s="28" t="n"/>
      <c r="F60" s="385" t="n">
        <v>0</v>
      </c>
      <c r="G60" s="378">
        <f>C60*F60</f>
        <v/>
      </c>
      <c r="H60" s="386" t="n">
        <v>0.33</v>
      </c>
      <c r="I60" s="311">
        <f>G60/(1-H60)*(1+$C$9)</f>
        <v/>
      </c>
      <c r="J60" s="378">
        <f>I60*VLOOKUP($B$9,'Base Costs'!$A$32:$B$37,2,FALSE)</f>
        <v/>
      </c>
      <c r="K60" s="379">
        <f>I60-G60</f>
        <v/>
      </c>
      <c r="R60" s="100" t="n"/>
      <c r="U60" s="101" t="n"/>
    </row>
    <row r="61" ht="15" customFormat="1" customHeight="1" s="1086">
      <c r="B61" s="584" t="inlineStr">
        <is>
          <t>INSTALLATION NORMAL HOURS</t>
        </is>
      </c>
      <c r="C61" s="33" t="n"/>
      <c r="D61" s="28" t="inlineStr">
        <is>
          <t>5M PER TEAM PER DAY</t>
        </is>
      </c>
      <c r="E61" s="28" t="n"/>
      <c r="F61" s="385" t="n">
        <v>610</v>
      </c>
      <c r="G61" s="378">
        <f>C61*F61</f>
        <v/>
      </c>
      <c r="H61" s="386" t="n">
        <v>0.4</v>
      </c>
      <c r="I61" s="311">
        <f>G61/(1-H61)*(1+$C$9)</f>
        <v/>
      </c>
      <c r="J61" s="378">
        <f>I61*VLOOKUP($B$9,'Base Costs'!$A$32:$B$37,2,FALSE)</f>
        <v/>
      </c>
      <c r="K61" s="379">
        <f>I61-G61</f>
        <v/>
      </c>
      <c r="R61" s="100" t="n"/>
      <c r="U61" s="101" t="n"/>
    </row>
    <row r="62" ht="15" customFormat="1" customHeight="1" s="1086">
      <c r="B62" s="584" t="inlineStr">
        <is>
          <t>INSTALLATION AFTER HOURS</t>
        </is>
      </c>
      <c r="C62" s="33" t="n"/>
      <c r="D62" s="28" t="inlineStr">
        <is>
          <t>5M PER TEAM PER DAY</t>
        </is>
      </c>
      <c r="E62" s="28" t="n"/>
      <c r="F62" s="385" t="n">
        <v>1220</v>
      </c>
      <c r="G62" s="378">
        <f>C62*F62</f>
        <v/>
      </c>
      <c r="H62" s="386" t="n">
        <v>0.4</v>
      </c>
      <c r="I62" s="311">
        <f>G62/(1-H62)*(1+$C$9)</f>
        <v/>
      </c>
      <c r="J62" s="378">
        <f>I62*VLOOKUP($B$9,'Base Costs'!$A$32:$B$37,2,FALSE)</f>
        <v/>
      </c>
      <c r="K62" s="379">
        <f>I62-G62</f>
        <v/>
      </c>
      <c r="R62" s="100" t="n"/>
      <c r="U62" s="101" t="n"/>
    </row>
    <row r="63" ht="15" customFormat="1" customHeight="1" s="1086">
      <c r="B63" s="584" t="inlineStr">
        <is>
          <t>ACCOMODATION</t>
        </is>
      </c>
      <c r="C63" s="33" t="n"/>
      <c r="D63" s="28" t="inlineStr">
        <is>
          <t>PER NIGHT PER TEAM</t>
        </is>
      </c>
      <c r="E63" s="28" t="n"/>
      <c r="F63" s="385" t="n">
        <v>0</v>
      </c>
      <c r="G63" s="378">
        <f>C63*F63</f>
        <v/>
      </c>
      <c r="H63" s="386" t="n">
        <v>0.33</v>
      </c>
      <c r="I63" s="311">
        <f>G63/(1-H63)*(1+$C$9)</f>
        <v/>
      </c>
      <c r="J63" s="378">
        <f>I63*VLOOKUP($B$9,'Base Costs'!$A$32:$B$37,2,FALSE)</f>
        <v/>
      </c>
      <c r="K63" s="379">
        <f>I63-G63</f>
        <v/>
      </c>
      <c r="R63" s="100" t="n"/>
      <c r="U63" s="101" t="n"/>
    </row>
    <row r="64" ht="15" customFormat="1" customHeight="1" s="1086">
      <c r="B64" s="584" t="inlineStr">
        <is>
          <t>OVERNIGHT</t>
        </is>
      </c>
      <c r="C64" s="33" t="n"/>
      <c r="D64" s="28" t="inlineStr">
        <is>
          <t>PER NIGHT PER TEAM</t>
        </is>
      </c>
      <c r="E64" s="28" t="n"/>
      <c r="F64" s="385" t="n">
        <v>0</v>
      </c>
      <c r="G64" s="378">
        <f>C64*F64</f>
        <v/>
      </c>
      <c r="H64" s="386" t="n">
        <v>0.33</v>
      </c>
      <c r="I64" s="311">
        <f>G64/(1-H64)*(1+$C$9)</f>
        <v/>
      </c>
      <c r="J64" s="378">
        <f>I64*VLOOKUP($B$9,'Base Costs'!$A$32:$B$37,2,FALSE)</f>
        <v/>
      </c>
      <c r="K64" s="379">
        <f>I64-G64</f>
        <v/>
      </c>
      <c r="R64" s="100" t="n"/>
      <c r="U64" s="101" t="n"/>
    </row>
    <row r="65" ht="15" customFormat="1" customHeight="1" s="1086">
      <c r="B65" s="584" t="inlineStr">
        <is>
          <t>TRAVEL COSTS</t>
        </is>
      </c>
      <c r="C65" s="33" t="n"/>
      <c r="D65" s="28" t="n"/>
      <c r="E65" s="28" t="n"/>
      <c r="F65" s="385" t="n">
        <v>0</v>
      </c>
      <c r="G65" s="378">
        <f>C65*F65</f>
        <v/>
      </c>
      <c r="H65" s="386" t="n">
        <v>0.33</v>
      </c>
      <c r="I65" s="311">
        <f>G65/(1-H65)*(1+$C$9)</f>
        <v/>
      </c>
      <c r="J65" s="378">
        <f>I65*VLOOKUP($B$9,'Base Costs'!$A$32:$B$37,2,FALSE)</f>
        <v/>
      </c>
      <c r="K65" s="379">
        <f>I65-G65</f>
        <v/>
      </c>
      <c r="R65" s="100" t="n"/>
      <c r="U65" s="101" t="n"/>
    </row>
    <row r="66" ht="15" customFormat="1" customHeight="1" s="1086">
      <c r="B66" s="584" t="inlineStr">
        <is>
          <t>TEST &amp; COMMISSION</t>
        </is>
      </c>
      <c r="C66" s="33" t="n"/>
      <c r="D66" s="28" t="inlineStr">
        <is>
          <t>3 days for large systems.</t>
        </is>
      </c>
      <c r="E66" s="28" t="n"/>
      <c r="F66" s="385" t="n">
        <v>604</v>
      </c>
      <c r="G66" s="378">
        <f>C66*F66</f>
        <v/>
      </c>
      <c r="H66" s="386" t="n">
        <v>0.33</v>
      </c>
      <c r="I66" s="311">
        <f>G66/(1-H66)*(1+$C$9)</f>
        <v/>
      </c>
      <c r="J66" s="378">
        <f>I66*VLOOKUP($B$9,'Base Costs'!$A$32:$B$37,2,FALSE)</f>
        <v/>
      </c>
      <c r="K66" s="379">
        <f>I66-G66</f>
        <v/>
      </c>
      <c r="R66" s="100" t="n"/>
      <c r="U66" s="101" t="n"/>
    </row>
    <row r="67" ht="15" customHeight="1" s="1085">
      <c r="D67" s="120" t="n"/>
    </row>
    <row r="68" ht="15" customHeight="1" s="1085">
      <c r="B68" s="197" t="inlineStr">
        <is>
          <t>Office Use Only</t>
        </is>
      </c>
      <c r="C68" s="198" t="n"/>
      <c r="D68" s="199" t="n"/>
      <c r="E68" s="199" t="n"/>
      <c r="F68" s="198" t="n"/>
      <c r="G68" s="200" t="n"/>
      <c r="H68" s="198" t="n"/>
      <c r="I68" s="198" t="n"/>
      <c r="J68" s="198" t="n"/>
      <c r="K68" s="198" t="n"/>
    </row>
    <row r="69" ht="15" customHeight="1" s="1085">
      <c r="B69" s="498" t="n"/>
      <c r="C69" s="499" t="n"/>
      <c r="D69" s="202" t="n"/>
      <c r="E69" s="204" t="n"/>
      <c r="F69" s="209" t="n"/>
      <c r="G69" s="209" t="n"/>
      <c r="H69" s="203" t="n"/>
      <c r="I69" s="203" t="n"/>
      <c r="J69" s="203" t="n"/>
      <c r="K69" s="205" t="n"/>
    </row>
    <row r="70" ht="15" customHeight="1" s="1085">
      <c r="B70" s="498" t="n"/>
      <c r="C70" s="499" t="n"/>
      <c r="D70" s="202" t="n"/>
      <c r="E70" s="204" t="n"/>
      <c r="F70" s="209" t="n"/>
      <c r="G70" s="209" t="n"/>
      <c r="H70" s="203" t="n"/>
      <c r="I70" s="203" t="n"/>
      <c r="J70" s="203" t="n"/>
      <c r="K70" s="205" t="n"/>
    </row>
    <row r="71" ht="15" customHeight="1" s="1085">
      <c r="B71" s="498" t="n"/>
      <c r="C71" s="499" t="n"/>
      <c r="D71" s="202" t="n"/>
      <c r="E71" s="204" t="n"/>
      <c r="F71" s="209" t="n"/>
      <c r="G71" s="209" t="n"/>
      <c r="H71" s="203" t="n"/>
      <c r="I71" s="203" t="n"/>
      <c r="J71" s="203" t="n"/>
      <c r="K71" s="209" t="n"/>
    </row>
    <row r="72" ht="15" customHeight="1" s="1085">
      <c r="B72" s="498" t="n"/>
      <c r="C72" s="499" t="n"/>
      <c r="D72" s="202" t="n"/>
      <c r="E72" s="204" t="n"/>
      <c r="F72" s="209" t="n"/>
      <c r="G72" s="209" t="n"/>
      <c r="H72" s="206" t="n"/>
      <c r="I72" s="203" t="n"/>
      <c r="J72" s="203" t="n"/>
      <c r="K72" s="209" t="n"/>
    </row>
    <row r="73" ht="15" customHeight="1" s="1085">
      <c r="B73" s="498" t="n"/>
      <c r="C73" s="499" t="n"/>
      <c r="D73" s="202" t="n"/>
      <c r="E73" s="202" t="n"/>
      <c r="F73" s="209" t="n"/>
      <c r="G73" s="207" t="n"/>
      <c r="H73" s="209" t="n"/>
      <c r="I73" s="203" t="n"/>
      <c r="J73" s="203" t="n"/>
      <c r="K73" s="205" t="n"/>
    </row>
    <row r="74" ht="15" customHeight="1" s="1085">
      <c r="B74" s="202" t="n"/>
      <c r="C74" s="202" t="n"/>
      <c r="D74" s="202" t="n"/>
      <c r="E74" s="202" t="n"/>
      <c r="F74" s="209" t="n"/>
      <c r="G74" s="207" t="n"/>
      <c r="H74" s="209" t="n"/>
      <c r="I74" s="203" t="n"/>
      <c r="J74" s="203" t="n"/>
      <c r="K74" s="205" t="n"/>
    </row>
    <row r="75" ht="15" customHeight="1" s="1085">
      <c r="D75" s="120" t="n"/>
    </row>
    <row r="76" ht="15" customHeight="1" s="1085">
      <c r="D76" s="120" t="n"/>
    </row>
    <row r="77" ht="15" customHeight="1" s="1085">
      <c r="D77" s="120" t="n"/>
    </row>
    <row r="78" ht="15" customHeight="1" s="1085">
      <c r="D78" s="120" t="n"/>
    </row>
    <row r="79" ht="15" customHeight="1" s="1085">
      <c r="D79" s="120" t="n"/>
    </row>
    <row r="80" ht="15" customHeight="1" s="1085">
      <c r="D80" s="120" t="n"/>
    </row>
    <row r="81" ht="15" customHeight="1" s="1085">
      <c r="D81" s="120" t="n"/>
    </row>
    <row r="82" ht="15" customHeight="1" s="1085">
      <c r="B82" s="117" t="n"/>
      <c r="C82" s="122" t="n"/>
      <c r="D82" s="117" t="n"/>
    </row>
  </sheetData>
  <mergeCells count="10">
    <mergeCell ref="F3:G3"/>
    <mergeCell ref="D47:E47"/>
    <mergeCell ref="B56:E56"/>
    <mergeCell ref="C7:D7"/>
    <mergeCell ref="C1:J1"/>
    <mergeCell ref="F5:G5"/>
    <mergeCell ref="C5:D5"/>
    <mergeCell ref="M7:O7"/>
    <mergeCell ref="C3:D3"/>
    <mergeCell ref="F7:G7"/>
  </mergeCells>
  <conditionalFormatting sqref="B9">
    <cfRule type="expression" priority="57" dxfId="680">
      <formula>B9="CURRENCY"</formula>
    </cfRule>
    <cfRule type="containsText" priority="56" operator="containsText" dxfId="680" text="SELECT">
      <formula>NOT(ISERROR(SEARCH("SELECT",B9)))</formula>
    </cfRule>
  </conditionalFormatting>
  <conditionalFormatting sqref="B13:B24">
    <cfRule type="expression" priority="7" dxfId="10262">
      <formula>$C13&gt;0</formula>
    </cfRule>
  </conditionalFormatting>
  <conditionalFormatting sqref="B25:B39">
    <cfRule type="expression" priority="6" dxfId="10261">
      <formula>$C25&gt;0</formula>
    </cfRule>
  </conditionalFormatting>
  <conditionalFormatting sqref="B40:B42">
    <cfRule type="expression" priority="5" dxfId="633">
      <formula>$C40&gt;0</formula>
    </cfRule>
  </conditionalFormatting>
  <conditionalFormatting sqref="B43:B50">
    <cfRule type="expression" priority="1" dxfId="10261">
      <formula>$C43&gt;0</formula>
    </cfRule>
  </conditionalFormatting>
  <conditionalFormatting sqref="B51:B54">
    <cfRule type="expression" priority="4" dxfId="633">
      <formula>$C51&gt;0</formula>
    </cfRule>
  </conditionalFormatting>
  <conditionalFormatting sqref="B57:B66">
    <cfRule type="expression" priority="2" dxfId="633">
      <formula>$C57&gt;0</formula>
    </cfRule>
  </conditionalFormatting>
  <conditionalFormatting sqref="C13:C54">
    <cfRule type="cellIs" priority="21" operator="lessThan" dxfId="561">
      <formula>1</formula>
    </cfRule>
  </conditionalFormatting>
  <conditionalFormatting sqref="C57:C66">
    <cfRule type="cellIs" priority="59" operator="equal" dxfId="10257">
      <formula>0</formula>
    </cfRule>
  </conditionalFormatting>
  <conditionalFormatting sqref="C9:D9">
    <cfRule type="cellIs" priority="51" operator="lessThan" dxfId="207">
      <formula>0</formula>
    </cfRule>
    <cfRule type="cellIs" priority="52" operator="greaterThan" dxfId="552">
      <formula>0</formula>
    </cfRule>
  </conditionalFormatting>
  <conditionalFormatting sqref="F13:F54">
    <cfRule type="expression" priority="20" dxfId="153">
      <formula>C13&gt;0</formula>
    </cfRule>
  </conditionalFormatting>
  <conditionalFormatting sqref="F57:F66">
    <cfRule type="expression" priority="50" dxfId="153">
      <formula>C57&gt;0</formula>
    </cfRule>
  </conditionalFormatting>
  <conditionalFormatting sqref="F58:F66">
    <cfRule type="expression" priority="58" dxfId="383">
      <formula>C58&lt;1</formula>
    </cfRule>
  </conditionalFormatting>
  <conditionalFormatting sqref="G13:G54">
    <cfRule type="cellIs" priority="19" operator="greaterThan" dxfId="141">
      <formula>0</formula>
    </cfRule>
  </conditionalFormatting>
  <conditionalFormatting sqref="G57:G66">
    <cfRule type="cellIs" priority="48" operator="greaterThan" dxfId="141">
      <formula>0</formula>
    </cfRule>
  </conditionalFormatting>
  <conditionalFormatting sqref="H13:H54">
    <cfRule type="expression" priority="26" dxfId="552">
      <formula>$C$9&gt;0</formula>
    </cfRule>
    <cfRule type="expression" priority="27" dxfId="175">
      <formula>$C$9&lt;0</formula>
    </cfRule>
  </conditionalFormatting>
  <conditionalFormatting sqref="H57:H66">
    <cfRule type="expression" priority="67" dxfId="175">
      <formula>$C$9&lt;0</formula>
    </cfRule>
    <cfRule type="expression" priority="66" dxfId="552">
      <formula>$C$9&gt;0</formula>
    </cfRule>
  </conditionalFormatting>
  <conditionalFormatting sqref="J2:J6 J75:J1048576">
    <cfRule type="expression" priority="61" dxfId="2">
      <formula>$B$9="EURO"</formula>
    </cfRule>
  </conditionalFormatting>
  <conditionalFormatting sqref="J8:J67">
    <cfRule type="expression" priority="22" dxfId="2">
      <formula>$B$9="EURO"</formula>
    </cfRule>
  </conditionalFormatting>
  <conditionalFormatting sqref="J9 J56:J66">
    <cfRule type="expression" priority="63" dxfId="3">
      <formula>$B$9="USD"</formula>
    </cfRule>
    <cfRule type="expression" priority="64" dxfId="4">
      <formula>$B$9="PLN"</formula>
    </cfRule>
    <cfRule type="expression" priority="65" dxfId="0">
      <formula>$B$9="CZK"</formula>
    </cfRule>
  </conditionalFormatting>
  <conditionalFormatting sqref="J12:J54">
    <cfRule type="expression" priority="25" dxfId="0">
      <formula>$B$9="CZK"</formula>
    </cfRule>
    <cfRule type="expression" priority="24" dxfId="4">
      <formula>$B$9="PLN"</formula>
    </cfRule>
    <cfRule type="expression" priority="23" dxfId="3">
      <formula>$B$9="USD"</formula>
    </cfRule>
  </conditionalFormatting>
  <conditionalFormatting sqref="J68:J74">
    <cfRule type="expression" priority="55" dxfId="2">
      <formula>$F$10="EURO"</formula>
    </cfRule>
  </conditionalFormatting>
  <conditionalFormatting sqref="J13:K54">
    <cfRule type="cellIs" priority="18" operator="greaterThan" dxfId="1">
      <formula>0</formula>
    </cfRule>
  </conditionalFormatting>
  <conditionalFormatting sqref="J57:K66">
    <cfRule type="cellIs" priority="47" operator="greaterThan" dxfId="1">
      <formula>0</formula>
    </cfRule>
  </conditionalFormatting>
  <dataValidations count="1">
    <dataValidation sqref="D55" showDropDown="0" showInputMessage="1" showErrorMessage="1" allowBlank="1" type="list">
      <formula1>$B$3:$B$15</formula1>
    </dataValidation>
  </dataValidations>
  <printOptions horizontalCentered="1"/>
  <pageMargins left="0.2362204724409449" right="0.3543307086614174" top="0.3937007874015748" bottom="0.3937007874015748" header="0.3149606299212598" footer="0.1181102362204725"/>
  <pageSetup orientation="portrait" paperSize="8" scale="90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codeName="Sheet2">
    <tabColor theme="8" tint="0.7999816888943144"/>
    <outlinePr summaryBelow="1" summaryRight="1"/>
    <pageSetUpPr fitToPage="1"/>
  </sheetPr>
  <dimension ref="B1:AF82"/>
  <sheetViews>
    <sheetView zoomScale="80" zoomScaleNormal="80" workbookViewId="0">
      <selection activeCell="C4" sqref="C4"/>
    </sheetView>
  </sheetViews>
  <sheetFormatPr baseColWidth="10" defaultColWidth="51.83203125" defaultRowHeight="15" customHeight="1"/>
  <cols>
    <col width="2" customWidth="1" style="1088" min="1" max="1"/>
    <col width="32.6640625" bestFit="1" customWidth="1" style="1088" min="2" max="2"/>
    <col width="16.33203125" customWidth="1" style="119" min="3" max="3"/>
    <col width="32.33203125" customWidth="1" style="1088" min="4" max="4"/>
    <col width="14.5" bestFit="1" customWidth="1" style="1088" min="5" max="5"/>
    <col width="12.1640625" customWidth="1" style="331" min="6" max="6"/>
    <col width="13.5" customWidth="1" style="331" min="7" max="7"/>
    <col width="10.33203125" customWidth="1" style="119" min="8" max="8"/>
    <col hidden="1" width="11.5" customWidth="1" style="119" min="9" max="9"/>
    <col width="13.1640625" customWidth="1" style="119" min="10" max="11"/>
    <col width="4.5" customWidth="1" style="1088" min="12" max="12"/>
    <col width="15.5" customWidth="1" style="322" min="13" max="13"/>
    <col width="14.6640625" customWidth="1" style="322" min="14" max="14"/>
    <col width="12.33203125" customWidth="1" style="322" min="15" max="15"/>
    <col width="14.6640625" customWidth="1" style="322" min="16" max="16"/>
    <col width="3.6640625" customWidth="1" style="120" min="17" max="17"/>
    <col width="18.5" customWidth="1" style="1088" min="18" max="18"/>
    <col width="23" customWidth="1" style="1088" min="19" max="19"/>
    <col width="22.5" customWidth="1" style="120" min="20" max="20"/>
    <col width="51.83203125" customWidth="1" style="1088" min="21" max="22"/>
    <col width="51.83203125" customWidth="1" style="120" min="23" max="23"/>
    <col width="51.83203125" customWidth="1" style="1088" min="24" max="31"/>
    <col width="51.83203125" customWidth="1" style="120" min="32" max="32"/>
    <col width="51.83203125" customWidth="1" style="1088" min="33" max="33"/>
    <col width="51.83203125" customWidth="1" style="1088" min="34" max="16384"/>
  </cols>
  <sheetData>
    <row r="1" ht="15" customFormat="1" customHeight="1" s="123" thickBot="1">
      <c r="B1" s="156" t="inlineStr">
        <is>
          <t>F24 - 19  CONTRACTING COST SHEET</t>
        </is>
      </c>
      <c r="C1" s="1090" t="inlineStr">
        <is>
          <t>GUIDE PRICES ONLY - SUPPLIER QUOTATIONS TO BE OBTAINED WHENEVER POSSIBLE</t>
        </is>
      </c>
      <c r="D1" s="1082" t="n"/>
      <c r="E1" s="1082" t="n"/>
      <c r="F1" s="1082" t="n"/>
      <c r="G1" s="1082" t="n"/>
      <c r="H1" s="1082" t="n"/>
      <c r="I1" s="1082" t="n"/>
      <c r="J1" s="1083" t="n"/>
      <c r="K1" s="975" t="inlineStr">
        <is>
          <t>JAN25-19</t>
        </is>
      </c>
      <c r="M1" s="1117" t="n"/>
      <c r="N1" s="1117" t="n"/>
      <c r="O1" s="495" t="n"/>
      <c r="P1" s="495" t="n"/>
      <c r="V1" s="124" t="n"/>
      <c r="Y1" s="125" t="n"/>
    </row>
    <row r="2" ht="15" customFormat="1" customHeight="1" s="1086">
      <c r="B2" s="102" t="n"/>
      <c r="C2" s="103" t="n"/>
      <c r="E2" s="66" t="n"/>
      <c r="F2" s="324" t="n"/>
      <c r="G2" s="325" t="n"/>
      <c r="H2" s="326" t="n"/>
      <c r="I2" s="320" t="n"/>
      <c r="J2" s="320" t="n"/>
      <c r="K2" s="148" t="n"/>
      <c r="M2" s="1112" t="n"/>
      <c r="N2" s="1112" t="n"/>
      <c r="O2" s="496" t="n"/>
      <c r="P2" s="496" t="n"/>
      <c r="T2" s="106" t="n"/>
      <c r="V2" s="100" t="n"/>
      <c r="Y2" s="101" t="n"/>
    </row>
    <row r="3" ht="15" customFormat="1" customHeight="1" s="1086">
      <c r="B3" s="107" t="inlineStr">
        <is>
          <t>Job No</t>
        </is>
      </c>
      <c r="C3" s="1074">
        <f>IF(CANOPY!C3="","",CANOPY!C3)</f>
        <v/>
      </c>
      <c r="E3" s="108" t="inlineStr">
        <is>
          <t>Project Name</t>
        </is>
      </c>
      <c r="F3" s="1071">
        <f>IF(CANOPY!G3="","",CANOPY!G3)</f>
        <v/>
      </c>
      <c r="H3" s="326" t="n"/>
      <c r="I3" s="320" t="n"/>
      <c r="J3" s="320" t="n"/>
      <c r="K3" s="148" t="n"/>
      <c r="M3" s="795" t="n"/>
      <c r="N3" s="1112" t="n"/>
      <c r="O3" s="496" t="n"/>
      <c r="P3" s="496" t="n"/>
      <c r="V3" s="100" t="n"/>
      <c r="Y3" s="101" t="n"/>
    </row>
    <row r="4" ht="15" customFormat="1" customHeight="1" s="1086">
      <c r="B4" s="102" t="n"/>
      <c r="C4" s="102" t="n"/>
      <c r="E4" s="109" t="n"/>
      <c r="F4" s="332" t="n"/>
      <c r="G4" s="333" t="n"/>
      <c r="H4" s="326" t="n"/>
      <c r="I4" s="320" t="n"/>
      <c r="J4" s="320" t="n"/>
      <c r="K4" s="148" t="n"/>
      <c r="M4" s="1112" t="n"/>
      <c r="N4" s="1112" t="n"/>
      <c r="O4" s="496" t="n"/>
      <c r="P4" s="496" t="n"/>
      <c r="V4" s="100" t="n"/>
      <c r="Y4" s="101" t="n"/>
    </row>
    <row r="5" ht="15" customFormat="1" customHeight="1" s="1086">
      <c r="B5" s="107" t="inlineStr">
        <is>
          <t>Customer</t>
        </is>
      </c>
      <c r="C5" s="1074">
        <f>IF(CANOPY!C5="","",CANOPY!C5)</f>
        <v/>
      </c>
      <c r="E5" s="108" t="inlineStr">
        <is>
          <t>Location</t>
        </is>
      </c>
      <c r="F5" s="1071">
        <f>IF(CANOPY!G5="","",CANOPY!G5)</f>
        <v/>
      </c>
      <c r="H5" s="326" t="n"/>
      <c r="I5" s="320" t="n"/>
      <c r="J5" s="320" t="n"/>
      <c r="K5" s="148" t="n"/>
      <c r="L5" s="110" t="n"/>
      <c r="M5" s="497" t="n"/>
      <c r="N5" s="1112" t="n"/>
      <c r="O5" s="496" t="n"/>
      <c r="P5" s="496" t="n"/>
      <c r="V5" s="100" t="n"/>
      <c r="Y5" s="101" t="n"/>
    </row>
    <row r="6" ht="15" customFormat="1" customHeight="1" s="1086">
      <c r="B6" s="107" t="n"/>
      <c r="C6" s="102" t="n"/>
      <c r="E6" s="108" t="n"/>
      <c r="F6" s="334" t="n"/>
      <c r="G6" s="335" t="n"/>
      <c r="H6" s="326" t="n"/>
      <c r="I6" s="320" t="n"/>
      <c r="J6" s="320" t="n"/>
      <c r="K6" s="148" t="n"/>
      <c r="L6" s="110" t="n"/>
      <c r="M6" s="497" t="n"/>
      <c r="N6" s="1112" t="n"/>
      <c r="O6" s="496" t="n"/>
      <c r="P6" s="496" t="n"/>
      <c r="V6" s="111" t="n"/>
      <c r="Y6" s="101" t="n"/>
    </row>
    <row r="7" ht="15" customFormat="1" customHeight="1" s="1086">
      <c r="B7" s="80" t="inlineStr">
        <is>
          <t>Sales Manager / Estimator initials</t>
        </is>
      </c>
      <c r="C7" s="1074">
        <f>IF(CANOPY!C7="","",CANOPY!C7)</f>
        <v/>
      </c>
      <c r="E7" s="108" t="inlineStr">
        <is>
          <t>Date</t>
        </is>
      </c>
      <c r="F7" s="1075">
        <f>IF(CANOPY!G7="","",CANOPY!G7)</f>
        <v/>
      </c>
      <c r="H7" s="326" t="n"/>
      <c r="J7" s="321" t="inlineStr">
        <is>
          <t>Revision No</t>
        </is>
      </c>
      <c r="K7" s="900">
        <f>IF(CANOPY!O7="","",CANOPY!O7)</f>
        <v/>
      </c>
      <c r="L7" s="110" t="n"/>
      <c r="M7" s="1091" t="inlineStr">
        <is>
          <t>GP SHOULD BE MINIMUM 30%</t>
        </is>
      </c>
      <c r="V7" s="111" t="n"/>
      <c r="Y7" s="101" t="n"/>
    </row>
    <row r="8" ht="15" customFormat="1" customHeight="1" s="116">
      <c r="B8" s="113" t="n"/>
      <c r="D8" s="102" t="n"/>
      <c r="E8" s="115" t="n"/>
      <c r="F8" s="327" t="n"/>
      <c r="G8" s="114" t="n"/>
      <c r="H8" s="322" t="n"/>
      <c r="I8" s="322" t="n"/>
      <c r="J8" s="322" t="n"/>
      <c r="K8" s="322" t="n"/>
      <c r="M8" s="322" t="n"/>
      <c r="N8" s="322" t="n"/>
      <c r="O8" s="322" t="n"/>
      <c r="P8" s="322" t="n"/>
      <c r="Q8" s="117" t="n"/>
      <c r="T8" s="117" t="n"/>
      <c r="W8" s="117" t="n"/>
      <c r="AF8" s="117" t="n"/>
    </row>
    <row r="9" ht="15" customHeight="1" s="1085" thickBot="1">
      <c r="B9" s="38" t="inlineStr">
        <is>
          <t>CURRENCY</t>
        </is>
      </c>
      <c r="C9" s="948" t="n">
        <v>0</v>
      </c>
      <c r="D9" s="377">
        <f>IF(C9=0,0,(SUBTOTAL(9,I12:I66)/(1-C9))-I9)</f>
        <v/>
      </c>
      <c r="G9" s="25">
        <f>SUBTOTAL(9,G13:G66)</f>
        <v/>
      </c>
      <c r="H9" s="967">
        <f>IF(K9=0,"-",K9/I9)</f>
        <v/>
      </c>
      <c r="I9" s="25">
        <f>SUBTOTAL(9,I13:I67)</f>
        <v/>
      </c>
      <c r="J9" s="465">
        <f>SUBTOTAL(9,J13:J67)</f>
        <v/>
      </c>
      <c r="K9" s="25">
        <f>SUBTOTAL(9,K13:K67)</f>
        <v/>
      </c>
    </row>
    <row r="10" ht="15" customHeight="1" s="1085" thickBot="1">
      <c r="B10" s="2" t="inlineStr">
        <is>
          <t>CURRENCY</t>
        </is>
      </c>
      <c r="C10" s="2" t="inlineStr">
        <is>
          <t>%</t>
        </is>
      </c>
      <c r="D10" s="2" t="inlineStr">
        <is>
          <t>COMMISSION</t>
        </is>
      </c>
      <c r="E10" s="317" t="n"/>
      <c r="F10" s="2" t="inlineStr">
        <is>
          <t>COST</t>
        </is>
      </c>
      <c r="G10" s="2" t="inlineStr">
        <is>
          <t>TOTAL COST</t>
        </is>
      </c>
      <c r="H10" s="3" t="inlineStr">
        <is>
          <t>GP</t>
        </is>
      </c>
      <c r="I10" s="4" t="inlineStr">
        <is>
          <t>SELL</t>
        </is>
      </c>
      <c r="J10" s="4" t="inlineStr">
        <is>
          <t>SELL</t>
        </is>
      </c>
      <c r="K10" s="318" t="inlineStr">
        <is>
          <t>PROFIT</t>
        </is>
      </c>
      <c r="M10" s="557" t="inlineStr">
        <is>
          <t>EXTRACT</t>
        </is>
      </c>
      <c r="N10" s="558" t="inlineStr">
        <is>
          <t>SUPPLY</t>
        </is>
      </c>
      <c r="O10" s="562" t="inlineStr">
        <is>
          <t>CONTROLS</t>
        </is>
      </c>
      <c r="P10" s="559" t="inlineStr">
        <is>
          <t>INSTALLATION</t>
        </is>
      </c>
      <c r="R10" s="1092" t="n"/>
      <c r="S10" s="1082" t="n"/>
      <c r="T10" s="1093" t="n"/>
    </row>
    <row r="11" ht="15" customHeight="1" s="1085">
      <c r="B11" s="16" t="n"/>
      <c r="C11" s="17" t="n"/>
      <c r="D11" s="17" t="n"/>
      <c r="E11" s="18" t="n"/>
      <c r="F11" s="17" t="n"/>
      <c r="G11" s="17" t="n"/>
      <c r="H11" s="19" t="n"/>
      <c r="I11" s="20" t="n"/>
      <c r="J11" s="20" t="n"/>
      <c r="K11" s="21" t="n"/>
      <c r="M11" s="560" t="inlineStr">
        <is>
          <t>TOTAL</t>
        </is>
      </c>
      <c r="N11" s="561" t="inlineStr">
        <is>
          <t>TOTAL</t>
        </is>
      </c>
      <c r="O11" s="563" t="inlineStr">
        <is>
          <t>TOTAL</t>
        </is>
      </c>
      <c r="P11" s="500" t="inlineStr">
        <is>
          <t>TOTAL</t>
        </is>
      </c>
    </row>
    <row r="12" ht="15" customHeight="1" s="1085">
      <c r="B12" s="24" t="inlineStr">
        <is>
          <t>CONTRACTING SCHEDULE</t>
        </is>
      </c>
      <c r="C12" s="188" t="inlineStr">
        <is>
          <t>QTY</t>
        </is>
      </c>
      <c r="D12" s="188" t="inlineStr">
        <is>
          <t>SIZE</t>
        </is>
      </c>
      <c r="E12" s="23" t="n"/>
      <c r="F12" s="22" t="n"/>
      <c r="G12" s="61">
        <f>SUBTOTAL(9,G13:G54)</f>
        <v/>
      </c>
      <c r="H12" s="39">
        <f>IF(G13=0,"-",K12/I12)</f>
        <v/>
      </c>
      <c r="I12" s="61">
        <f>SUBTOTAL(9,I13:I54)</f>
        <v/>
      </c>
      <c r="J12" s="465">
        <f>SUBTOTAL(9,J13:J54)</f>
        <v/>
      </c>
      <c r="K12" s="61">
        <f>SUBTOTAL(9,K13:K54)</f>
        <v/>
      </c>
      <c r="M12" s="465">
        <f>SUM(M13:M54)</f>
        <v/>
      </c>
      <c r="N12" s="465">
        <f>SUM(N13:N54)</f>
        <v/>
      </c>
      <c r="O12" s="465">
        <f>SUM(O13:O54)</f>
        <v/>
      </c>
      <c r="P12" s="465">
        <f>SUM(P13:P54)</f>
        <v/>
      </c>
      <c r="R12" s="861" t="n"/>
      <c r="S12" s="861" t="n"/>
      <c r="T12" s="862" t="n"/>
    </row>
    <row r="13" ht="15" customHeight="1" s="1085">
      <c r="B13" s="582" t="inlineStr">
        <is>
          <t xml:space="preserve">EXTRACT FAN AND ANCILLARIES </t>
        </is>
      </c>
      <c r="C13" s="251" t="n"/>
      <c r="D13" s="387" t="inlineStr">
        <is>
          <t>EXTRACT FANS SIZE</t>
        </is>
      </c>
      <c r="E13" s="252" t="n"/>
      <c r="F13" s="385">
        <f>VLOOKUP(D13,'Base Costs'!I4:J10,2,FALSE)</f>
        <v/>
      </c>
      <c r="G13" s="378">
        <f>C13*F13</f>
        <v/>
      </c>
      <c r="H13" s="381" t="n">
        <v>0.29</v>
      </c>
      <c r="I13" s="311">
        <f>G13/(1-H13)*(1+$C$9)</f>
        <v/>
      </c>
      <c r="J13" s="378">
        <f>I13*VLOOKUP($B$9,'Base Costs'!$A$32:$B$37,2,FALSE)</f>
        <v/>
      </c>
      <c r="K13" s="379">
        <f>I13-G13</f>
        <v/>
      </c>
      <c r="M13" s="378">
        <f>J13</f>
        <v/>
      </c>
      <c r="N13" s="378" t="n"/>
      <c r="O13" s="378" t="n"/>
      <c r="P13" s="378" t="n"/>
      <c r="R13" s="861" t="n"/>
      <c r="S13" s="861" t="n"/>
      <c r="T13" s="862" t="n"/>
    </row>
    <row r="14" ht="15" customHeight="1" s="1085">
      <c r="B14" s="582" t="inlineStr">
        <is>
          <t>CONTROLS</t>
        </is>
      </c>
      <c r="C14" s="251" t="n"/>
      <c r="D14" s="388" t="inlineStr">
        <is>
          <t>CONTROLS</t>
        </is>
      </c>
      <c r="E14" s="252" t="n"/>
      <c r="F14" s="385">
        <f>VLOOKUP(D14,'Base Costs'!I19:J23,2,FALSE)</f>
        <v/>
      </c>
      <c r="G14" s="378">
        <f>C14*F14</f>
        <v/>
      </c>
      <c r="H14" s="381" t="n">
        <v>0.29</v>
      </c>
      <c r="I14" s="311">
        <f>G14/(1-H14)*(1+$C$9)</f>
        <v/>
      </c>
      <c r="J14" s="378">
        <f>I14*VLOOKUP($B$9,'Base Costs'!$A$32:$B$37,2,FALSE)</f>
        <v/>
      </c>
      <c r="K14" s="379">
        <f>I14-G14</f>
        <v/>
      </c>
      <c r="M14" s="378">
        <f>J14</f>
        <v/>
      </c>
      <c r="N14" s="378" t="n"/>
      <c r="O14" s="378" t="n"/>
      <c r="P14" s="378" t="n"/>
      <c r="R14" s="861" t="n"/>
      <c r="S14" s="861" t="n"/>
      <c r="T14" s="862" t="n"/>
    </row>
    <row r="15" ht="15" customHeight="1" s="1085">
      <c r="B15" s="582" t="inlineStr">
        <is>
          <t>ATTENUATORS (Melinex lined)</t>
        </is>
      </c>
      <c r="C15" s="251" t="n"/>
      <c r="D15" s="389" t="inlineStr">
        <is>
          <t>ATTENUATORS (EXTRACT)</t>
        </is>
      </c>
      <c r="E15" s="252" t="n"/>
      <c r="F15" s="385">
        <f>VLOOKUP(D15,'Base Costs'!I12:J16,2,FALSE)</f>
        <v/>
      </c>
      <c r="G15" s="378">
        <f>C15*F15</f>
        <v/>
      </c>
      <c r="H15" s="381" t="n">
        <v>0.29</v>
      </c>
      <c r="I15" s="311">
        <f>G15/(1-H15)*(1+$C$9)</f>
        <v/>
      </c>
      <c r="J15" s="378">
        <f>I15*VLOOKUP($B$9,'Base Costs'!$A$32:$B$37,2,FALSE)</f>
        <v/>
      </c>
      <c r="K15" s="379">
        <f>I15-G15</f>
        <v/>
      </c>
      <c r="M15" s="378">
        <f>J15</f>
        <v/>
      </c>
      <c r="N15" s="378" t="n"/>
      <c r="O15" s="378" t="n"/>
      <c r="P15" s="378" t="n"/>
      <c r="R15" s="861" t="n"/>
      <c r="S15" s="861" t="n"/>
      <c r="T15" s="862" t="n"/>
    </row>
    <row r="16" ht="15" customHeight="1" s="1085">
      <c r="B16" s="582" t="inlineStr">
        <is>
          <t>EXTRACT DUCT</t>
        </is>
      </c>
      <c r="C16" s="251" t="n"/>
      <c r="D16" s="253" t="n"/>
      <c r="E16" s="252" t="n"/>
      <c r="F16" s="385" t="n"/>
      <c r="G16" s="378">
        <f>C16*F16</f>
        <v/>
      </c>
      <c r="H16" s="381" t="n">
        <v>0.29</v>
      </c>
      <c r="I16" s="311">
        <f>G16/(1-H16)*(1+$C$9)</f>
        <v/>
      </c>
      <c r="J16" s="378">
        <f>I16*VLOOKUP($B$9,'Base Costs'!$A$32:$B$37,2,FALSE)</f>
        <v/>
      </c>
      <c r="K16" s="379">
        <f>I16-G16</f>
        <v/>
      </c>
      <c r="M16" s="378">
        <f>J16</f>
        <v/>
      </c>
      <c r="N16" s="378" t="n"/>
      <c r="O16" s="378" t="n"/>
      <c r="P16" s="378" t="n"/>
      <c r="R16" s="861" t="n"/>
      <c r="S16" s="861" t="n"/>
      <c r="T16" s="862" t="n"/>
    </row>
    <row r="17" ht="15" customHeight="1" s="1085">
      <c r="B17" s="582" t="inlineStr">
        <is>
          <t>FIRE RATED DUCTWORK</t>
        </is>
      </c>
      <c r="C17" s="251" t="n"/>
      <c r="D17" s="253" t="n"/>
      <c r="E17" s="252" t="n"/>
      <c r="F17" s="385" t="n"/>
      <c r="G17" s="378">
        <f>C17*F17</f>
        <v/>
      </c>
      <c r="H17" s="381" t="n">
        <v>0.29</v>
      </c>
      <c r="I17" s="311">
        <f>G17/(1-H17)*(1+$C$9)</f>
        <v/>
      </c>
      <c r="J17" s="378">
        <f>I17*VLOOKUP($B$9,'Base Costs'!$A$32:$B$37,2,FALSE)</f>
        <v/>
      </c>
      <c r="K17" s="379">
        <f>I17-G17</f>
        <v/>
      </c>
      <c r="M17" s="378">
        <f>J17</f>
        <v/>
      </c>
      <c r="N17" s="378" t="n"/>
      <c r="O17" s="378" t="n"/>
      <c r="P17" s="378" t="n"/>
      <c r="R17" s="861" t="n"/>
      <c r="S17" s="861" t="n"/>
      <c r="T17" s="862" t="n"/>
    </row>
    <row r="18" ht="15" customHeight="1" s="1085">
      <c r="B18" s="582" t="inlineStr">
        <is>
          <t>ACCESS DOORS</t>
        </is>
      </c>
      <c r="C18" s="251" t="n"/>
      <c r="D18" s="253" t="n"/>
      <c r="E18" s="252" t="n"/>
      <c r="F18" s="385">
        <f>26*1.03</f>
        <v/>
      </c>
      <c r="G18" s="378">
        <f>C18*F18</f>
        <v/>
      </c>
      <c r="H18" s="381" t="n">
        <v>0.29</v>
      </c>
      <c r="I18" s="311">
        <f>G18/(1-H18)*(1+$C$9)</f>
        <v/>
      </c>
      <c r="J18" s="378">
        <f>I18*VLOOKUP($B$9,'Base Costs'!$A$32:$B$37,2,FALSE)</f>
        <v/>
      </c>
      <c r="K18" s="379">
        <f>I18-G18</f>
        <v/>
      </c>
      <c r="M18" s="378">
        <f>J18</f>
        <v/>
      </c>
      <c r="N18" s="378" t="n"/>
      <c r="O18" s="378" t="n"/>
      <c r="P18" s="378" t="n"/>
      <c r="R18" s="861" t="n"/>
      <c r="S18" s="861" t="n"/>
      <c r="T18" s="862" t="n"/>
    </row>
    <row r="19" ht="15" customHeight="1" s="1085">
      <c r="B19" s="582" t="inlineStr">
        <is>
          <t>VCD</t>
        </is>
      </c>
      <c r="C19" s="251" t="n"/>
      <c r="D19" s="253" t="n"/>
      <c r="E19" s="252" t="n"/>
      <c r="F19" s="385">
        <f>1300*1.03</f>
        <v/>
      </c>
      <c r="G19" s="378">
        <f>C19*F19</f>
        <v/>
      </c>
      <c r="H19" s="381" t="n">
        <v>0.29</v>
      </c>
      <c r="I19" s="311">
        <f>G19/(1-H19)*(1+$C$9)</f>
        <v/>
      </c>
      <c r="J19" s="378">
        <f>I19*VLOOKUP($B$9,'Base Costs'!$A$32:$B$37,2,FALSE)</f>
        <v/>
      </c>
      <c r="K19" s="379">
        <f>I19-G19</f>
        <v/>
      </c>
      <c r="M19" s="378">
        <f>J19</f>
        <v/>
      </c>
      <c r="N19" s="378" t="n"/>
      <c r="O19" s="378" t="n"/>
      <c r="P19" s="378" t="n"/>
      <c r="R19" s="861" t="n"/>
      <c r="S19" s="861" t="n"/>
      <c r="T19" s="862" t="n"/>
    </row>
    <row r="20" ht="15" customHeight="1" s="1085">
      <c r="B20" s="582" t="inlineStr">
        <is>
          <t>LOUVRES</t>
        </is>
      </c>
      <c r="C20" s="251" t="n"/>
      <c r="D20" s="253" t="n"/>
      <c r="E20" s="252" t="n"/>
      <c r="F20" s="385" t="n">
        <v>0</v>
      </c>
      <c r="G20" s="378">
        <f>C20*F20</f>
        <v/>
      </c>
      <c r="H20" s="381" t="n">
        <v>0.29</v>
      </c>
      <c r="I20" s="311">
        <f>G20/(1-H20)*(1+$C$9)</f>
        <v/>
      </c>
      <c r="J20" s="378">
        <f>I20*VLOOKUP($B$9,'Base Costs'!$A$32:$B$37,2,FALSE)</f>
        <v/>
      </c>
      <c r="K20" s="379">
        <f>I20-G20</f>
        <v/>
      </c>
      <c r="M20" s="378">
        <f>J20</f>
        <v/>
      </c>
      <c r="N20" s="378" t="n"/>
      <c r="O20" s="378" t="n"/>
      <c r="P20" s="378" t="n"/>
      <c r="R20" s="861" t="n"/>
      <c r="S20" s="861" t="n"/>
      <c r="T20" s="862" t="n"/>
    </row>
    <row r="21" ht="15" customHeight="1" s="1085">
      <c r="B21" s="582" t="n"/>
      <c r="C21" s="251" t="n"/>
      <c r="D21" s="254" t="n"/>
      <c r="E21" s="252" t="n"/>
      <c r="F21" s="385" t="n">
        <v>0</v>
      </c>
      <c r="G21" s="378">
        <f>C21*F21</f>
        <v/>
      </c>
      <c r="H21" s="381" t="n">
        <v>0.29</v>
      </c>
      <c r="I21" s="311">
        <f>G21/(1-H21)*(1+$C$9)</f>
        <v/>
      </c>
      <c r="J21" s="378">
        <f>I21*VLOOKUP($B$9,'Base Costs'!$A$32:$B$37,2,FALSE)</f>
        <v/>
      </c>
      <c r="K21" s="379">
        <f>I21-G21</f>
        <v/>
      </c>
      <c r="M21" s="378">
        <f>J21</f>
        <v/>
      </c>
      <c r="N21" s="378" t="n"/>
      <c r="O21" s="378" t="n"/>
      <c r="P21" s="378" t="n"/>
      <c r="R21" s="861" t="n"/>
      <c r="S21" s="861" t="n"/>
      <c r="T21" s="862" t="n"/>
    </row>
    <row r="22" ht="15" customHeight="1" s="1085">
      <c r="B22" s="582" t="inlineStr">
        <is>
          <t>RECO AIR UNIT</t>
        </is>
      </c>
      <c r="C22" s="251" t="n"/>
      <c r="D22" s="253" t="n"/>
      <c r="E22" s="252" t="n"/>
      <c r="F22" s="385" t="n">
        <v>17895</v>
      </c>
      <c r="G22" s="378">
        <f>C22*F22</f>
        <v/>
      </c>
      <c r="H22" s="381" t="n">
        <v>0.29</v>
      </c>
      <c r="I22" s="311">
        <f>G22/(1-H22)*(1+$C$9)</f>
        <v/>
      </c>
      <c r="J22" s="378">
        <f>I22*VLOOKUP($B$9,'Base Costs'!$A$32:$B$37,2,FALSE)</f>
        <v/>
      </c>
      <c r="K22" s="379">
        <f>I22-G22</f>
        <v/>
      </c>
      <c r="M22" s="378">
        <f>J22</f>
        <v/>
      </c>
      <c r="N22" s="378" t="n"/>
      <c r="O22" s="378" t="n"/>
      <c r="P22" s="378" t="n"/>
      <c r="R22" s="861" t="n"/>
      <c r="S22" s="861" t="n"/>
      <c r="T22" s="862" t="n"/>
    </row>
    <row r="23" ht="15" customHeight="1" s="1085">
      <c r="B23" s="582" t="inlineStr">
        <is>
          <t>SPARE PART</t>
        </is>
      </c>
      <c r="C23" s="251" t="n"/>
      <c r="D23" s="253" t="n"/>
      <c r="E23" s="252" t="n"/>
      <c r="F23" s="385" t="n">
        <v>0</v>
      </c>
      <c r="G23" s="378">
        <f>C23*F23</f>
        <v/>
      </c>
      <c r="H23" s="381" t="n">
        <v>0.29</v>
      </c>
      <c r="I23" s="311">
        <f>G23/(1-H23)*(1+$C$9)</f>
        <v/>
      </c>
      <c r="J23" s="378">
        <f>I23*VLOOKUP($B$9,'Base Costs'!$A$32:$B$37,2,FALSE)</f>
        <v/>
      </c>
      <c r="K23" s="379">
        <f>I23-G23</f>
        <v/>
      </c>
      <c r="M23" s="378">
        <f>J23</f>
        <v/>
      </c>
      <c r="N23" s="378" t="n"/>
      <c r="O23" s="378" t="n"/>
      <c r="P23" s="378" t="n"/>
      <c r="R23" s="861" t="n"/>
      <c r="S23" s="861" t="n"/>
      <c r="T23" s="862" t="n"/>
    </row>
    <row r="24" ht="15" customHeight="1" s="1085">
      <c r="B24" s="582" t="inlineStr">
        <is>
          <t>SPARE PART</t>
        </is>
      </c>
      <c r="C24" s="251" t="n"/>
      <c r="D24" s="253" t="n"/>
      <c r="E24" s="252" t="n"/>
      <c r="F24" s="385" t="n">
        <v>0</v>
      </c>
      <c r="G24" s="378">
        <f>C24*F24</f>
        <v/>
      </c>
      <c r="H24" s="381" t="n">
        <v>0.29</v>
      </c>
      <c r="I24" s="311">
        <f>G24/(1-H24)*(1+$C$9)</f>
        <v/>
      </c>
      <c r="J24" s="378">
        <f>I24*VLOOKUP($B$9,'Base Costs'!$A$32:$B$37,2,FALSE)</f>
        <v/>
      </c>
      <c r="K24" s="379">
        <f>I24-G24</f>
        <v/>
      </c>
      <c r="M24" s="378">
        <f>J24</f>
        <v/>
      </c>
      <c r="N24" s="378" t="n"/>
      <c r="O24" s="378" t="n"/>
      <c r="P24" s="378" t="n"/>
      <c r="R24" s="861" t="n"/>
      <c r="S24" s="861" t="n"/>
      <c r="T24" s="862" t="n"/>
    </row>
    <row r="25" ht="15" customHeight="1" s="1085">
      <c r="B25" s="583" t="inlineStr">
        <is>
          <t xml:space="preserve">SUPPLY FAN AND ANCILLARIES </t>
        </is>
      </c>
      <c r="C25" s="251" t="n"/>
      <c r="D25" s="388" t="inlineStr">
        <is>
          <t>SUPPLY FANS SIZE</t>
        </is>
      </c>
      <c r="E25" s="252" t="n"/>
      <c r="F25" s="385">
        <f>VLOOKUP(D25,'Base Costs'!I25:J31,2,FALSE)</f>
        <v/>
      </c>
      <c r="G25" s="378">
        <f>C25*F25</f>
        <v/>
      </c>
      <c r="H25" s="381" t="n">
        <v>0.29</v>
      </c>
      <c r="I25" s="311">
        <f>G25/(1-H25)*(1+$C$9)</f>
        <v/>
      </c>
      <c r="J25" s="378">
        <f>I25*VLOOKUP($B$9,'Base Costs'!$A$32:$B$37,2,FALSE)</f>
        <v/>
      </c>
      <c r="K25" s="379">
        <f>I25-G25</f>
        <v/>
      </c>
      <c r="M25" s="378" t="n"/>
      <c r="N25" s="378">
        <f>J25</f>
        <v/>
      </c>
      <c r="O25" s="378" t="n"/>
      <c r="P25" s="378" t="n"/>
      <c r="R25" s="861" t="n"/>
      <c r="S25" s="861" t="n"/>
      <c r="T25" s="862" t="n"/>
    </row>
    <row r="26" ht="15" customHeight="1" s="1085">
      <c r="B26" s="583" t="inlineStr">
        <is>
          <t>CONTROLS</t>
        </is>
      </c>
      <c r="C26" s="251" t="n"/>
      <c r="D26" s="388" t="inlineStr">
        <is>
          <t>CONTROLS</t>
        </is>
      </c>
      <c r="E26" s="252" t="n"/>
      <c r="F26" s="385">
        <f>VLOOKUP(D26,'Base Costs'!I19:J23,2,FALSE)</f>
        <v/>
      </c>
      <c r="G26" s="378">
        <f>C26*F26</f>
        <v/>
      </c>
      <c r="H26" s="381" t="n">
        <v>0.29</v>
      </c>
      <c r="I26" s="311">
        <f>G26/(1-H26)*(1+$C$9)</f>
        <v/>
      </c>
      <c r="J26" s="378">
        <f>I26*VLOOKUP($B$9,'Base Costs'!$A$32:$B$37,2,FALSE)</f>
        <v/>
      </c>
      <c r="K26" s="379">
        <f>I26-G26</f>
        <v/>
      </c>
      <c r="M26" s="378" t="n"/>
      <c r="N26" s="378">
        <f>J26</f>
        <v/>
      </c>
      <c r="O26" s="378" t="n"/>
      <c r="P26" s="378" t="n"/>
      <c r="R26" s="861" t="n"/>
      <c r="S26" s="861" t="n"/>
      <c r="T26" s="862" t="n"/>
    </row>
    <row r="27" ht="15" customHeight="1" s="1085">
      <c r="B27" s="583" t="inlineStr">
        <is>
          <t>ATTENUATORS</t>
        </is>
      </c>
      <c r="C27" s="251" t="n"/>
      <c r="D27" s="388" t="inlineStr">
        <is>
          <t>ATTENUATORS (SUPPLY)</t>
        </is>
      </c>
      <c r="E27" s="252" t="n"/>
      <c r="F27" s="385">
        <f>VLOOKUP(D27,'Base Costs'!I33:J37,2,FALSE)</f>
        <v/>
      </c>
      <c r="G27" s="378">
        <f>C27*F27</f>
        <v/>
      </c>
      <c r="H27" s="381" t="n">
        <v>0.29</v>
      </c>
      <c r="I27" s="311">
        <f>G27/(1-H27)*(1+$C$9)</f>
        <v/>
      </c>
      <c r="J27" s="378">
        <f>I27*VLOOKUP($B$9,'Base Costs'!$A$32:$B$37,2,FALSE)</f>
        <v/>
      </c>
      <c r="K27" s="379">
        <f>I27-G27</f>
        <v/>
      </c>
      <c r="M27" s="378" t="n"/>
      <c r="N27" s="378">
        <f>J27</f>
        <v/>
      </c>
      <c r="O27" s="378" t="n"/>
      <c r="P27" s="378" t="n"/>
      <c r="R27" s="861" t="n"/>
      <c r="S27" s="861" t="n"/>
      <c r="T27" s="862" t="n"/>
    </row>
    <row r="28" ht="15" customHeight="1" s="1085">
      <c r="B28" s="583" t="inlineStr">
        <is>
          <t>HEATER</t>
        </is>
      </c>
      <c r="C28" s="251" t="n"/>
      <c r="D28" s="388" t="inlineStr">
        <is>
          <t>Electric heater inc controls</t>
        </is>
      </c>
      <c r="E28" s="252" t="n"/>
      <c r="F28" s="385">
        <f>VLOOKUP(D28,'Base Costs'!I39:J44,2,FALSE)</f>
        <v/>
      </c>
      <c r="G28" s="378">
        <f>C28*F28</f>
        <v/>
      </c>
      <c r="H28" s="381" t="n">
        <v>0.29</v>
      </c>
      <c r="I28" s="311">
        <f>G28/(1-H28)*(1+$C$9)</f>
        <v/>
      </c>
      <c r="J28" s="378">
        <f>I28*VLOOKUP($B$9,'Base Costs'!$A$32:$B$37,2,FALSE)</f>
        <v/>
      </c>
      <c r="K28" s="379">
        <f>I28-G28</f>
        <v/>
      </c>
      <c r="M28" s="378" t="n"/>
      <c r="N28" s="378">
        <f>J28</f>
        <v/>
      </c>
      <c r="O28" s="378" t="n"/>
      <c r="P28" s="378" t="n"/>
      <c r="R28" s="861" t="n"/>
      <c r="S28" s="861" t="n"/>
      <c r="T28" s="862" t="n"/>
    </row>
    <row r="29" ht="15" customHeight="1" s="1085">
      <c r="B29" s="583" t="inlineStr">
        <is>
          <t>FRESH AIR FILTERS</t>
        </is>
      </c>
      <c r="C29" s="251" t="n"/>
      <c r="D29" s="253" t="n"/>
      <c r="E29" s="252" t="n"/>
      <c r="F29" s="385" t="n">
        <v>0</v>
      </c>
      <c r="G29" s="378">
        <f>C29*F29</f>
        <v/>
      </c>
      <c r="H29" s="381" t="n">
        <v>0.29</v>
      </c>
      <c r="I29" s="311">
        <f>G29/(1-H29)*(1+$C$9)</f>
        <v/>
      </c>
      <c r="J29" s="378">
        <f>I29*VLOOKUP($B$9,'Base Costs'!$A$32:$B$37,2,FALSE)</f>
        <v/>
      </c>
      <c r="K29" s="379">
        <f>I29-G29</f>
        <v/>
      </c>
      <c r="M29" s="378" t="n"/>
      <c r="N29" s="378">
        <f>J29</f>
        <v/>
      </c>
      <c r="O29" s="378" t="n"/>
      <c r="P29" s="378" t="n"/>
      <c r="R29" s="861" t="n"/>
      <c r="S29" s="861" t="n"/>
      <c r="T29" s="862" t="n"/>
    </row>
    <row r="30" ht="15" customHeight="1" s="1085">
      <c r="B30" s="583" t="inlineStr">
        <is>
          <t>SUPPLY AIR DUCT</t>
        </is>
      </c>
      <c r="C30" s="251" t="n"/>
      <c r="D30" s="253" t="n"/>
      <c r="E30" s="252" t="n"/>
      <c r="F30" s="385" t="n"/>
      <c r="G30" s="378">
        <f>C30*F30</f>
        <v/>
      </c>
      <c r="H30" s="381" t="n">
        <v>0.29</v>
      </c>
      <c r="I30" s="311">
        <f>G30/(1-H30)*(1+$C$9)</f>
        <v/>
      </c>
      <c r="J30" s="378">
        <f>I30*VLOOKUP($B$9,'Base Costs'!$A$32:$B$37,2,FALSE)</f>
        <v/>
      </c>
      <c r="K30" s="379">
        <f>I30-G30</f>
        <v/>
      </c>
      <c r="M30" s="378" t="n"/>
      <c r="N30" s="378">
        <f>J30</f>
        <v/>
      </c>
      <c r="O30" s="378" t="n"/>
      <c r="P30" s="378" t="n"/>
      <c r="R30" s="861" t="n"/>
      <c r="S30" s="861" t="n"/>
      <c r="T30" s="862" t="n"/>
    </row>
    <row r="31" ht="15" customHeight="1" s="1085">
      <c r="B31" s="583" t="inlineStr">
        <is>
          <t>INSULATION</t>
        </is>
      </c>
      <c r="C31" s="251" t="n"/>
      <c r="D31" s="253" t="n"/>
      <c r="E31" s="252" t="n"/>
      <c r="F31" s="385" t="n">
        <v>0</v>
      </c>
      <c r="G31" s="378">
        <f>C31*F31</f>
        <v/>
      </c>
      <c r="H31" s="381" t="n">
        <v>0.29</v>
      </c>
      <c r="I31" s="311">
        <f>G31/(1-H31)*(1+$C$9)</f>
        <v/>
      </c>
      <c r="J31" s="378">
        <f>I31*VLOOKUP($B$9,'Base Costs'!$A$32:$B$37,2,FALSE)</f>
        <v/>
      </c>
      <c r="K31" s="379">
        <f>I31-G31</f>
        <v/>
      </c>
      <c r="M31" s="378" t="n"/>
      <c r="N31" s="378">
        <f>J31</f>
        <v/>
      </c>
      <c r="O31" s="378" t="n"/>
      <c r="P31" s="378" t="n"/>
      <c r="R31" s="861" t="n"/>
      <c r="S31" s="861" t="n"/>
      <c r="T31" s="862" t="n"/>
    </row>
    <row r="32" ht="15" customHeight="1" s="1085">
      <c r="B32" s="583" t="inlineStr">
        <is>
          <t>GRILLES/DIFFUSERS</t>
        </is>
      </c>
      <c r="C32" s="251" t="n"/>
      <c r="D32" s="253" t="n"/>
      <c r="E32" s="252" t="n"/>
      <c r="F32" s="385" t="n">
        <v>87</v>
      </c>
      <c r="G32" s="378">
        <f>C32*F32</f>
        <v/>
      </c>
      <c r="H32" s="381" t="n">
        <v>0.29</v>
      </c>
      <c r="I32" s="311">
        <f>G32/(1-H32)*(1+$C$9)</f>
        <v/>
      </c>
      <c r="J32" s="378">
        <f>I32*VLOOKUP($B$9,'Base Costs'!$A$32:$B$37,2,FALSE)</f>
        <v/>
      </c>
      <c r="K32" s="379">
        <f>I32-G32</f>
        <v/>
      </c>
      <c r="M32" s="378" t="n"/>
      <c r="N32" s="378">
        <f>J32</f>
        <v/>
      </c>
      <c r="O32" s="378" t="n"/>
      <c r="P32" s="378" t="n"/>
      <c r="R32" s="861" t="n"/>
      <c r="S32" s="861" t="n"/>
      <c r="T32" s="862" t="n"/>
    </row>
    <row r="33" ht="15" customHeight="1" s="1085">
      <c r="B33" s="583" t="inlineStr">
        <is>
          <t>LOUVRES</t>
        </is>
      </c>
      <c r="C33" s="251" t="n"/>
      <c r="D33" s="253" t="n"/>
      <c r="E33" s="252" t="n"/>
      <c r="F33" s="385" t="n">
        <v>0</v>
      </c>
      <c r="G33" s="378">
        <f>C33*F33</f>
        <v/>
      </c>
      <c r="H33" s="381" t="n">
        <v>0.29</v>
      </c>
      <c r="I33" s="311">
        <f>G33/(1-H33)*(1+$C$9)</f>
        <v/>
      </c>
      <c r="J33" s="378">
        <f>I33*VLOOKUP($B$9,'Base Costs'!$A$32:$B$37,2,FALSE)</f>
        <v/>
      </c>
      <c r="K33" s="379">
        <f>I33-G33</f>
        <v/>
      </c>
      <c r="M33" s="378" t="n"/>
      <c r="N33" s="378">
        <f>J33</f>
        <v/>
      </c>
      <c r="O33" s="378" t="n"/>
      <c r="P33" s="378" t="n"/>
      <c r="R33" s="861" t="n"/>
      <c r="S33" s="861" t="n"/>
      <c r="T33" s="862" t="n"/>
    </row>
    <row r="34" ht="15" customHeight="1" s="1085">
      <c r="B34" s="583" t="inlineStr">
        <is>
          <t>FIRE DAMPERS</t>
        </is>
      </c>
      <c r="C34" s="251" t="n"/>
      <c r="D34" s="253" t="n"/>
      <c r="E34" s="252" t="n"/>
      <c r="F34" s="385" t="n">
        <v>88.28</v>
      </c>
      <c r="G34" s="378">
        <f>C34*F34</f>
        <v/>
      </c>
      <c r="H34" s="381" t="n">
        <v>0.29</v>
      </c>
      <c r="I34" s="311">
        <f>G34/(1-H34)*(1+$C$9)</f>
        <v/>
      </c>
      <c r="J34" s="378">
        <f>I34*VLOOKUP($B$9,'Base Costs'!$A$32:$B$37,2,FALSE)</f>
        <v/>
      </c>
      <c r="K34" s="379">
        <f>I34-G34</f>
        <v/>
      </c>
      <c r="M34" s="378" t="n"/>
      <c r="N34" s="378">
        <f>J34</f>
        <v/>
      </c>
      <c r="O34" s="378" t="n"/>
      <c r="P34" s="378" t="n"/>
      <c r="R34" s="861" t="n"/>
      <c r="S34" s="861" t="n"/>
      <c r="T34" s="862" t="n"/>
    </row>
    <row r="35" ht="15" customHeight="1" s="1085">
      <c r="B35" s="583" t="inlineStr">
        <is>
          <t>VCD</t>
        </is>
      </c>
      <c r="C35" s="251" t="n"/>
      <c r="D35" s="253" t="n"/>
      <c r="E35" s="252" t="n"/>
      <c r="F35" s="385" t="n">
        <v>0</v>
      </c>
      <c r="G35" s="378">
        <f>C35*F35</f>
        <v/>
      </c>
      <c r="H35" s="381" t="n">
        <v>0.29</v>
      </c>
      <c r="I35" s="311">
        <f>G35/(1-H35)*(1+$C$9)</f>
        <v/>
      </c>
      <c r="J35" s="378">
        <f>I35*VLOOKUP($B$9,'Base Costs'!$A$32:$B$37,2,FALSE)</f>
        <v/>
      </c>
      <c r="K35" s="379">
        <f>I35-G35</f>
        <v/>
      </c>
      <c r="M35" s="378" t="n"/>
      <c r="N35" s="378">
        <f>J35</f>
        <v/>
      </c>
      <c r="O35" s="378" t="n"/>
      <c r="P35" s="378" t="n"/>
      <c r="R35" s="861" t="n"/>
      <c r="S35" s="861" t="n"/>
      <c r="T35" s="862" t="n"/>
    </row>
    <row r="36" ht="15" customHeight="1" s="1085">
      <c r="B36" s="583" t="inlineStr">
        <is>
          <t>ACCESS DOORS</t>
        </is>
      </c>
      <c r="C36" s="251" t="n"/>
      <c r="D36" s="253" t="n"/>
      <c r="E36" s="252" t="n"/>
      <c r="F36" s="385">
        <f>26*1.03</f>
        <v/>
      </c>
      <c r="G36" s="378">
        <f>C36*F36</f>
        <v/>
      </c>
      <c r="H36" s="381" t="n">
        <v>0.29</v>
      </c>
      <c r="I36" s="311">
        <f>G36/(1-H36)*(1+$C$9)</f>
        <v/>
      </c>
      <c r="J36" s="378">
        <f>I36*VLOOKUP($B$9,'Base Costs'!$A$32:$B$37,2,FALSE)</f>
        <v/>
      </c>
      <c r="K36" s="379">
        <f>I36-G36</f>
        <v/>
      </c>
      <c r="M36" s="378" t="n"/>
      <c r="N36" s="378">
        <f>J36</f>
        <v/>
      </c>
      <c r="O36" s="378" t="n"/>
      <c r="P36" s="378" t="n"/>
      <c r="R36" s="861" t="n"/>
      <c r="S36" s="861" t="n"/>
      <c r="T36" s="862" t="n"/>
    </row>
    <row r="37" ht="15" customHeight="1" s="1085">
      <c r="B37" s="583" t="inlineStr">
        <is>
          <t>SPIRAL &amp; FLEX</t>
        </is>
      </c>
      <c r="C37" s="251" t="n"/>
      <c r="D37" s="253" t="n"/>
      <c r="E37" s="252" t="n"/>
      <c r="F37" s="385" t="n">
        <v>444</v>
      </c>
      <c r="G37" s="378">
        <f>C37*F37</f>
        <v/>
      </c>
      <c r="H37" s="381" t="n">
        <v>0.29</v>
      </c>
      <c r="I37" s="311">
        <f>G37/(1-H37)*(1+$C$9)</f>
        <v/>
      </c>
      <c r="J37" s="378">
        <f>I37*VLOOKUP($B$9,'Base Costs'!$A$32:$B$37,2,FALSE)</f>
        <v/>
      </c>
      <c r="K37" s="379">
        <f>I37-G37</f>
        <v/>
      </c>
      <c r="M37" s="378" t="n"/>
      <c r="N37" s="378">
        <f>J37</f>
        <v/>
      </c>
      <c r="O37" s="378" t="n"/>
      <c r="P37" s="378" t="n"/>
      <c r="R37" s="861" t="n"/>
      <c r="S37" s="861" t="n"/>
      <c r="T37" s="862" t="n"/>
    </row>
    <row r="38" ht="15" customHeight="1" s="1085">
      <c r="B38" s="583" t="inlineStr">
        <is>
          <t>SPARE PART</t>
        </is>
      </c>
      <c r="C38" s="251" t="n"/>
      <c r="D38" s="253" t="n"/>
      <c r="E38" s="252" t="n"/>
      <c r="F38" s="385" t="n">
        <v>0</v>
      </c>
      <c r="G38" s="378">
        <f>C38*F38</f>
        <v/>
      </c>
      <c r="H38" s="381" t="n">
        <v>0.29</v>
      </c>
      <c r="I38" s="311">
        <f>G38/(1-H38)*(1+$C$9)</f>
        <v/>
      </c>
      <c r="J38" s="378">
        <f>I38*VLOOKUP($B$9,'Base Costs'!$A$32:$B$37,2,FALSE)</f>
        <v/>
      </c>
      <c r="K38" s="379">
        <f>I38-G38</f>
        <v/>
      </c>
      <c r="M38" s="378" t="n"/>
      <c r="N38" s="378">
        <f>J38</f>
        <v/>
      </c>
      <c r="O38" s="378" t="n"/>
      <c r="P38" s="378" t="n"/>
      <c r="R38" s="861" t="n"/>
      <c r="S38" s="861" t="n"/>
      <c r="T38" s="862" t="n"/>
    </row>
    <row r="39" ht="15" customHeight="1" s="1085">
      <c r="B39" s="583" t="inlineStr">
        <is>
          <t>SPARE PART</t>
        </is>
      </c>
      <c r="C39" s="251" t="n"/>
      <c r="D39" s="253" t="n"/>
      <c r="E39" s="252" t="n"/>
      <c r="F39" s="385" t="n">
        <v>0</v>
      </c>
      <c r="G39" s="378">
        <f>C39*F39</f>
        <v/>
      </c>
      <c r="H39" s="381" t="n">
        <v>0.29</v>
      </c>
      <c r="I39" s="311">
        <f>G39/(1-H39)*(1+$C$9)</f>
        <v/>
      </c>
      <c r="J39" s="378">
        <f>I39*VLOOKUP($B$9,'Base Costs'!$A$32:$B$37,2,FALSE)</f>
        <v/>
      </c>
      <c r="K39" s="379">
        <f>I39-G39</f>
        <v/>
      </c>
      <c r="M39" s="378" t="n"/>
      <c r="N39" s="378">
        <f>J39</f>
        <v/>
      </c>
      <c r="O39" s="378" t="n"/>
      <c r="P39" s="378" t="n"/>
      <c r="R39" s="861" t="n"/>
      <c r="S39" s="861" t="n"/>
      <c r="T39" s="862" t="n"/>
    </row>
    <row r="40" ht="15" customHeight="1" s="1085">
      <c r="B40" s="584" t="inlineStr">
        <is>
          <t>SPARE PART</t>
        </is>
      </c>
      <c r="C40" s="251" t="n"/>
      <c r="D40" s="793" t="n"/>
      <c r="E40" s="252" t="n"/>
      <c r="F40" s="385" t="n"/>
      <c r="G40" s="378">
        <f>C40*F40</f>
        <v/>
      </c>
      <c r="H40" s="381" t="n">
        <v>0.29</v>
      </c>
      <c r="I40" s="311">
        <f>G40/(1-H40)*(1+$C$9)</f>
        <v/>
      </c>
      <c r="J40" s="378">
        <f>I40*VLOOKUP($B$9,'Base Costs'!$A$32:$B$37,2,FALSE)</f>
        <v/>
      </c>
      <c r="K40" s="379">
        <f>I40-G40</f>
        <v/>
      </c>
      <c r="M40" s="378" t="n"/>
      <c r="N40" s="378" t="n"/>
      <c r="O40" s="378" t="n"/>
      <c r="P40" s="378">
        <f>J40</f>
        <v/>
      </c>
      <c r="R40" s="861" t="n"/>
      <c r="S40" s="861" t="n"/>
      <c r="T40" s="862" t="n"/>
    </row>
    <row r="41" ht="15" customHeight="1" s="1085">
      <c r="B41" s="584" t="inlineStr">
        <is>
          <t>SPARE PART</t>
        </is>
      </c>
      <c r="C41" s="251" t="n"/>
      <c r="D41" s="794" t="n"/>
      <c r="E41" s="252" t="n"/>
      <c r="F41" s="385" t="n"/>
      <c r="G41" s="378">
        <f>C41*F41</f>
        <v/>
      </c>
      <c r="H41" s="381" t="n">
        <v>0.29</v>
      </c>
      <c r="I41" s="311">
        <f>G41/(1-H41)*(1+$C$9)</f>
        <v/>
      </c>
      <c r="J41" s="378">
        <f>I41*VLOOKUP($B$9,'Base Costs'!$A$32:$B$37,2,FALSE)</f>
        <v/>
      </c>
      <c r="K41" s="379">
        <f>I41-G41</f>
        <v/>
      </c>
      <c r="M41" s="378" t="n"/>
      <c r="N41" s="378" t="n"/>
      <c r="O41" s="378" t="n"/>
      <c r="P41" s="378">
        <f>J41</f>
        <v/>
      </c>
      <c r="R41" s="861" t="n"/>
      <c r="S41" s="861" t="n"/>
      <c r="T41" s="862" t="n"/>
    </row>
    <row r="42" ht="15" customHeight="1" s="1085">
      <c r="B42" s="584" t="inlineStr">
        <is>
          <t>SPARE PART</t>
        </is>
      </c>
      <c r="C42" s="251" t="n"/>
      <c r="D42" s="794" t="n"/>
      <c r="E42" s="252" t="n"/>
      <c r="F42" s="385" t="n"/>
      <c r="G42" s="378">
        <f>C42*F42</f>
        <v/>
      </c>
      <c r="H42" s="381" t="n">
        <v>0.29</v>
      </c>
      <c r="I42" s="311">
        <f>G42/(1-H42)*(1+$C$9)</f>
        <v/>
      </c>
      <c r="J42" s="378">
        <f>I42*VLOOKUP($B$9,'Base Costs'!$A$32:$B$37,2,FALSE)</f>
        <v/>
      </c>
      <c r="K42" s="379">
        <f>I42-G42</f>
        <v/>
      </c>
      <c r="M42" s="378" t="n"/>
      <c r="N42" s="378" t="n"/>
      <c r="O42" s="378" t="n"/>
      <c r="P42" s="378">
        <f>J42</f>
        <v/>
      </c>
      <c r="R42" s="861" t="n"/>
      <c r="S42" s="861" t="n"/>
      <c r="T42" s="862" t="n"/>
    </row>
    <row r="43" ht="15" customHeight="1" s="1085">
      <c r="B43" s="584" t="inlineStr">
        <is>
          <t>SPARE PART</t>
        </is>
      </c>
      <c r="C43" s="251" t="n"/>
      <c r="D43" s="253" t="n"/>
      <c r="E43" s="252" t="n"/>
      <c r="F43" s="385" t="n">
        <v>0</v>
      </c>
      <c r="G43" s="378">
        <f>C43*F43</f>
        <v/>
      </c>
      <c r="H43" s="381" t="n">
        <v>0.29</v>
      </c>
      <c r="I43" s="311">
        <f>G43/(1-H43)*(1+$C$9)</f>
        <v/>
      </c>
      <c r="J43" s="378">
        <f>I43*VLOOKUP($B$9,'Base Costs'!$A$32:$B$37,2,FALSE)</f>
        <v/>
      </c>
      <c r="K43" s="379">
        <f>I43-G43</f>
        <v/>
      </c>
      <c r="M43" s="378" t="n"/>
      <c r="N43" s="378" t="n"/>
      <c r="O43" s="378" t="n"/>
      <c r="P43" s="378">
        <f>J43</f>
        <v/>
      </c>
      <c r="R43" s="861" t="n"/>
      <c r="S43" s="861" t="n"/>
      <c r="T43" s="862" t="n"/>
    </row>
    <row r="44" ht="15" customHeight="1" s="1085">
      <c r="B44" s="584" t="inlineStr">
        <is>
          <t>SPARE PART</t>
        </is>
      </c>
      <c r="C44" s="251" t="n"/>
      <c r="D44" s="253" t="n"/>
      <c r="E44" s="252" t="n"/>
      <c r="F44" s="385" t="n">
        <v>0</v>
      </c>
      <c r="G44" s="378">
        <f>C44*F44</f>
        <v/>
      </c>
      <c r="H44" s="381" t="n">
        <v>0.29</v>
      </c>
      <c r="I44" s="311">
        <f>G44/(1-H44)*(1+$C$9)</f>
        <v/>
      </c>
      <c r="J44" s="378">
        <f>I44*VLOOKUP($B$9,'Base Costs'!$A$32:$B$37,2,FALSE)</f>
        <v/>
      </c>
      <c r="K44" s="379">
        <f>I44-G44</f>
        <v/>
      </c>
      <c r="M44" s="378" t="n"/>
      <c r="N44" s="378" t="n"/>
      <c r="O44" s="378" t="n"/>
      <c r="P44" s="378">
        <f>J44</f>
        <v/>
      </c>
      <c r="R44" s="861" t="n"/>
      <c r="S44" s="861" t="n"/>
      <c r="T44" s="862" t="n"/>
    </row>
    <row r="45" ht="15" customHeight="1" s="1085">
      <c r="B45" s="584" t="inlineStr">
        <is>
          <t>SPARE PART</t>
        </is>
      </c>
      <c r="C45" s="251" t="n"/>
      <c r="D45" s="253" t="n"/>
      <c r="E45" s="252" t="n"/>
      <c r="F45" s="385" t="n">
        <v>0</v>
      </c>
      <c r="G45" s="378">
        <f>C45*F45</f>
        <v/>
      </c>
      <c r="H45" s="381" t="n">
        <v>0.29</v>
      </c>
      <c r="I45" s="311">
        <f>G45/(1-H45)*(1+$C$9)</f>
        <v/>
      </c>
      <c r="J45" s="378">
        <f>I45*VLOOKUP($B$9,'Base Costs'!$A$32:$B$37,2,FALSE)</f>
        <v/>
      </c>
      <c r="K45" s="379">
        <f>I45-G45</f>
        <v/>
      </c>
      <c r="M45" s="378" t="n"/>
      <c r="N45" s="378" t="n"/>
      <c r="O45" s="378" t="n"/>
      <c r="P45" s="378">
        <f>J45</f>
        <v/>
      </c>
      <c r="R45" s="861" t="n"/>
      <c r="S45" s="861" t="n"/>
      <c r="T45" s="862" t="n"/>
    </row>
    <row r="46" ht="15" customHeight="1" s="1085">
      <c r="B46" s="584" t="inlineStr">
        <is>
          <t>SPARE PART</t>
        </is>
      </c>
      <c r="C46" s="251" t="n"/>
      <c r="D46" s="253" t="n"/>
      <c r="E46" s="252" t="n"/>
      <c r="F46" s="385" t="n">
        <v>0</v>
      </c>
      <c r="G46" s="378">
        <f>C46*F46</f>
        <v/>
      </c>
      <c r="H46" s="381" t="n">
        <v>0.29</v>
      </c>
      <c r="I46" s="311">
        <f>G46/(1-H46)*(1+$C$9)</f>
        <v/>
      </c>
      <c r="J46" s="378">
        <f>I46*VLOOKUP($B$9,'Base Costs'!$A$32:$B$37,2,FALSE)</f>
        <v/>
      </c>
      <c r="K46" s="379">
        <f>I46-G46</f>
        <v/>
      </c>
      <c r="M46" s="378" t="n"/>
      <c r="N46" s="378" t="n"/>
      <c r="O46" s="378" t="n"/>
      <c r="P46" s="378">
        <f>J46</f>
        <v/>
      </c>
      <c r="R46" s="861" t="n"/>
      <c r="S46" s="861" t="n"/>
      <c r="T46" s="862" t="n"/>
    </row>
    <row r="47" ht="15" customHeight="1" s="1085">
      <c r="B47" s="584" t="inlineStr">
        <is>
          <t>GAS INTERLOCK</t>
        </is>
      </c>
      <c r="C47" s="251" t="n"/>
      <c r="D47" s="1087" t="inlineStr">
        <is>
          <t>MERLIN  CT1750 (INC PRESSURE SWITCH)</t>
        </is>
      </c>
      <c r="F47" s="385" t="n">
        <v>550</v>
      </c>
      <c r="G47" s="378">
        <f>C47*F47</f>
        <v/>
      </c>
      <c r="H47" s="381" t="n">
        <v>0.29</v>
      </c>
      <c r="I47" s="311">
        <f>G47/(1-H47)*(1+$C$9)</f>
        <v/>
      </c>
      <c r="J47" s="378">
        <f>I47*VLOOKUP($B$9,'Base Costs'!$A$32:$B$37,2,FALSE)</f>
        <v/>
      </c>
      <c r="K47" s="379">
        <f>I47-G47</f>
        <v/>
      </c>
      <c r="M47" s="378" t="n"/>
      <c r="N47" s="378" t="n"/>
      <c r="O47" s="378" t="n"/>
      <c r="P47" s="378">
        <f>J47</f>
        <v/>
      </c>
      <c r="R47" s="861" t="n"/>
      <c r="S47" s="861" t="n"/>
      <c r="T47" s="862" t="n"/>
    </row>
    <row r="48" ht="15" customHeight="1" s="1085">
      <c r="B48" s="584" t="inlineStr">
        <is>
          <t>CO SENSOR</t>
        </is>
      </c>
      <c r="C48" s="251" t="n"/>
      <c r="D48" s="794" t="inlineStr">
        <is>
          <t>MERLIN CH4CO</t>
        </is>
      </c>
      <c r="E48" s="252" t="n"/>
      <c r="F48" s="385" t="n">
        <v>75</v>
      </c>
      <c r="G48" s="378">
        <f>C48*F48</f>
        <v/>
      </c>
      <c r="H48" s="381" t="n">
        <v>0.29</v>
      </c>
      <c r="I48" s="311">
        <f>G48/(1-H48)*(1+$C$9)</f>
        <v/>
      </c>
      <c r="J48" s="378">
        <f>I48*VLOOKUP($B$9,'Base Costs'!$A$32:$B$37,2,FALSE)</f>
        <v/>
      </c>
      <c r="K48" s="379">
        <f>I48-G48</f>
        <v/>
      </c>
      <c r="M48" s="378" t="n"/>
      <c r="N48" s="378" t="n"/>
      <c r="O48" s="378" t="n"/>
      <c r="P48" s="378">
        <f>J48</f>
        <v/>
      </c>
      <c r="R48" s="861" t="n"/>
      <c r="S48" s="861" t="n"/>
      <c r="T48" s="862" t="n"/>
    </row>
    <row r="49" ht="15" customHeight="1" s="1085">
      <c r="B49" s="584" t="inlineStr">
        <is>
          <t>CO2 SENSOR (DCKV)</t>
        </is>
      </c>
      <c r="C49" s="251" t="n"/>
      <c r="D49" s="794" t="inlineStr">
        <is>
          <t>MERLIN CO</t>
        </is>
      </c>
      <c r="E49" s="252" t="n"/>
      <c r="F49" s="385" t="n">
        <v>150</v>
      </c>
      <c r="G49" s="378">
        <f>C49*F49</f>
        <v/>
      </c>
      <c r="H49" s="381" t="n">
        <v>0.29</v>
      </c>
      <c r="I49" s="311">
        <f>G49/(1-H49)*(1+$C$9)</f>
        <v/>
      </c>
      <c r="J49" s="378">
        <f>I49*VLOOKUP($B$9,'Base Costs'!$A$32:$B$37,2,FALSE)</f>
        <v/>
      </c>
      <c r="K49" s="379">
        <f>I49-G49</f>
        <v/>
      </c>
      <c r="M49" s="378" t="n"/>
      <c r="N49" s="378" t="n"/>
      <c r="O49" s="378" t="n"/>
      <c r="P49" s="378">
        <f>J49</f>
        <v/>
      </c>
      <c r="R49" s="861" t="n"/>
      <c r="S49" s="861" t="n"/>
      <c r="T49" s="862" t="n"/>
    </row>
    <row r="50" ht="15" customHeight="1" s="1085">
      <c r="B50" s="585" t="inlineStr">
        <is>
          <t>CONTROL PANEL</t>
        </is>
      </c>
      <c r="C50" s="251" t="n"/>
      <c r="D50" s="255" t="n"/>
      <c r="E50" s="252" t="n"/>
      <c r="F50" s="385" t="n">
        <v>0</v>
      </c>
      <c r="G50" s="378">
        <f>C50*F50</f>
        <v/>
      </c>
      <c r="H50" s="381" t="n">
        <v>0.29</v>
      </c>
      <c r="I50" s="311">
        <f>G50/(1-H50)*(1+$C$9)</f>
        <v/>
      </c>
      <c r="J50" s="378">
        <f>I50*VLOOKUP($B$9,'Base Costs'!$A$32:$B$37,2,FALSE)</f>
        <v/>
      </c>
      <c r="K50" s="379">
        <f>I50-G50</f>
        <v/>
      </c>
      <c r="M50" s="378" t="n"/>
      <c r="N50" s="378" t="n"/>
      <c r="O50" s="378">
        <f>J50</f>
        <v/>
      </c>
      <c r="P50" s="378" t="n"/>
      <c r="R50" s="861" t="n"/>
      <c r="S50" s="861" t="n"/>
      <c r="T50" s="862" t="n"/>
    </row>
    <row r="51" ht="15" customHeight="1" s="1085">
      <c r="B51" s="585" t="inlineStr">
        <is>
          <t>CONTROLS</t>
        </is>
      </c>
      <c r="C51" s="251" t="n"/>
      <c r="D51" s="255" t="n"/>
      <c r="E51" s="252" t="n"/>
      <c r="F51" s="385" t="n">
        <v>0</v>
      </c>
      <c r="G51" s="378">
        <f>C51*F51</f>
        <v/>
      </c>
      <c r="H51" s="381" t="n">
        <v>0.29</v>
      </c>
      <c r="I51" s="311">
        <f>G51/(1-H51)*(1+$C$9)</f>
        <v/>
      </c>
      <c r="J51" s="378">
        <f>I51*VLOOKUP($B$9,'Base Costs'!$A$32:$B$37,2,FALSE)</f>
        <v/>
      </c>
      <c r="K51" s="379">
        <f>I51-G51</f>
        <v/>
      </c>
      <c r="M51" s="378" t="n"/>
      <c r="N51" s="378" t="n"/>
      <c r="O51" s="378">
        <f>J51</f>
        <v/>
      </c>
      <c r="P51" s="378" t="n"/>
      <c r="R51" s="861" t="n"/>
      <c r="S51" s="861" t="n"/>
      <c r="T51" s="862" t="n"/>
    </row>
    <row r="52" ht="15" customHeight="1" s="1085">
      <c r="B52" s="585" t="inlineStr">
        <is>
          <t>FIELD WIRING</t>
        </is>
      </c>
      <c r="C52" s="251" t="n"/>
      <c r="D52" s="253" t="n"/>
      <c r="E52" s="252" t="n"/>
      <c r="F52" s="385" t="n">
        <v>0</v>
      </c>
      <c r="G52" s="378">
        <f>C52*F52</f>
        <v/>
      </c>
      <c r="H52" s="381" t="n">
        <v>0.29</v>
      </c>
      <c r="I52" s="311">
        <f>G52/(1-H52)*(1+$C$9)</f>
        <v/>
      </c>
      <c r="J52" s="378">
        <f>I52*VLOOKUP($B$9,'Base Costs'!$A$32:$B$37,2,FALSE)</f>
        <v/>
      </c>
      <c r="K52" s="379">
        <f>I52-G52</f>
        <v/>
      </c>
      <c r="M52" s="378" t="n"/>
      <c r="N52" s="378" t="n"/>
      <c r="O52" s="378">
        <f>J52</f>
        <v/>
      </c>
      <c r="P52" s="378" t="n"/>
      <c r="R52" s="861" t="n"/>
      <c r="S52" s="861" t="n"/>
      <c r="T52" s="862" t="n"/>
    </row>
    <row r="53" ht="15" customHeight="1" s="1085">
      <c r="B53" s="585" t="inlineStr">
        <is>
          <t>SPARE PART</t>
        </is>
      </c>
      <c r="C53" s="251" t="n"/>
      <c r="D53" s="253" t="n"/>
      <c r="E53" s="252" t="n"/>
      <c r="F53" s="385" t="n">
        <v>0</v>
      </c>
      <c r="G53" s="378">
        <f>C53*F53</f>
        <v/>
      </c>
      <c r="H53" s="381" t="n">
        <v>0.29</v>
      </c>
      <c r="I53" s="311">
        <f>G53/(1-H53)*(1+$C$9)</f>
        <v/>
      </c>
      <c r="J53" s="378">
        <f>I53*VLOOKUP($B$9,'Base Costs'!$A$32:$B$37,2,FALSE)</f>
        <v/>
      </c>
      <c r="K53" s="379">
        <f>I53-G53</f>
        <v/>
      </c>
      <c r="M53" s="378" t="n"/>
      <c r="N53" s="378" t="n"/>
      <c r="O53" s="378">
        <f>J53</f>
        <v/>
      </c>
      <c r="P53" s="378" t="n"/>
      <c r="R53" s="861" t="n"/>
      <c r="S53" s="861" t="n"/>
      <c r="T53" s="862" t="n"/>
    </row>
    <row r="54" ht="15" customHeight="1" s="1085">
      <c r="B54" s="585" t="inlineStr">
        <is>
          <t>SPARE PART</t>
        </is>
      </c>
      <c r="C54" s="251" t="n"/>
      <c r="D54" s="253" t="n"/>
      <c r="E54" s="252" t="n"/>
      <c r="F54" s="385" t="n">
        <v>0</v>
      </c>
      <c r="G54" s="378">
        <f>C54*F54</f>
        <v/>
      </c>
      <c r="H54" s="381" t="n">
        <v>0.29</v>
      </c>
      <c r="I54" s="311">
        <f>G54/(1-H54)*(1+$C$9)</f>
        <v/>
      </c>
      <c r="J54" s="378">
        <f>I54*VLOOKUP($B$9,'Base Costs'!$A$32:$B$37,2,FALSE)</f>
        <v/>
      </c>
      <c r="K54" s="379">
        <f>I54-G54</f>
        <v/>
      </c>
      <c r="M54" s="378" t="n"/>
      <c r="N54" s="378" t="n"/>
      <c r="O54" s="378">
        <f>J54</f>
        <v/>
      </c>
      <c r="P54" s="378" t="n"/>
      <c r="R54" s="861" t="n"/>
      <c r="S54" s="861" t="n"/>
      <c r="T54" s="862" t="n"/>
    </row>
    <row r="55" ht="15" customHeight="1" s="1085">
      <c r="B55" s="115" t="n"/>
      <c r="C55" s="121" t="n"/>
      <c r="D55" s="113" t="n"/>
      <c r="F55" s="323" t="n"/>
      <c r="G55" s="323" t="n"/>
      <c r="H55" s="328" t="n"/>
      <c r="I55" s="323" t="n"/>
      <c r="J55" s="323" t="n"/>
      <c r="K55" s="329" t="n"/>
      <c r="R55" s="861" t="n"/>
      <c r="S55" s="861" t="n"/>
      <c r="T55" s="862" t="n"/>
    </row>
    <row r="56" ht="15" customFormat="1" customHeight="1" s="1086">
      <c r="B56" s="1089" t="inlineStr">
        <is>
          <t xml:space="preserve">DELIVERY &amp; INSTALLATION </t>
        </is>
      </c>
      <c r="F56" s="330" t="n"/>
      <c r="G56" s="154">
        <f>SUBTOTAL(9,G57:G66)</f>
        <v/>
      </c>
      <c r="H56" s="15">
        <f>IF(G56=0,"-",K56/I56)</f>
        <v/>
      </c>
      <c r="I56" s="154">
        <f>SUBTOTAL(9,I57:I66)</f>
        <v/>
      </c>
      <c r="J56" s="465">
        <f>SUBTOTAL(9,J57:J66)</f>
        <v/>
      </c>
      <c r="K56" s="154">
        <f>SUBTOTAL(9,K57:K66)</f>
        <v/>
      </c>
      <c r="M56" s="1112" t="n"/>
      <c r="N56" s="1112" t="n"/>
      <c r="O56" s="1112" t="n"/>
      <c r="P56" s="1112" t="n"/>
      <c r="R56" s="863" t="n"/>
      <c r="S56" s="863" t="n"/>
      <c r="T56" s="863" t="n"/>
      <c r="V56" s="100" t="n"/>
      <c r="Y56" s="101" t="n"/>
    </row>
    <row r="57" ht="15" customFormat="1" customHeight="1" s="1086">
      <c r="B57" s="589" t="inlineStr">
        <is>
          <t>DELIVERY x 1.5 for multple loads</t>
        </is>
      </c>
      <c r="C57" s="33" t="n"/>
      <c r="D57" s="309" t="inlineStr">
        <is>
          <t>SELECT LOCATION…</t>
        </is>
      </c>
      <c r="E57" s="28" t="n"/>
      <c r="F57" s="385">
        <f>VLOOKUP(D57,'Base Costs'!E4:G221,2,FALSE)</f>
        <v/>
      </c>
      <c r="G57" s="378">
        <f>C57*F57</f>
        <v/>
      </c>
      <c r="H57" s="381" t="n">
        <v>0.33</v>
      </c>
      <c r="I57" s="311">
        <f>G57/(1-H57)*(1+$C$9)</f>
        <v/>
      </c>
      <c r="J57" s="378">
        <f>I57*VLOOKUP($B$9,'Base Costs'!$A$32:$B$37,2,FALSE)</f>
        <v/>
      </c>
      <c r="K57" s="379">
        <f>I57-G57</f>
        <v/>
      </c>
      <c r="M57" s="1112" t="n"/>
      <c r="N57" s="1112" t="n"/>
      <c r="O57" s="1112" t="n"/>
      <c r="P57" s="1112" t="n"/>
      <c r="R57" s="863" t="n"/>
      <c r="S57" s="863" t="n"/>
      <c r="T57" s="863" t="n"/>
      <c r="V57" s="100" t="n"/>
      <c r="Y57" s="101" t="n"/>
    </row>
    <row r="58" ht="15" customFormat="1" customHeight="1" s="1086">
      <c r="B58" s="584" t="inlineStr">
        <is>
          <t>PLANT HIRE</t>
        </is>
      </c>
      <c r="C58" s="33" t="n"/>
      <c r="D58" s="309" t="inlineStr">
        <is>
          <t>PLANT SELECTION (weekly)</t>
        </is>
      </c>
      <c r="E58" s="28" t="n"/>
      <c r="F58" s="385">
        <f>VLOOKUP(D58,'Base Costs'!A4:B28,2,FALSE)</f>
        <v/>
      </c>
      <c r="G58" s="378">
        <f>C58*F58</f>
        <v/>
      </c>
      <c r="H58" s="386" t="n">
        <v>0.33</v>
      </c>
      <c r="I58" s="311">
        <f>G58/(1-H58)*(1+$C$9)</f>
        <v/>
      </c>
      <c r="J58" s="378">
        <f>I58*VLOOKUP($B$9,'Base Costs'!$A$32:$B$37,2,FALSE)</f>
        <v/>
      </c>
      <c r="K58" s="379">
        <f>I58-G58</f>
        <v/>
      </c>
      <c r="M58" s="1112" t="n"/>
      <c r="N58" s="1112" t="n"/>
      <c r="O58" s="1112" t="n"/>
      <c r="P58" s="1112" t="n"/>
      <c r="R58" s="863" t="n"/>
      <c r="S58" s="863" t="n"/>
      <c r="T58" s="863" t="n"/>
      <c r="V58" s="100" t="n"/>
      <c r="Y58" s="101" t="n"/>
    </row>
    <row r="59" ht="15" customFormat="1" customHeight="1" s="1086">
      <c r="B59" s="584" t="inlineStr">
        <is>
          <t>STRIP OUT</t>
        </is>
      </c>
      <c r="C59" s="33" t="n"/>
      <c r="D59" s="28" t="inlineStr">
        <is>
          <t>PER DAY</t>
        </is>
      </c>
      <c r="E59" s="28" t="n"/>
      <c r="F59" s="385" t="n">
        <v>610</v>
      </c>
      <c r="G59" s="378">
        <f>C59*F59</f>
        <v/>
      </c>
      <c r="H59" s="386" t="n">
        <v>0.33</v>
      </c>
      <c r="I59" s="311">
        <f>G59/(1-H59)*(1+$C$9)</f>
        <v/>
      </c>
      <c r="J59" s="378">
        <f>I59*VLOOKUP($B$9,'Base Costs'!$A$32:$B$37,2,FALSE)</f>
        <v/>
      </c>
      <c r="K59" s="379">
        <f>I59-G59</f>
        <v/>
      </c>
      <c r="M59" s="1112" t="n"/>
      <c r="N59" s="1112" t="n"/>
      <c r="O59" s="1112" t="n"/>
      <c r="P59" s="1112" t="n"/>
      <c r="R59" s="863" t="n"/>
      <c r="S59" s="863" t="n"/>
      <c r="T59" s="863" t="n"/>
      <c r="V59" s="100" t="n"/>
      <c r="Y59" s="101" t="n"/>
    </row>
    <row r="60" ht="15" customFormat="1" customHeight="1" s="1086">
      <c r="B60" s="584" t="inlineStr">
        <is>
          <t xml:space="preserve">CONSUMABLES </t>
        </is>
      </c>
      <c r="C60" s="33" t="n"/>
      <c r="D60" s="28" t="n"/>
      <c r="E60" s="28" t="n"/>
      <c r="F60" s="385" t="n">
        <v>200</v>
      </c>
      <c r="G60" s="378">
        <f>C60*F60</f>
        <v/>
      </c>
      <c r="H60" s="386" t="n">
        <v>0.33</v>
      </c>
      <c r="I60" s="311">
        <f>G60/(1-H60)*(1+$C$9)</f>
        <v/>
      </c>
      <c r="J60" s="378">
        <f>I60*VLOOKUP($B$9,'Base Costs'!$A$32:$B$37,2,FALSE)</f>
        <v/>
      </c>
      <c r="K60" s="379">
        <f>I60-G60</f>
        <v/>
      </c>
      <c r="M60" s="1112" t="n"/>
      <c r="N60" s="1112" t="n"/>
      <c r="O60" s="1112" t="n"/>
      <c r="P60" s="1112" t="n"/>
      <c r="R60" s="863" t="n"/>
      <c r="S60" s="863" t="n"/>
      <c r="T60" s="863" t="n"/>
      <c r="V60" s="100" t="n"/>
      <c r="Y60" s="101" t="n"/>
    </row>
    <row r="61" ht="15" customFormat="1" customHeight="1" s="1086">
      <c r="B61" s="584" t="inlineStr">
        <is>
          <t>INSTALLATION NORMAL HOURS</t>
        </is>
      </c>
      <c r="C61" s="33" t="n"/>
      <c r="D61" s="28" t="inlineStr">
        <is>
          <t>4M PER TEAM PER DAY</t>
        </is>
      </c>
      <c r="E61" s="28" t="n"/>
      <c r="F61" s="385" t="n">
        <v>610</v>
      </c>
      <c r="G61" s="378">
        <f>C61*F61</f>
        <v/>
      </c>
      <c r="H61" s="386" t="n">
        <v>0.4</v>
      </c>
      <c r="I61" s="311">
        <f>G61/(1-H61)*(1+$C$9)</f>
        <v/>
      </c>
      <c r="J61" s="378">
        <f>I61*VLOOKUP($B$9,'Base Costs'!$A$32:$B$37,2,FALSE)</f>
        <v/>
      </c>
      <c r="K61" s="379">
        <f>I61-G61</f>
        <v/>
      </c>
      <c r="M61" s="1112" t="n"/>
      <c r="N61" s="1112" t="n"/>
      <c r="O61" s="1112" t="n"/>
      <c r="P61" s="1112" t="n"/>
      <c r="R61" s="863" t="n"/>
      <c r="S61" s="863" t="n"/>
      <c r="T61" s="863" t="n"/>
      <c r="V61" s="100" t="n"/>
      <c r="Y61" s="101" t="n"/>
    </row>
    <row r="62" ht="15" customFormat="1" customHeight="1" s="1086">
      <c r="B62" s="584" t="inlineStr">
        <is>
          <t>INSTALLATION AFTER HOURS</t>
        </is>
      </c>
      <c r="C62" s="33" t="n"/>
      <c r="D62" s="28" t="inlineStr">
        <is>
          <t>4M PER TEAM PER DAY</t>
        </is>
      </c>
      <c r="E62" s="28" t="n"/>
      <c r="F62" s="385" t="n">
        <v>1220</v>
      </c>
      <c r="G62" s="378">
        <f>C62*F62</f>
        <v/>
      </c>
      <c r="H62" s="386" t="n">
        <v>0.4</v>
      </c>
      <c r="I62" s="311">
        <f>G62/(1-H62)*(1+$C$9)</f>
        <v/>
      </c>
      <c r="J62" s="378">
        <f>I62*VLOOKUP($B$9,'Base Costs'!$A$32:$B$37,2,FALSE)</f>
        <v/>
      </c>
      <c r="K62" s="379">
        <f>I62-G62</f>
        <v/>
      </c>
      <c r="M62" s="1112" t="n"/>
      <c r="N62" s="1112" t="n"/>
      <c r="O62" s="1112" t="n"/>
      <c r="P62" s="1112" t="n"/>
      <c r="R62" s="863" t="n"/>
      <c r="S62" s="863" t="n"/>
      <c r="T62" s="863" t="n"/>
      <c r="V62" s="100" t="n"/>
      <c r="Y62" s="101" t="n"/>
    </row>
    <row r="63" ht="15" customFormat="1" customHeight="1" s="1086">
      <c r="B63" s="584" t="inlineStr">
        <is>
          <t>ACCOMODATION</t>
        </is>
      </c>
      <c r="C63" s="33" t="n"/>
      <c r="D63" s="28" t="inlineStr">
        <is>
          <t>PER NIGHT PER TEAM</t>
        </is>
      </c>
      <c r="E63" s="28" t="n"/>
      <c r="F63" s="385" t="n"/>
      <c r="G63" s="378">
        <f>C63*F63</f>
        <v/>
      </c>
      <c r="H63" s="386" t="n">
        <v>0.33</v>
      </c>
      <c r="I63" s="311">
        <f>G63/(1-H63)*(1+$C$9)</f>
        <v/>
      </c>
      <c r="J63" s="378">
        <f>I63*VLOOKUP($B$9,'Base Costs'!$A$32:$B$37,2,FALSE)</f>
        <v/>
      </c>
      <c r="K63" s="379">
        <f>I63-G63</f>
        <v/>
      </c>
      <c r="M63" s="1112" t="n"/>
      <c r="N63" s="1112" t="n"/>
      <c r="O63" s="1112" t="n"/>
      <c r="P63" s="1112" t="n"/>
      <c r="R63" s="863" t="n"/>
      <c r="S63" s="863" t="n"/>
      <c r="T63" s="863" t="n"/>
      <c r="V63" s="100" t="n"/>
      <c r="Y63" s="101" t="n"/>
    </row>
    <row r="64" ht="15" customFormat="1" customHeight="1" s="1086">
      <c r="B64" s="584" t="inlineStr">
        <is>
          <t>OVERNIGHT</t>
        </is>
      </c>
      <c r="C64" s="33" t="n"/>
      <c r="D64" s="28" t="inlineStr">
        <is>
          <t>PER NIGHT PER TEAM</t>
        </is>
      </c>
      <c r="E64" s="28" t="n"/>
      <c r="F64" s="385" t="n">
        <v>220</v>
      </c>
      <c r="G64" s="378">
        <f>C64*F64</f>
        <v/>
      </c>
      <c r="H64" s="386" t="n">
        <v>0.33</v>
      </c>
      <c r="I64" s="311">
        <f>G64/(1-H64)*(1+$C$9)</f>
        <v/>
      </c>
      <c r="J64" s="378">
        <f>I64*VLOOKUP($B$9,'Base Costs'!$A$32:$B$37,2,FALSE)</f>
        <v/>
      </c>
      <c r="K64" s="379">
        <f>I64-G64</f>
        <v/>
      </c>
      <c r="M64" s="1112" t="n"/>
      <c r="N64" s="1112" t="n"/>
      <c r="O64" s="1112" t="n"/>
      <c r="P64" s="1112" t="n"/>
      <c r="R64" s="863" t="n"/>
      <c r="S64" s="863" t="n"/>
      <c r="T64" s="863" t="n"/>
      <c r="V64" s="100" t="n"/>
      <c r="Y64" s="101" t="n"/>
    </row>
    <row r="65" ht="15" customFormat="1" customHeight="1" s="1086">
      <c r="B65" s="584" t="inlineStr">
        <is>
          <t>TRAVEL COSTS</t>
        </is>
      </c>
      <c r="C65" s="33" t="n"/>
      <c r="D65" s="28" t="n"/>
      <c r="E65" s="28" t="n"/>
      <c r="F65" s="385" t="n">
        <v>150</v>
      </c>
      <c r="G65" s="378">
        <f>C65*F65</f>
        <v/>
      </c>
      <c r="H65" s="386" t="n">
        <v>0.33</v>
      </c>
      <c r="I65" s="311">
        <f>G65/(1-H65)*(1+$C$9)</f>
        <v/>
      </c>
      <c r="J65" s="378">
        <f>I65*VLOOKUP($B$9,'Base Costs'!$A$32:$B$37,2,FALSE)</f>
        <v/>
      </c>
      <c r="K65" s="379">
        <f>I65-G65</f>
        <v/>
      </c>
      <c r="M65" s="1112" t="n"/>
      <c r="N65" s="1112" t="n"/>
      <c r="O65" s="1112" t="n"/>
      <c r="P65" s="1112" t="n"/>
      <c r="R65" s="863" t="n"/>
      <c r="S65" s="863" t="n"/>
      <c r="T65" s="863" t="n"/>
      <c r="V65" s="100" t="n"/>
      <c r="Y65" s="101" t="n"/>
    </row>
    <row r="66" ht="15" customFormat="1" customHeight="1" s="1086">
      <c r="B66" s="584" t="inlineStr">
        <is>
          <t>TEST &amp; COMMISSION</t>
        </is>
      </c>
      <c r="C66" s="33" t="n"/>
      <c r="D66" s="28" t="inlineStr">
        <is>
          <t>3 days for large systems.</t>
        </is>
      </c>
      <c r="E66" s="28" t="n"/>
      <c r="F66" s="385" t="n">
        <v>604</v>
      </c>
      <c r="G66" s="378">
        <f>C66*F66</f>
        <v/>
      </c>
      <c r="H66" s="386" t="n">
        <v>0.33</v>
      </c>
      <c r="I66" s="311">
        <f>G66/(1-H66)*(1+$C$9)</f>
        <v/>
      </c>
      <c r="J66" s="378">
        <f>I66*VLOOKUP($B$9,'Base Costs'!$A$32:$B$37,2,FALSE)</f>
        <v/>
      </c>
      <c r="K66" s="379">
        <f>I66-G66</f>
        <v/>
      </c>
      <c r="M66" s="1112" t="n"/>
      <c r="N66" s="1112" t="n"/>
      <c r="O66" s="1112" t="n"/>
      <c r="P66" s="1112" t="n"/>
      <c r="R66" s="863" t="n"/>
      <c r="S66" s="863" t="n"/>
      <c r="T66" s="863" t="n"/>
      <c r="V66" s="100" t="n"/>
      <c r="Y66" s="101" t="n"/>
    </row>
    <row r="67" ht="15" customHeight="1" s="1085">
      <c r="D67" s="120" t="n"/>
      <c r="R67" s="861" t="n"/>
      <c r="S67" s="861" t="n"/>
      <c r="T67" s="862" t="n"/>
    </row>
    <row r="68" ht="15" customHeight="1" s="1085">
      <c r="B68" s="197" t="inlineStr">
        <is>
          <t>Office Use Only</t>
        </is>
      </c>
      <c r="C68" s="198" t="n"/>
      <c r="D68" s="199" t="n"/>
      <c r="E68" s="199" t="n"/>
      <c r="F68" s="198" t="n"/>
      <c r="G68" s="200" t="n"/>
      <c r="H68" s="198" t="n"/>
      <c r="I68" s="198" t="n"/>
      <c r="J68" s="198" t="n"/>
      <c r="K68" s="198" t="n"/>
    </row>
    <row r="69" ht="15" customHeight="1" s="1085">
      <c r="B69" s="498" t="inlineStr">
        <is>
          <t xml:space="preserve">EXTRACT SYSTEM </t>
        </is>
      </c>
      <c r="C69" s="499">
        <f>M12</f>
        <v/>
      </c>
      <c r="D69" s="202" t="n"/>
      <c r="E69" s="204" t="n"/>
      <c r="F69" s="209" t="n"/>
      <c r="G69" s="209" t="n"/>
      <c r="H69" s="203" t="n"/>
      <c r="I69" s="203" t="n"/>
      <c r="J69" s="203" t="n"/>
      <c r="K69" s="205" t="n"/>
    </row>
    <row r="70" ht="15" customHeight="1" s="1085">
      <c r="B70" s="498" t="inlineStr">
        <is>
          <t xml:space="preserve">SUPPLY SYSTEM </t>
        </is>
      </c>
      <c r="C70" s="499">
        <f>N12</f>
        <v/>
      </c>
      <c r="D70" s="202" t="n"/>
      <c r="E70" s="204" t="n"/>
      <c r="F70" s="209" t="n"/>
      <c r="G70" s="209" t="n"/>
      <c r="H70" s="203" t="n"/>
      <c r="I70" s="203" t="n"/>
      <c r="J70" s="203" t="n"/>
      <c r="K70" s="205" t="n"/>
    </row>
    <row r="71" ht="15" customHeight="1" s="1085">
      <c r="B71" s="498" t="inlineStr">
        <is>
          <t>CONTROLS</t>
        </is>
      </c>
      <c r="C71" s="499">
        <f>O12</f>
        <v/>
      </c>
      <c r="D71" s="202" t="n"/>
      <c r="E71" s="204" t="n"/>
      <c r="F71" s="209" t="n"/>
      <c r="G71" s="209" t="n"/>
      <c r="H71" s="203" t="n"/>
      <c r="I71" s="203" t="n"/>
      <c r="J71" s="203" t="n"/>
      <c r="K71" s="209" t="n"/>
    </row>
    <row r="72" ht="15" customHeight="1" s="1085">
      <c r="B72" s="498" t="inlineStr">
        <is>
          <t>INSTALLATION</t>
        </is>
      </c>
      <c r="C72" s="499">
        <f>SUM(J57:J65)+P12</f>
        <v/>
      </c>
      <c r="D72" s="202" t="n"/>
      <c r="E72" s="204" t="n"/>
      <c r="F72" s="209" t="n"/>
      <c r="G72" s="209" t="n"/>
      <c r="H72" s="206" t="n"/>
      <c r="I72" s="203" t="n"/>
      <c r="J72" s="203" t="n"/>
      <c r="K72" s="209" t="n"/>
    </row>
    <row r="73" ht="15" customHeight="1" s="1085">
      <c r="B73" s="498" t="inlineStr">
        <is>
          <t>TEST &amp; COMMISSION</t>
        </is>
      </c>
      <c r="C73" s="499">
        <f>J66</f>
        <v/>
      </c>
      <c r="D73" s="202" t="n"/>
      <c r="E73" s="202" t="n"/>
      <c r="F73" s="209" t="n"/>
      <c r="G73" s="207" t="n"/>
      <c r="H73" s="209" t="n"/>
      <c r="I73" s="203" t="n"/>
      <c r="J73" s="203" t="n"/>
      <c r="K73" s="205" t="n"/>
    </row>
    <row r="74" ht="15" customHeight="1" s="1085">
      <c r="B74" s="202" t="n"/>
      <c r="C74" s="202" t="n"/>
      <c r="D74" s="202" t="n"/>
      <c r="E74" s="202" t="n"/>
      <c r="F74" s="209" t="n"/>
      <c r="G74" s="207" t="n"/>
      <c r="H74" s="209" t="n"/>
      <c r="I74" s="203" t="n"/>
      <c r="J74" s="203" t="n"/>
      <c r="K74" s="205" t="n"/>
    </row>
    <row r="75" ht="15" customHeight="1" s="1085">
      <c r="D75" s="120" t="n"/>
    </row>
    <row r="76" ht="15" customHeight="1" s="1085">
      <c r="D76" s="120" t="n"/>
    </row>
    <row r="77" ht="15" customHeight="1" s="1085">
      <c r="D77" s="120" t="n"/>
    </row>
    <row r="78" ht="15" customHeight="1" s="1085">
      <c r="D78" s="120" t="n"/>
    </row>
    <row r="79" ht="15" customHeight="1" s="1085">
      <c r="D79" s="120" t="n"/>
    </row>
    <row r="80" ht="15" customHeight="1" s="1085">
      <c r="D80" s="120" t="n"/>
    </row>
    <row r="81" ht="15" customHeight="1" s="1085">
      <c r="D81" s="120" t="n"/>
    </row>
    <row r="82" ht="15" customHeight="1" s="1085">
      <c r="B82" s="117" t="n"/>
      <c r="C82" s="122" t="n"/>
      <c r="D82" s="117" t="n"/>
    </row>
  </sheetData>
  <mergeCells count="11">
    <mergeCell ref="F3:G3"/>
    <mergeCell ref="D47:E47"/>
    <mergeCell ref="B56:E56"/>
    <mergeCell ref="C7:D7"/>
    <mergeCell ref="C1:J1"/>
    <mergeCell ref="R10:T10"/>
    <mergeCell ref="F5:G5"/>
    <mergeCell ref="C5:D5"/>
    <mergeCell ref="M7:O7"/>
    <mergeCell ref="C3:D3"/>
    <mergeCell ref="F7:G7"/>
  </mergeCells>
  <conditionalFormatting sqref="B9">
    <cfRule type="expression" priority="100" dxfId="680">
      <formula>B9="CURRENCY"</formula>
    </cfRule>
    <cfRule type="containsText" priority="99" operator="containsText" dxfId="680" text="SELECT">
      <formula>NOT(ISERROR(SEARCH("SELECT",B9)))</formula>
    </cfRule>
  </conditionalFormatting>
  <conditionalFormatting sqref="B13:B24">
    <cfRule type="expression" priority="6" dxfId="10262">
      <formula>$C13&gt;0</formula>
    </cfRule>
  </conditionalFormatting>
  <conditionalFormatting sqref="B25:B39">
    <cfRule type="expression" priority="5" dxfId="10261">
      <formula>$C25&gt;0</formula>
    </cfRule>
  </conditionalFormatting>
  <conditionalFormatting sqref="B40:B54">
    <cfRule type="expression" priority="3" dxfId="633">
      <formula>$C40&gt;0</formula>
    </cfRule>
  </conditionalFormatting>
  <conditionalFormatting sqref="B57:B66">
    <cfRule type="expression" priority="1" dxfId="633">
      <formula>$C57&gt;0</formula>
    </cfRule>
  </conditionalFormatting>
  <conditionalFormatting sqref="C13:C54">
    <cfRule type="cellIs" priority="20" operator="lessThan" dxfId="561">
      <formula>1</formula>
    </cfRule>
  </conditionalFormatting>
  <conditionalFormatting sqref="C57:C66">
    <cfRule type="cellIs" priority="103" operator="equal" dxfId="10257">
      <formula>0</formula>
    </cfRule>
  </conditionalFormatting>
  <conditionalFormatting sqref="C9:D9">
    <cfRule type="cellIs" priority="66" operator="greaterThan" dxfId="552">
      <formula>0</formula>
    </cfRule>
    <cfRule type="cellIs" priority="65" operator="lessThan" dxfId="207">
      <formula>0</formula>
    </cfRule>
  </conditionalFormatting>
  <conditionalFormatting sqref="F13:F54">
    <cfRule type="expression" priority="19" dxfId="153">
      <formula>C13&gt;0</formula>
    </cfRule>
  </conditionalFormatting>
  <conditionalFormatting sqref="F57:F66">
    <cfRule type="expression" priority="63" dxfId="153">
      <formula>C57&gt;0</formula>
    </cfRule>
  </conditionalFormatting>
  <conditionalFormatting sqref="F58:F66">
    <cfRule type="expression" priority="101" dxfId="383">
      <formula>C58&lt;1</formula>
    </cfRule>
  </conditionalFormatting>
  <conditionalFormatting sqref="G13:G54">
    <cfRule type="cellIs" priority="18" operator="greaterThan" dxfId="141">
      <formula>0</formula>
    </cfRule>
  </conditionalFormatting>
  <conditionalFormatting sqref="G57:G66">
    <cfRule type="cellIs" priority="61" operator="greaterThan" dxfId="141">
      <formula>0</formula>
    </cfRule>
  </conditionalFormatting>
  <conditionalFormatting sqref="H13:H54">
    <cfRule type="expression" priority="25" dxfId="552">
      <formula>$C$9&gt;0</formula>
    </cfRule>
    <cfRule type="expression" priority="26" dxfId="175">
      <formula>$C$9&lt;0</formula>
    </cfRule>
  </conditionalFormatting>
  <conditionalFormatting sqref="H57:H66">
    <cfRule type="expression" priority="313" dxfId="552">
      <formula>$C$9&gt;0</formula>
    </cfRule>
    <cfRule type="expression" priority="314" dxfId="175">
      <formula>$C$9&lt;0</formula>
    </cfRule>
  </conditionalFormatting>
  <conditionalFormatting sqref="J2:J6 J75:J1048576">
    <cfRule type="expression" priority="303" dxfId="2">
      <formula>$B$9="EURO"</formula>
    </cfRule>
  </conditionalFormatting>
  <conditionalFormatting sqref="J8:J67">
    <cfRule type="expression" priority="21" dxfId="2">
      <formula>$B$9="EURO"</formula>
    </cfRule>
  </conditionalFormatting>
  <conditionalFormatting sqref="J9 J56:J66">
    <cfRule type="expression" priority="310" dxfId="3">
      <formula>$B$9="USD"</formula>
    </cfRule>
    <cfRule type="expression" priority="311" dxfId="4">
      <formula>$B$9="PLN"</formula>
    </cfRule>
    <cfRule type="expression" priority="312" dxfId="0">
      <formula>$B$9="CZK"</formula>
    </cfRule>
  </conditionalFormatting>
  <conditionalFormatting sqref="J12:J54">
    <cfRule type="expression" priority="24" dxfId="0">
      <formula>$B$9="CZK"</formula>
    </cfRule>
    <cfRule type="expression" priority="23" dxfId="4">
      <formula>$B$9="PLN"</formula>
    </cfRule>
    <cfRule type="expression" priority="22" dxfId="3">
      <formula>$B$9="USD"</formula>
    </cfRule>
  </conditionalFormatting>
  <conditionalFormatting sqref="J68:J74">
    <cfRule type="expression" priority="93" dxfId="2">
      <formula>$F$10="EURO"</formula>
    </cfRule>
  </conditionalFormatting>
  <conditionalFormatting sqref="J13:K54">
    <cfRule type="cellIs" priority="17" operator="greaterThan" dxfId="1">
      <formula>0</formula>
    </cfRule>
  </conditionalFormatting>
  <conditionalFormatting sqref="J57:K66">
    <cfRule type="cellIs" priority="60" operator="greaterThan" dxfId="1">
      <formula>0</formula>
    </cfRule>
  </conditionalFormatting>
  <conditionalFormatting sqref="M12:P54">
    <cfRule type="expression" priority="11" dxfId="0">
      <formula>$B$9="CZK"</formula>
    </cfRule>
    <cfRule type="expression" priority="10" dxfId="4">
      <formula>$B$9="PLN"</formula>
    </cfRule>
    <cfRule type="expression" priority="9" dxfId="3">
      <formula>$B$9="USD"</formula>
    </cfRule>
    <cfRule type="expression" priority="8" dxfId="2">
      <formula>$B$9="EURO"</formula>
    </cfRule>
  </conditionalFormatting>
  <conditionalFormatting sqref="M13:P54">
    <cfRule type="cellIs" priority="7" operator="greaterThan" dxfId="1">
      <formula>0</formula>
    </cfRule>
  </conditionalFormatting>
  <dataValidations count="3">
    <dataValidation sqref="D13" showDropDown="0" showInputMessage="1" showErrorMessage="1" allowBlank="1" type="list">
      <formula1>FanSize</formula1>
    </dataValidation>
    <dataValidation sqref="D55" showDropDown="0" showInputMessage="1" showErrorMessage="1" allowBlank="1" type="list">
      <formula1>$B$3:$B$15</formula1>
    </dataValidation>
    <dataValidation sqref="D26" showDropDown="0" showInputMessage="1" showErrorMessage="1" allowBlank="1" type="list">
      <formula1>$H$17:$H$21</formula1>
    </dataValidation>
  </dataValidations>
  <printOptions horizontalCentered="1"/>
  <pageMargins left="0.2362204724409449" right="0.3543307086614174" top="0.3937007874015748" bottom="0.3937007874015748" header="0.3149606299212598" footer="0.1181102362204725"/>
  <pageSetup orientation="portrait" paperSize="9" scale="62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codeName="Sheet27">
    <tabColor theme="8" tint="0.7999816888943144"/>
    <outlinePr summaryBelow="1" summaryRight="1"/>
    <pageSetUpPr fitToPage="1"/>
  </sheetPr>
  <dimension ref="A1:Z310"/>
  <sheetViews>
    <sheetView showGridLines="0" tabSelected="1" zoomScale="106" zoomScaleNormal="80" zoomScaleSheetLayoutView="50" workbookViewId="0">
      <selection activeCell="D16" sqref="D16"/>
    </sheetView>
  </sheetViews>
  <sheetFormatPr baseColWidth="10" defaultColWidth="8.83203125" defaultRowHeight="15" customHeight="1" outlineLevelRow="1"/>
  <cols>
    <col width="2" customWidth="1" style="666" min="1" max="1"/>
    <col width="29.6640625" customWidth="1" style="1095" min="2" max="2"/>
    <col width="24.6640625" customWidth="1" style="1095" min="3" max="3"/>
    <col width="27.1640625" customWidth="1" style="1095" min="4" max="4"/>
    <col width="26.6640625" customWidth="1" style="1095" min="5" max="5"/>
    <col width="18.83203125" customWidth="1" style="1095" min="6" max="6"/>
    <col width="22.6640625" customWidth="1" style="1095" min="7" max="7"/>
    <col width="10" bestFit="1" customWidth="1" style="1096" min="8" max="8"/>
    <col width="11.6640625" bestFit="1" customWidth="1" style="1096" min="9" max="9"/>
    <col width="12.33203125" customWidth="1" style="1097" min="10" max="10"/>
    <col width="15" customWidth="1" style="1098" min="11" max="11"/>
    <col width="7.6640625" bestFit="1" customWidth="1" style="1098" min="12" max="12"/>
    <col hidden="1" width="12.33203125" customWidth="1" style="1099" min="13" max="13"/>
    <col width="12.8320312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8"/>
    <col width="8.83203125" customWidth="1" style="1095" min="99" max="16384"/>
  </cols>
  <sheetData>
    <row r="1" ht="15" customHeight="1" s="1085">
      <c r="B1" s="1116" t="inlineStr">
        <is>
          <t>Main Kitchen - First Floor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 t="inlineStr">
        <is>
          <t>3232</t>
        </is>
      </c>
      <c r="F3" s="690" t="inlineStr">
        <is>
          <t>Project Name</t>
        </is>
      </c>
      <c r="G3" s="1071" t="inlineStr">
        <is>
          <t>Cardiff Arena</t>
        </is>
      </c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 t="inlineStr">
        <is>
          <t>Yazan Hunjul (Halton)</t>
        </is>
      </c>
      <c r="F5" s="690" t="inlineStr">
        <is>
          <t>Location</t>
        </is>
      </c>
      <c r="G5" s="1071" t="inlineStr">
        <is>
          <t>London</t>
        </is>
      </c>
      <c r="M5" s="684" t="n"/>
      <c r="N5" s="685" t="n"/>
      <c r="P5" s="1118" t="inlineStr">
        <is>
          <t>RECO CANOPIES MUST HAVE COALESCERS</t>
        </is>
      </c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 t="inlineStr">
        <is>
          <t>KN/CD</t>
        </is>
      </c>
      <c r="F7" s="690" t="inlineStr">
        <is>
          <t>Date</t>
        </is>
      </c>
      <c r="G7" s="1075" t="inlineStr">
        <is>
          <t>02/04/2025</t>
        </is>
      </c>
      <c r="N7" s="699" t="inlineStr">
        <is>
          <t>Revision No</t>
        </is>
      </c>
      <c r="O7" s="809" t="inlineStr">
        <is>
          <t>B</t>
        </is>
      </c>
      <c r="P7" s="1091" t="inlineStr">
        <is>
          <t>GP SHOULD BE MINIMUM 44%</t>
        </is>
      </c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47" t="n"/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8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>123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68">
        <f>N12-N19</f>
        <v/>
      </c>
      <c r="Q12" s="1095" t="n"/>
      <c r="R12" s="1095" t="n"/>
      <c r="S12" s="713" t="n"/>
      <c r="T12" s="1095" t="n"/>
      <c r="X12" s="1095" t="n"/>
      <c r="Y12" s="1095" t="n"/>
      <c r="Z12" s="1095" t="n"/>
    </row>
    <row r="13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UVF</t>
        </is>
      </c>
      <c r="E14" s="734" t="n">
        <v>1000</v>
      </c>
      <c r="F14" s="734" t="n">
        <v>1000</v>
      </c>
      <c r="G14" s="734" t="n">
        <v>555</v>
      </c>
      <c r="H14" s="735" t="n">
        <v>1</v>
      </c>
      <c r="I14" s="734" t="n">
        <v>0.5</v>
      </c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LED STRIP L12 inc DALI</t>
        </is>
      </c>
      <c r="D15" s="741" t="n">
        <v>1</v>
      </c>
      <c r="E15" s="848" t="n"/>
      <c r="F15" s="743" t="n"/>
      <c r="G15" s="744" t="n"/>
      <c r="H15" s="668" t="n"/>
      <c r="I15" s="668" t="n"/>
      <c r="J15" s="736">
        <f>IF(ISNA(C12),0,IF(D15=0,0,IF(C15="FLO",VLOOKUP(E15,'Base Costs'!$M$4:$N$14,2,FALSE),IF(C15="LED STRIP",VLOOKUP(E15,'Base Costs'!$M$4:$N$14,2,FALSE),(VLOOKUP(C15,'Base Costs'!$M$4:$N$14,2,FALSE))))))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outlineLevel="1" ht="15" customHeight="1" s="1085">
      <c r="A16" s="666" t="n">
        <v>234</v>
      </c>
      <c r="B16" s="269" t="inlineStr">
        <is>
          <t>SPECIAL WORKS</t>
        </is>
      </c>
      <c r="C16" s="33" t="inlineStr">
        <is>
          <t>SELECT WORKS</t>
        </is>
      </c>
      <c r="D16" s="735" t="n"/>
      <c r="E16" s="753">
        <f>IF(C16="","",VLOOKUP(C16,CCBASE!$A$53:$D$73,4,FALSE))</f>
        <v/>
      </c>
      <c r="F16" s="754" t="n"/>
      <c r="G16" s="749" t="n"/>
      <c r="H16" s="750" t="n"/>
      <c r="I16" s="755" t="n"/>
      <c r="J16" s="736">
        <f>IF(C16="",0,VLOOKUP(C16,CCBASE!$A$53:$C$73,2,FALSE))</f>
        <v/>
      </c>
      <c r="K16" s="737">
        <f>J16*D16</f>
        <v/>
      </c>
      <c r="L16" s="738" t="n">
        <v>0.44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outlineLevel="1" ht="15" customHeight="1" s="1085">
      <c r="B17" s="269" t="inlineStr">
        <is>
          <t>SPECIAL WORKS</t>
        </is>
      </c>
      <c r="C17" s="752" t="inlineStr">
        <is>
          <t>SELECT WORKS</t>
        </is>
      </c>
      <c r="D17" s="735" t="n"/>
      <c r="E17" s="753">
        <f>IF(C17="","",VLOOKUP(C17,CCBASE!$A$53:$D$73,4,FALSE))</f>
        <v/>
      </c>
      <c r="F17" s="754" t="n"/>
      <c r="G17" s="749" t="n"/>
      <c r="H17" s="750" t="n"/>
      <c r="I17" s="755" t="n"/>
      <c r="J17" s="736">
        <f>IF(C17="",0,VLOOKUP(C17,CCBASE!$A$53:$C$73,2,FALSE))</f>
        <v/>
      </c>
      <c r="K17" s="737">
        <f>J17*D17</f>
        <v/>
      </c>
      <c r="L17" s="738" t="n">
        <v>0.44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outlineLevel="1" ht="15" customHeight="1" s="1085">
      <c r="B18" s="978" t="inlineStr">
        <is>
          <t>SPECIAL WORKS</t>
        </is>
      </c>
      <c r="C18" s="979" t="inlineStr">
        <is>
          <t>BIM/ REVIT per CANOPY</t>
        </is>
      </c>
      <c r="D18" s="980" t="inlineStr">
        <is>
          <t>1</t>
        </is>
      </c>
      <c r="E18" s="981">
        <f>IF(C18="","",VLOOKUP(C18,CCBASE!$A$53:$D$73,4,FALSE))</f>
        <v/>
      </c>
      <c r="F18" s="982" t="n"/>
      <c r="G18" s="977" t="n"/>
      <c r="H18" s="983" t="n"/>
      <c r="I18" s="984" t="n"/>
      <c r="J18" s="985">
        <f>IF(C18="",0,VLOOKUP(C18,CCBASE!$A$53:$C$73,2,FALSE))</f>
        <v/>
      </c>
      <c r="K18" s="986">
        <f>J18*D18</f>
        <v/>
      </c>
      <c r="L18" s="987" t="n">
        <v>0.44</v>
      </c>
      <c r="M18" s="988">
        <f>K18/(1-L18)*(1+$C$9)</f>
        <v/>
      </c>
      <c r="N18" s="986">
        <f>M18*VLOOKUP($B$9,'Base Costs'!$A$32:$B$37,2,FALSE)</f>
        <v/>
      </c>
      <c r="O18" s="989">
        <f>M18-K18</f>
        <v/>
      </c>
      <c r="P18" s="990" t="inlineStr">
        <is>
          <t>always include</t>
        </is>
      </c>
      <c r="S18" s="694" t="n"/>
      <c r="Y18" s="1095" t="n"/>
    </row>
    <row r="19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2M² (HFL)</t>
        </is>
      </c>
      <c r="D19" s="756">
        <f>IF(NOT(ISBLANK(C19)), ROUNDUP($F14/1000,0), 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Q19" t="n">
        <v>8000</v>
      </c>
      <c r="R19" t="n">
        <v>8000</v>
      </c>
      <c r="S19" s="694" t="inlineStr">
        <is>
          <t>Left,Right</t>
        </is>
      </c>
      <c r="T19" t="inlineStr">
        <is>
          <t>2M² (HFL) - 8000x8000mm (Left/Right)</t>
        </is>
      </c>
      <c r="Y19" s="1095" t="n"/>
    </row>
    <row r="20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Q22" t="inlineStr">
        <is>
          <t xml:space="preserve">MUA VOL: </t>
        </is>
      </c>
      <c r="S22" s="694" t="n"/>
      <c r="Y22" s="1095" t="n"/>
    </row>
    <row r="23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>
        <f>IF(ISNA(D23),0,(VLOOKUP(D23,'Base Costs'!$Q$4:$R$14,2,FALSE)))</f>
        <v/>
      </c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>133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68">
        <f>N29-N36</f>
        <v/>
      </c>
      <c r="Q29" s="1095" t="n"/>
      <c r="R29" s="1095" t="n"/>
      <c r="S29" s="713" t="n"/>
      <c r="T29" s="1095" t="n"/>
      <c r="X29" s="1095" t="n"/>
      <c r="Y29" s="1095" t="n"/>
      <c r="Z29" s="1095" t="n"/>
    </row>
    <row r="30" hidden="1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hidden="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CMWF</t>
        </is>
      </c>
      <c r="E31" s="734" t="n"/>
      <c r="F31" s="734" t="n"/>
      <c r="G31" s="734" t="n"/>
      <c r="H31" s="735" t="n"/>
      <c r="I31" s="734" t="n"/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hidden="1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hidden="1" outlineLevel="1" ht="15" customHeight="1" s="1085">
      <c r="A33" s="666" t="n">
        <v>234</v>
      </c>
      <c r="B33" s="731" t="inlineStr">
        <is>
          <t>SPECIAL WORKS</t>
        </is>
      </c>
      <c r="C33" s="752" t="inlineStr">
        <is>
          <t>SELECT WORKS</t>
        </is>
      </c>
      <c r="D33" s="735" t="n"/>
      <c r="E33" s="753">
        <f>IF(C33="","",VLOOKUP(C33,CCBASE!$A$53:$D$73,4,FALSE))</f>
        <v/>
      </c>
      <c r="F33" s="754" t="n"/>
      <c r="G33" s="749" t="n"/>
      <c r="H33" s="750" t="n"/>
      <c r="I33" s="755" t="n"/>
      <c r="J33" s="736">
        <f>IF(C33="",0,VLOOKUP(C33,CCBASE!$A$53:$C$73,2,FALSE))</f>
        <v/>
      </c>
      <c r="K33" s="737">
        <f>J33*D33</f>
        <v/>
      </c>
      <c r="L33" s="738" t="n">
        <v>0.44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hidden="1" outlineLevel="1" ht="15" customHeight="1" s="1085">
      <c r="B34" s="731" t="inlineStr">
        <is>
          <t>SPECIAL WORKS</t>
        </is>
      </c>
      <c r="C34" s="752" t="inlineStr">
        <is>
          <t>SELECT WORKS</t>
        </is>
      </c>
      <c r="D34" s="735" t="n"/>
      <c r="E34" s="753">
        <f>IF(C34="","",VLOOKUP(C34,CCBASE!$A$53:$D$73,4,FALSE))</f>
        <v/>
      </c>
      <c r="F34" s="754" t="n"/>
      <c r="G34" s="749" t="n"/>
      <c r="H34" s="750" t="n"/>
      <c r="I34" s="755" t="n"/>
      <c r="J34" s="736">
        <f>IF(C34="",0,VLOOKUP(C34,CCBASE!$A$53:$C$73,2,FALSE))</f>
        <v/>
      </c>
      <c r="K34" s="737">
        <f>J34*D34</f>
        <v/>
      </c>
      <c r="L34" s="738" t="n">
        <v>0.44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hidden="1" outlineLevel="1" ht="15" customHeight="1" s="1085">
      <c r="B35" s="978" t="inlineStr">
        <is>
          <t>SPECIAL WORKS</t>
        </is>
      </c>
      <c r="C35" s="979" t="inlineStr">
        <is>
          <t>BIM/ REVIT per CANOPY</t>
        </is>
      </c>
      <c r="D35" s="980" t="inlineStr">
        <is>
          <t>1</t>
        </is>
      </c>
      <c r="E35" s="1111" t="n"/>
      <c r="G35" s="977" t="n"/>
      <c r="H35" s="983" t="n"/>
      <c r="I35" s="984" t="n"/>
      <c r="J35" s="985">
        <f>IF(C35="",0,VLOOKUP(C35,CCBASE!$A$53:$C$73,2,FALSE))</f>
        <v/>
      </c>
      <c r="K35" s="986">
        <f>J35*D35</f>
        <v/>
      </c>
      <c r="L35" s="987" t="n">
        <v>0.44</v>
      </c>
      <c r="M35" s="988">
        <f>K35/(1-L35)*(1+$C$9)</f>
        <v/>
      </c>
      <c r="N35" s="986">
        <f>M35*VLOOKUP($B$9,'Base Costs'!$A$32:$B$37,2,FALSE)</f>
        <v/>
      </c>
      <c r="O35" s="989">
        <f>M35-K35</f>
        <v/>
      </c>
      <c r="P35" s="990" t="inlineStr">
        <is>
          <t>always include</t>
        </is>
      </c>
      <c r="S35" s="694" t="n"/>
      <c r="Y35" s="1095" t="n"/>
    </row>
    <row r="36" hidden="1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2M² (HFL)</t>
        </is>
      </c>
      <c r="D36" s="756">
        <f>IF(NOT(ISBLANK(C36)), ROUNDUP($F31/1000,0), 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Q36" t="n">
        <v>0</v>
      </c>
      <c r="R36" t="n">
        <v>0</v>
      </c>
      <c r="S36" s="694" t="n"/>
      <c r="T36" t="inlineStr">
        <is>
          <t>2M² (HFL) - 0x0mm ()</t>
        </is>
      </c>
      <c r="Y36" s="1095" t="n"/>
    </row>
    <row r="37" hidden="1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hidden="1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hidden="1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Q39" t="inlineStr">
        <is>
          <t xml:space="preserve">MUA VOL: </t>
        </is>
      </c>
      <c r="S39" s="694" t="n"/>
      <c r="Y39" s="1095" t="n"/>
    </row>
    <row r="40" hidden="1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>
        <f>IF(ISNA(D40),0,(VLOOKUP(D40,'Base Costs'!$Q$4:$R$13,2,FALSE)))</f>
        <v/>
      </c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hidden="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hidden="1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hidden="1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hidden="1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collapsed="1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68">
        <f>N46-N53</f>
        <v/>
      </c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731" t="inlineStr">
        <is>
          <t>SPECIAL WORKS</t>
        </is>
      </c>
      <c r="C50" s="752" t="inlineStr">
        <is>
          <t>SELECT WORKS</t>
        </is>
      </c>
      <c r="D50" s="735" t="n"/>
      <c r="E50" s="753">
        <f>IF(C50="","",VLOOKUP(C50,CCBASE!$A$53:$D$73,4,FALSE))</f>
        <v/>
      </c>
      <c r="F50" s="754" t="n"/>
      <c r="G50" s="749" t="n"/>
      <c r="H50" s="750" t="n"/>
      <c r="I50" s="755" t="n"/>
      <c r="J50" s="736">
        <f>IF(C50="",0,VLOOKUP(C50,CCBASE!$A$53:$C$73,2,FALSE))</f>
        <v/>
      </c>
      <c r="K50" s="737">
        <f>J50*D50</f>
        <v/>
      </c>
      <c r="L50" s="738" t="n">
        <v>0.44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731" t="inlineStr">
        <is>
          <t>SPECIAL WORKS</t>
        </is>
      </c>
      <c r="C51" s="752" t="inlineStr">
        <is>
          <t>SELECT WORKS</t>
        </is>
      </c>
      <c r="D51" s="735" t="n"/>
      <c r="E51" s="753">
        <f>IF(C51="","",VLOOKUP(C51,CCBASE!$A$53:$D$73,4,FALSE))</f>
        <v/>
      </c>
      <c r="F51" s="754" t="n"/>
      <c r="G51" s="749" t="n"/>
      <c r="H51" s="750" t="n"/>
      <c r="I51" s="755" t="n"/>
      <c r="J51" s="736">
        <f>IF(C51="",0,VLOOKUP(C51,CCBASE!$A$53:$C$73,2,FALSE))</f>
        <v/>
      </c>
      <c r="K51" s="737">
        <f>J51*D51</f>
        <v/>
      </c>
      <c r="L51" s="738" t="n">
        <v>0.44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978" t="inlineStr">
        <is>
          <t>SPECIAL WORKS</t>
        </is>
      </c>
      <c r="C52" s="979" t="inlineStr">
        <is>
          <t>BIM/ REVIT per CANOPY</t>
        </is>
      </c>
      <c r="D52" s="980" t="n"/>
      <c r="E52" s="981">
        <f>IF(C52="","",VLOOKUP(C52,CCBASE!$A$53:$D$73,4,FALSE))</f>
        <v/>
      </c>
      <c r="F52" s="982" t="n"/>
      <c r="G52" s="977" t="n"/>
      <c r="H52" s="983" t="n"/>
      <c r="I52" s="984" t="n"/>
      <c r="J52" s="985">
        <f>IF(C52="",0,VLOOKUP(C52,CCBASE!$A$53:$C$73,2,FALSE))</f>
        <v/>
      </c>
      <c r="K52" s="986">
        <f>J52*D52</f>
        <v/>
      </c>
      <c r="L52" s="987" t="n">
        <v>0.44</v>
      </c>
      <c r="M52" s="988">
        <f>K52/(1-L52)*(1+$C$9)</f>
        <v/>
      </c>
      <c r="N52" s="986">
        <f>M52*VLOOKUP($B$9,'Base Costs'!$A$32:$B$37,2,FALSE)</f>
        <v/>
      </c>
      <c r="O52" s="989">
        <f>M52-K52</f>
        <v/>
      </c>
      <c r="P52" s="990" t="inlineStr">
        <is>
          <t>always include</t>
        </is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SELECT CLADDING</t>
        </is>
      </c>
      <c r="D53" s="756">
        <f>IF(NOT(ISBLANK(C53)), ROUNDUP($F48/1000,0), 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>
        <f>IF(ISNA(D57),0,(VLOOKUP(D57,'Base Costs'!$Q$4:$R$13,2,FALSE)))</f>
        <v/>
      </c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68">
        <f>N63-N70</f>
        <v/>
      </c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731" t="inlineStr">
        <is>
          <t>SPECIAL WORKS</t>
        </is>
      </c>
      <c r="C67" s="752" t="inlineStr">
        <is>
          <t>SELECT WORKS</t>
        </is>
      </c>
      <c r="D67" s="735" t="n"/>
      <c r="E67" s="753">
        <f>IF(C67="","",VLOOKUP(C67,CCBASE!$A$53:$D$73,4,FALSE))</f>
        <v/>
      </c>
      <c r="F67" s="754" t="n"/>
      <c r="G67" s="749" t="n"/>
      <c r="H67" s="750" t="n"/>
      <c r="I67" s="755" t="n"/>
      <c r="J67" s="736">
        <f>IF(C67="",0,VLOOKUP(C67,CCBASE!$A$53:$C$73,2,FALSE))</f>
        <v/>
      </c>
      <c r="K67" s="737">
        <f>J67*D67</f>
        <v/>
      </c>
      <c r="L67" s="738" t="n">
        <v>0.44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731" t="inlineStr">
        <is>
          <t>SPECIAL WORKS</t>
        </is>
      </c>
      <c r="C68" s="752" t="inlineStr">
        <is>
          <t>SELECT WORKS</t>
        </is>
      </c>
      <c r="D68" s="735" t="n"/>
      <c r="E68" s="753">
        <f>IF(C68="","",VLOOKUP(C68,CCBASE!$A$53:$D$73,4,FALSE))</f>
        <v/>
      </c>
      <c r="F68" s="754" t="n"/>
      <c r="G68" s="749" t="n"/>
      <c r="H68" s="750" t="n"/>
      <c r="I68" s="755" t="n"/>
      <c r="J68" s="736">
        <f>IF(C68="",0,VLOOKUP(C68,CCBASE!$A$53:$C$73,2,FALSE))</f>
        <v/>
      </c>
      <c r="K68" s="737">
        <f>J68*D68</f>
        <v/>
      </c>
      <c r="L68" s="738" t="n">
        <v>0.44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978" t="inlineStr">
        <is>
          <t>SPECIAL WORKS</t>
        </is>
      </c>
      <c r="C69" s="979" t="inlineStr">
        <is>
          <t>BIM/ REVIT per CANOPY</t>
        </is>
      </c>
      <c r="D69" s="980" t="n"/>
      <c r="E69" s="981">
        <f>IF(C69="","",VLOOKUP(C69,CCBASE!$A$53:$D$73,4,FALSE))</f>
        <v/>
      </c>
      <c r="F69" s="982" t="n"/>
      <c r="G69" s="977" t="n"/>
      <c r="H69" s="983" t="n"/>
      <c r="I69" s="984" t="n"/>
      <c r="J69" s="985">
        <f>IF(C69="",0,VLOOKUP(C69,CCBASE!$A$53:$C$73,2,FALSE))</f>
        <v/>
      </c>
      <c r="K69" s="986">
        <f>J69*D69</f>
        <v/>
      </c>
      <c r="L69" s="987" t="n">
        <v>0.44</v>
      </c>
      <c r="M69" s="988">
        <f>K69/(1-L69)*(1+$C$9)</f>
        <v/>
      </c>
      <c r="N69" s="986">
        <f>M69*VLOOKUP($B$9,'Base Costs'!$A$32:$B$37,2,FALSE)</f>
        <v/>
      </c>
      <c r="O69" s="989">
        <f>M69-K69</f>
        <v/>
      </c>
      <c r="P69" s="990" t="inlineStr">
        <is>
          <t>always include</t>
        </is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IF(NOT(ISBLANK(C70)), ROUNDUP(F65/1000,0), 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>
        <f>IF(ISNA(D74),0,(VLOOKUP(D74,'Base Costs'!$Q$4:$R$13,2,FALSE)))</f>
        <v/>
      </c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68">
        <f>N80-N87</f>
        <v/>
      </c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731" t="inlineStr">
        <is>
          <t>SPECIAL WORKS</t>
        </is>
      </c>
      <c r="C84" s="752" t="inlineStr">
        <is>
          <t>SELECT WORKS</t>
        </is>
      </c>
      <c r="D84" s="735" t="n"/>
      <c r="E84" s="753">
        <f>IF(C84="","",VLOOKUP(C84,CCBASE!$A$53:$D$73,4,FALSE))</f>
        <v/>
      </c>
      <c r="F84" s="754" t="n"/>
      <c r="G84" s="749" t="n"/>
      <c r="H84" s="750" t="n"/>
      <c r="I84" s="755" t="n"/>
      <c r="J84" s="736">
        <f>IF(C84="",0,VLOOKUP(C84,CCBASE!$A$53:$C$73,2,FALSE))</f>
        <v/>
      </c>
      <c r="K84" s="737">
        <f>J84*D84</f>
        <v/>
      </c>
      <c r="L84" s="738" t="n">
        <v>0.44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SPECIAL WORKS</t>
        </is>
      </c>
      <c r="C85" s="752" t="inlineStr">
        <is>
          <t>SELECT WORKS</t>
        </is>
      </c>
      <c r="D85" s="735" t="n"/>
      <c r="E85" s="753">
        <f>IF(C85="","",VLOOKUP(C85,CCBASE!$A$53:$D$73,4,FALSE))</f>
        <v/>
      </c>
      <c r="F85" s="754" t="n"/>
      <c r="G85" s="749" t="n"/>
      <c r="H85" s="750" t="n"/>
      <c r="I85" s="755" t="n"/>
      <c r="J85" s="736">
        <f>IF(C85="",0,VLOOKUP(C85,CCBASE!$A$53:$C$73,2,FALSE))</f>
        <v/>
      </c>
      <c r="K85" s="737">
        <f>J85*D85</f>
        <v/>
      </c>
      <c r="L85" s="738" t="n">
        <v>0.44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978" t="inlineStr">
        <is>
          <t>SPECIAL WORKS</t>
        </is>
      </c>
      <c r="C86" s="979" t="inlineStr">
        <is>
          <t>BIM/ REVIT per CANOPY</t>
        </is>
      </c>
      <c r="D86" s="980" t="n"/>
      <c r="E86" s="981">
        <f>IF(C86="","",VLOOKUP(C86,CCBASE!$A$53:$D$73,4,FALSE))</f>
        <v/>
      </c>
      <c r="F86" s="982" t="n"/>
      <c r="G86" s="977" t="n"/>
      <c r="H86" s="983" t="n"/>
      <c r="I86" s="984" t="n"/>
      <c r="J86" s="985">
        <f>IF(C86="",0,VLOOKUP(C86,CCBASE!$A$53:$C$73,2,FALSE))</f>
        <v/>
      </c>
      <c r="K86" s="986">
        <f>J86*D86</f>
        <v/>
      </c>
      <c r="L86" s="987" t="n">
        <v>0.44</v>
      </c>
      <c r="M86" s="988">
        <f>K86/(1-L86)*(1+$C$9)</f>
        <v/>
      </c>
      <c r="N86" s="986">
        <f>M86*VLOOKUP($B$9,'Base Costs'!$A$32:$B$37,2,FALSE)</f>
        <v/>
      </c>
      <c r="O86" s="989">
        <f>M86-K86</f>
        <v/>
      </c>
      <c r="P86" s="990" t="inlineStr">
        <is>
          <t>always include</t>
        </is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IF(NOT(ISBLANK(C87)), ROUNDUP(F82/1000,0), 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>
        <f>IF(ISNA(D91),0,(VLOOKUP(D91,'Base Costs'!$Q$4:$R$13,2,FALSE)))</f>
        <v/>
      </c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IF(ISNUMBER(SEARCH("UV",D99)),49.7,71.75)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68">
        <f>N97-N104</f>
        <v/>
      </c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731" t="inlineStr">
        <is>
          <t>SPECIAL WORKS</t>
        </is>
      </c>
      <c r="C101" s="752" t="inlineStr">
        <is>
          <t>SELECT WORKS</t>
        </is>
      </c>
      <c r="D101" s="735" t="n"/>
      <c r="E101" s="753">
        <f>IF(C101="","",VLOOKUP(C101,CCBASE!$A$53:$D$73,4,FALSE))</f>
        <v/>
      </c>
      <c r="F101" s="754" t="n"/>
      <c r="G101" s="749" t="n"/>
      <c r="H101" s="750" t="n"/>
      <c r="I101" s="755" t="n"/>
      <c r="J101" s="736">
        <f>IF(C101="",0,VLOOKUP(C101,CCBASE!$A$53:$C$73,2,FALSE))</f>
        <v/>
      </c>
      <c r="K101" s="737">
        <f>J101*D101</f>
        <v/>
      </c>
      <c r="L101" s="738" t="n">
        <v>0.44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584" t="inlineStr">
        <is>
          <t>SPECIAL WORKS</t>
        </is>
      </c>
      <c r="C102" s="33" t="inlineStr">
        <is>
          <t>SELECT WORKS</t>
        </is>
      </c>
      <c r="D102" s="735" t="n"/>
      <c r="E102" s="753">
        <f>IF(C102="","",VLOOKUP(C102,CCBASE!$A$53:$D$73,4,FALSE))</f>
        <v/>
      </c>
      <c r="F102" s="754" t="n"/>
      <c r="G102" s="749" t="n"/>
      <c r="H102" s="750" t="n"/>
      <c r="I102" s="755" t="n"/>
      <c r="J102" s="736">
        <f>IF(C102="",0,VLOOKUP(C102,CCBASE!$A$53:$C$73,2,FALSE))</f>
        <v/>
      </c>
      <c r="K102" s="737">
        <f>J102*D102</f>
        <v/>
      </c>
      <c r="L102" s="738" t="n">
        <v>0.44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991" t="inlineStr">
        <is>
          <t>SPECIAL WORKS</t>
        </is>
      </c>
      <c r="C103" s="992" t="inlineStr">
        <is>
          <t>BIM/ REVIT per CANOPY</t>
        </is>
      </c>
      <c r="D103" s="980" t="n"/>
      <c r="E103" s="981">
        <f>IF(C103="","",VLOOKUP(C103,CCBASE!$A$53:$D$73,4,FALSE))</f>
        <v/>
      </c>
      <c r="F103" s="982" t="n"/>
      <c r="G103" s="977" t="n"/>
      <c r="H103" s="983" t="n"/>
      <c r="I103" s="984" t="n"/>
      <c r="J103" s="985">
        <f>IF(C103="",0,VLOOKUP(C103,CCBASE!$A$53:$C$73,2,FALSE))</f>
        <v/>
      </c>
      <c r="K103" s="986">
        <f>J103*D103</f>
        <v/>
      </c>
      <c r="L103" s="987" t="n">
        <v>0.44</v>
      </c>
      <c r="M103" s="988">
        <f>K103/(1-L103)*(1+$C$9)</f>
        <v/>
      </c>
      <c r="N103" s="986">
        <f>M103*VLOOKUP($B$9,'Base Costs'!$A$32:$B$37,2,FALSE)</f>
        <v/>
      </c>
      <c r="O103" s="989">
        <f>M103-K103</f>
        <v/>
      </c>
      <c r="P103" s="990" t="inlineStr">
        <is>
          <t>always include</t>
        </is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IF(NOT(ISBLANK(C104)), ROUNDUP(F99/1000,0), 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>
        <f>IF(ISNA(D108),0,(VLOOKUP(D108,'Base Costs'!$Q$4:$R$13,2,FALSE)))</f>
        <v/>
      </c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IF(ISNUMBER(SEARCH("UV",D116)),49.7,71.75)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68">
        <f>N114-N121</f>
        <v/>
      </c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731" t="inlineStr">
        <is>
          <t>SPECIAL WORKS</t>
        </is>
      </c>
      <c r="C118" s="752" t="inlineStr">
        <is>
          <t>SELECT WORKS</t>
        </is>
      </c>
      <c r="D118" s="735" t="n"/>
      <c r="E118" s="753">
        <f>IF(C118="","",VLOOKUP(C118,CCBASE!$A$53:$D$73,4,FALSE))</f>
        <v/>
      </c>
      <c r="F118" s="754" t="n"/>
      <c r="G118" s="749" t="n"/>
      <c r="H118" s="750" t="n"/>
      <c r="I118" s="755" t="n"/>
      <c r="J118" s="736">
        <f>IF(C118="",0,VLOOKUP(C118,CCBASE!$A$53:$C$73,2,FALSE))</f>
        <v/>
      </c>
      <c r="K118" s="737">
        <f>J118*D118</f>
        <v/>
      </c>
      <c r="L118" s="738" t="n">
        <v>0.44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584" t="inlineStr">
        <is>
          <t>SPECIAL WORKS</t>
        </is>
      </c>
      <c r="C119" s="33" t="inlineStr">
        <is>
          <t>SELECT WORKS</t>
        </is>
      </c>
      <c r="D119" s="735" t="n"/>
      <c r="E119" s="753">
        <f>IF(C119="","",VLOOKUP(C119,CCBASE!$A$53:$D$73,4,FALSE))</f>
        <v/>
      </c>
      <c r="F119" s="754" t="n"/>
      <c r="G119" s="749" t="n"/>
      <c r="H119" s="750" t="n"/>
      <c r="I119" s="755" t="n"/>
      <c r="J119" s="736">
        <f>IF(C119="",0,VLOOKUP(C119,CCBASE!$A$53:$C$73,2,FALSE))</f>
        <v/>
      </c>
      <c r="K119" s="737">
        <f>J119*D119</f>
        <v/>
      </c>
      <c r="L119" s="738" t="n">
        <v>0.44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991" t="inlineStr">
        <is>
          <t>SPECIAL WORKS</t>
        </is>
      </c>
      <c r="C120" s="992" t="inlineStr">
        <is>
          <t>BIM/ REVIT per CANOPY</t>
        </is>
      </c>
      <c r="D120" s="980" t="n"/>
      <c r="E120" s="981">
        <f>IF(C120="","",VLOOKUP(C120,CCBASE!$A$53:$D$73,4,FALSE))</f>
        <v/>
      </c>
      <c r="F120" s="982" t="n"/>
      <c r="G120" s="977" t="n"/>
      <c r="H120" s="983" t="n"/>
      <c r="I120" s="984" t="n"/>
      <c r="J120" s="985">
        <f>IF(C120="",0,VLOOKUP(C120,CCBASE!$A$53:$C$73,2,FALSE))</f>
        <v/>
      </c>
      <c r="K120" s="986">
        <f>J120*D120</f>
        <v/>
      </c>
      <c r="L120" s="987" t="n">
        <v>0.44</v>
      </c>
      <c r="M120" s="988">
        <f>K120/(1-L120)*(1+$C$9)</f>
        <v/>
      </c>
      <c r="N120" s="986">
        <f>M120*VLOOKUP($B$9,'Base Costs'!$A$32:$B$37,2,FALSE)</f>
        <v/>
      </c>
      <c r="O120" s="989">
        <f>M120-K120</f>
        <v/>
      </c>
      <c r="P120" s="990" t="inlineStr">
        <is>
          <t>always include</t>
        </is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IF(NOT(ISBLANK(C121)), ROUNDUP(F116/1000,0), 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>
        <f>IF(ISNA(D125),0,(VLOOKUP(D125,'Base Costs'!$Q$4:$R$13,2,FALSE)))</f>
        <v/>
      </c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68">
        <f>N131-N138</f>
        <v/>
      </c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733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731" t="inlineStr">
        <is>
          <t>SPECIAL WORKS</t>
        </is>
      </c>
      <c r="C135" s="752" t="inlineStr">
        <is>
          <t>SELECT WORKS</t>
        </is>
      </c>
      <c r="D135" s="735" t="n"/>
      <c r="E135" s="753">
        <f>IF(C135="","",VLOOKUP(C135,CCBASE!$A$53:$D$73,4,FALSE))</f>
        <v/>
      </c>
      <c r="F135" s="754" t="n"/>
      <c r="G135" s="749" t="n"/>
      <c r="H135" s="750" t="n"/>
      <c r="I135" s="755" t="n"/>
      <c r="J135" s="736">
        <f>IF(C135="",0,VLOOKUP(C135,CCBASE!$A$53:$C$73,2,FALSE))</f>
        <v/>
      </c>
      <c r="K135" s="737">
        <f>J135*D135</f>
        <v/>
      </c>
      <c r="L135" s="738" t="n">
        <v>0.44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584" t="inlineStr">
        <is>
          <t>SPECIAL WORKS</t>
        </is>
      </c>
      <c r="C136" s="33" t="inlineStr">
        <is>
          <t>SELECT WORKS</t>
        </is>
      </c>
      <c r="D136" s="735" t="n"/>
      <c r="E136" s="753">
        <f>IF(C136="","",VLOOKUP(C136,CCBASE!$A$53:$D$73,4,FALSE))</f>
        <v/>
      </c>
      <c r="F136" s="754" t="n"/>
      <c r="G136" s="749" t="n"/>
      <c r="H136" s="750" t="n"/>
      <c r="I136" s="755" t="n"/>
      <c r="J136" s="736">
        <f>IF(C136="",0,VLOOKUP(C136,CCBASE!$A$53:$C$73,2,FALSE))</f>
        <v/>
      </c>
      <c r="K136" s="737">
        <f>J136*D136</f>
        <v/>
      </c>
      <c r="L136" s="738" t="n">
        <v>0.44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991" t="inlineStr">
        <is>
          <t>SPECIAL WORKS</t>
        </is>
      </c>
      <c r="C137" s="992" t="inlineStr">
        <is>
          <t>BIM/ REVIT per CANOPY</t>
        </is>
      </c>
      <c r="D137" s="980" t="n"/>
      <c r="E137" s="981">
        <f>IF(C137="","",VLOOKUP(C137,CCBASE!$A$53:$D$73,4,FALSE))</f>
        <v/>
      </c>
      <c r="F137" s="982" t="n"/>
      <c r="G137" s="977" t="n"/>
      <c r="H137" s="983" t="n"/>
      <c r="I137" s="984" t="n"/>
      <c r="J137" s="985">
        <f>IF(C137="",0,VLOOKUP(C137,CCBASE!$A$53:$C$73,2,FALSE))</f>
        <v/>
      </c>
      <c r="K137" s="986">
        <f>J137*D137</f>
        <v/>
      </c>
      <c r="L137" s="987" t="n">
        <v>0.44</v>
      </c>
      <c r="M137" s="988">
        <f>K137/(1-L137)*(1+$C$9)</f>
        <v/>
      </c>
      <c r="N137" s="986">
        <f>M137*VLOOKUP($B$9,'Base Costs'!$A$32:$B$37,2,FALSE)</f>
        <v/>
      </c>
      <c r="O137" s="989">
        <f>M137-K137</f>
        <v/>
      </c>
      <c r="P137" s="990" t="inlineStr">
        <is>
          <t>always include</t>
        </is>
      </c>
      <c r="S137" s="694" t="n"/>
      <c r="Y137" s="1095" t="n"/>
    </row>
    <row r="138" hidden="1" outlineLevel="1" ht="15" customHeight="1" s="1085">
      <c r="A138" s="666" t="n">
        <v>289</v>
      </c>
      <c r="B138" s="584" t="inlineStr">
        <is>
          <t>WALL CLADDING</t>
        </is>
      </c>
      <c r="C138" s="33" t="inlineStr">
        <is>
          <t>SELECT CLADDING</t>
        </is>
      </c>
      <c r="D138" s="756">
        <f>IF(NOT(ISBLANK(C138)), ROUNDUP(F133/1000,0), 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584" t="inlineStr">
        <is>
          <t>INFILL PANEL</t>
        </is>
      </c>
      <c r="C139" s="752" t="n"/>
      <c r="D139" s="742" t="inlineStr">
        <is>
          <t>m²</t>
        </is>
      </c>
      <c r="E139" s="749" t="n"/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>
        <f>IF(ISNA(D142),0,(VLOOKUP(D142,'Base Costs'!$Q$4:$R$13,2,FALSE)))</f>
        <v/>
      </c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IF(ISNUMBER(SEARCH("UV",D150)),49.7,71.75)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68">
        <f>N148-N155</f>
        <v/>
      </c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731" t="inlineStr">
        <is>
          <t>SPECIAL WORKS</t>
        </is>
      </c>
      <c r="C152" s="752" t="inlineStr">
        <is>
          <t>SELECT WORKS</t>
        </is>
      </c>
      <c r="D152" s="735" t="n"/>
      <c r="E152" s="753">
        <f>IF(C152="","",VLOOKUP(C152,CCBASE!$A$53:$D$73,4,FALSE))</f>
        <v/>
      </c>
      <c r="F152" s="754" t="n"/>
      <c r="G152" s="749" t="n"/>
      <c r="H152" s="750" t="n"/>
      <c r="I152" s="755" t="n"/>
      <c r="J152" s="736">
        <f>IF(C152="",0,VLOOKUP(C152,CCBASE!$A$53:$C$73,2,FALSE))</f>
        <v/>
      </c>
      <c r="K152" s="737">
        <f>J152*D152</f>
        <v/>
      </c>
      <c r="L152" s="738" t="n">
        <v>0.44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584" t="inlineStr">
        <is>
          <t>SPECIAL WORKS</t>
        </is>
      </c>
      <c r="C153" s="33" t="inlineStr">
        <is>
          <t>SELECT WORKS</t>
        </is>
      </c>
      <c r="D153" s="735" t="n"/>
      <c r="E153" s="753">
        <f>IF(C153="","",VLOOKUP(C153,CCBASE!$A$53:$D$73,4,FALSE))</f>
        <v/>
      </c>
      <c r="F153" s="754" t="n"/>
      <c r="G153" s="749" t="n"/>
      <c r="H153" s="750" t="n"/>
      <c r="I153" s="755" t="n"/>
      <c r="J153" s="736">
        <f>IF(C153="",0,VLOOKUP(C153,CCBASE!$A$53:$C$73,2,FALSE))</f>
        <v/>
      </c>
      <c r="K153" s="737">
        <f>J153*D153</f>
        <v/>
      </c>
      <c r="L153" s="738" t="n">
        <v>0.44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991" t="inlineStr">
        <is>
          <t>SPECIAL WORKS</t>
        </is>
      </c>
      <c r="C154" s="992" t="inlineStr">
        <is>
          <t>BIM/ REVIT per CANOPY</t>
        </is>
      </c>
      <c r="D154" s="980" t="n"/>
      <c r="E154" s="981">
        <f>IF(C154="","",VLOOKUP(C154,CCBASE!$A$53:$D$73,4,FALSE))</f>
        <v/>
      </c>
      <c r="F154" s="982" t="n"/>
      <c r="G154" s="977" t="n"/>
      <c r="H154" s="983" t="n"/>
      <c r="I154" s="984" t="n"/>
      <c r="J154" s="985">
        <f>IF(C154="",0,VLOOKUP(C154,CCBASE!$A$53:$C$73,2,FALSE))</f>
        <v/>
      </c>
      <c r="K154" s="986">
        <f>J154*D154</f>
        <v/>
      </c>
      <c r="L154" s="987" t="n">
        <v>0.44</v>
      </c>
      <c r="M154" s="988">
        <f>K154/(1-L154)*(1+$C$9)</f>
        <v/>
      </c>
      <c r="N154" s="986">
        <f>M154*VLOOKUP($B$9,'Base Costs'!$A$32:$B$37,2,FALSE)</f>
        <v/>
      </c>
      <c r="O154" s="989">
        <f>M154-K154</f>
        <v/>
      </c>
      <c r="P154" s="990" t="inlineStr">
        <is>
          <t>always include</t>
        </is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IF(NOT(ISBLANK(C155)), ROUNDUP(F150/1000,0), 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>
        <f>IF(ISNA(D159),0,(VLOOKUP(D159,'Base Costs'!$Q$4:$R$13,2,FALSE)))</f>
        <v/>
      </c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IF(ISNUMBER(SEARCH("UV",D167)),49.7,71.75)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68">
        <f>N165-N172</f>
        <v/>
      </c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731" t="inlineStr">
        <is>
          <t>SPECIAL WORKS</t>
        </is>
      </c>
      <c r="C169" s="752" t="inlineStr">
        <is>
          <t>SELECT WORKS</t>
        </is>
      </c>
      <c r="D169" s="735" t="n"/>
      <c r="E169" s="753">
        <f>IF(C169="","",VLOOKUP(C169,CCBASE!$A$53:$D$73,4,FALSE))</f>
        <v/>
      </c>
      <c r="F169" s="754" t="n"/>
      <c r="G169" s="749" t="n"/>
      <c r="H169" s="750" t="n"/>
      <c r="I169" s="755" t="n"/>
      <c r="J169" s="736">
        <f>IF(C169="",0,VLOOKUP(C169,CCBASE!$A$53:$C$73,2,FALSE))</f>
        <v/>
      </c>
      <c r="K169" s="737">
        <f>J169*D169</f>
        <v/>
      </c>
      <c r="L169" s="738" t="n">
        <v>0.44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584" t="inlineStr">
        <is>
          <t>SPECIAL WORKS</t>
        </is>
      </c>
      <c r="C170" s="33" t="inlineStr">
        <is>
          <t>SELECT WORKS</t>
        </is>
      </c>
      <c r="D170" s="735" t="n"/>
      <c r="E170" s="753">
        <f>IF(C170="","",VLOOKUP(C170,CCBASE!$A$53:$D$73,4,FALSE))</f>
        <v/>
      </c>
      <c r="F170" s="754" t="n"/>
      <c r="G170" s="749" t="n"/>
      <c r="H170" s="750" t="n"/>
      <c r="I170" s="755" t="n"/>
      <c r="J170" s="736">
        <f>IF(C170="",0,VLOOKUP(C170,CCBASE!$A$53:$C$73,2,FALSE))</f>
        <v/>
      </c>
      <c r="K170" s="737">
        <f>J170*D170</f>
        <v/>
      </c>
      <c r="L170" s="738" t="n">
        <v>0.44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991" t="inlineStr">
        <is>
          <t>SPECIAL WORKS</t>
        </is>
      </c>
      <c r="C171" s="992" t="inlineStr">
        <is>
          <t>BIM/ REVIT per CANOPY</t>
        </is>
      </c>
      <c r="D171" s="980" t="n"/>
      <c r="E171" s="981">
        <f>IF(C171="","",VLOOKUP(C171,CCBASE!$A$53:$D$73,4,FALSE))</f>
        <v/>
      </c>
      <c r="F171" s="982" t="n"/>
      <c r="G171" s="977" t="n"/>
      <c r="H171" s="983" t="n"/>
      <c r="I171" s="984" t="n"/>
      <c r="J171" s="985">
        <f>IF(C171="",0,VLOOKUP(C171,CCBASE!$A$53:$C$73,2,FALSE))</f>
        <v/>
      </c>
      <c r="K171" s="986">
        <f>J171*D171</f>
        <v/>
      </c>
      <c r="L171" s="987" t="n">
        <v>0.44</v>
      </c>
      <c r="M171" s="988">
        <f>K171/(1-L171)*(1+$C$9)</f>
        <v/>
      </c>
      <c r="N171" s="986">
        <f>M171*VLOOKUP($B$9,'Base Costs'!$A$32:$B$37,2,FALSE)</f>
        <v/>
      </c>
      <c r="O171" s="989">
        <f>M171-K171</f>
        <v/>
      </c>
      <c r="P171" s="990" t="inlineStr">
        <is>
          <t>always include</t>
        </is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IF(NOT(ISBLANK(C172)), ROUNDUP(F167/1000,0), 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>
        <f>IF(ISNA(D176),0,(VLOOKUP(D176,'Base Costs'!$Q$4:$R$13,2,FALSE)))</f>
        <v/>
      </c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10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P182" s="1068">
        <f>N182-N193</f>
        <v/>
      </c>
      <c r="S182" s="694" t="n"/>
    </row>
    <row r="183" ht="15" customHeight="1" s="1085">
      <c r="A183" s="666" t="n">
        <v>222</v>
      </c>
      <c r="B183" s="589" t="inlineStr">
        <is>
          <t>DELIVERY 1 x 7.5T TAIL LIFT 3200KGS</t>
        </is>
      </c>
      <c r="C183" s="774" t="n"/>
      <c r="D183" s="775" t="inlineStr">
        <is>
          <t>SELECT LOCATION…</t>
        </is>
      </c>
      <c r="E183" s="1111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Q183" s="745" t="n"/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/>
      <c r="D184" s="775" t="inlineStr">
        <is>
          <t>PLANT SELECTION (weekly)</t>
        </is>
      </c>
      <c r="E184" s="1108" t="inlineStr">
        <is>
          <t>Install of 6no Pieces of Canopy Max</t>
        </is>
      </c>
      <c r="G184" s="748" t="n"/>
      <c r="H184" s="748" t="n"/>
      <c r="I184" s="748" t="n"/>
      <c r="J184" s="776">
        <f>VLOOKUP(D184,'Base Costs'!$A$3:$B$15,2,FALSE)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269" t="inlineStr">
        <is>
          <t xml:space="preserve">PLANT HIRE </t>
        </is>
      </c>
      <c r="C185" s="777" t="n"/>
      <c r="D185" s="775" t="inlineStr">
        <is>
          <t>PLANT SELECTION (weekly)</t>
        </is>
      </c>
      <c r="E185" s="1108" t="inlineStr">
        <is>
          <t>Install of 6no Pieces of Canopy Max</t>
        </is>
      </c>
      <c r="G185" s="748" t="n"/>
      <c r="H185" s="748" t="n"/>
      <c r="I185" s="748" t="n"/>
      <c r="J185" s="776">
        <f>VLOOKUP(D185,'Base Costs'!$A$3:$B$15,2,FALSE)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S185" s="694" t="n"/>
    </row>
    <row r="186" ht="15" customHeight="1" s="1085">
      <c r="A186" s="666" t="n">
        <v>222</v>
      </c>
      <c r="B186" s="270" t="n"/>
      <c r="C186" s="946" t="n"/>
      <c r="D186" s="775" t="inlineStr">
        <is>
          <t>SELECT LOCATION…</t>
        </is>
      </c>
      <c r="E186" s="1109" t="n"/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610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>
        <f>ROUNDUP((IF(C14="WALL",(F14/1000),(F14/1000)*2)+IF(C31="WALL",(F31/1000),(F31/1000)*2)+IF(C48="WALL",(F48/1000),(F48/1000)*2)+IF(C65="WALL",(F65/1000),(F65/1000)*2)+IF(C82="WALL",(F82/1000),(F82/1000)*2)+IF(C99="WALL",(F99/1000),(F99/1000)*2)+IF(C116="WALL",(F116/1000),(F116/1000)*2)+IF(C133="WALL",(F133/1000),(F133/1000)*2)+IF(C150="WALL",(F150/1000),(F150/1000)*2)+IF(C167="WALL",(F167/1000),(F167/1000)*2)),0)</f>
        <v/>
      </c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731" t="inlineStr">
        <is>
          <t>INSTALLATION NORMAL HOURS</t>
        </is>
      </c>
      <c r="C189" s="777" t="n"/>
      <c r="D189" s="1102" t="inlineStr">
        <is>
          <t>2 Pieces = 1 Day, 4 Pieces = 1.5 Days, 6 Pieces = 2 Days, 8 Pieces = 2.5 Days (1 Section up to 3m long equals 2 Pieces) + logistics</t>
        </is>
      </c>
      <c r="J189" s="776" t="n">
        <v>610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S189" s="694" t="n"/>
    </row>
    <row r="190" ht="15" customHeight="1" s="1085">
      <c r="A190" s="666" t="n">
        <v>400</v>
      </c>
      <c r="B190" s="731" t="inlineStr">
        <is>
          <t>INSTALLATION AFTER HOURS</t>
        </is>
      </c>
      <c r="C190" s="777" t="n"/>
      <c r="D190" s="1102" t="inlineStr">
        <is>
          <t>2 Pieces = 1 Day, 4 Pieces = 1.5 Days, 6 Pieces = 2 Days, 8 Pieces = 2.5 Days (1 Section up to 3m long equals 2 Pieces) + logistics</t>
        </is>
      </c>
      <c r="J190" s="776" t="n">
        <v>1220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610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220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15" t="inlineStr">
        <is>
          <t>ONE Engineer,  1 day per 4no UV or W/W Sections of Canopy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9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09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20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2">
    <mergeCell ref="B203:O203"/>
    <mergeCell ref="H91:I91"/>
    <mergeCell ref="D189:I189"/>
    <mergeCell ref="E121:F121"/>
    <mergeCell ref="H38:I38"/>
    <mergeCell ref="H125:I125"/>
    <mergeCell ref="B200:O200"/>
    <mergeCell ref="G186:I186"/>
    <mergeCell ref="D194:F194"/>
    <mergeCell ref="C5:D5"/>
    <mergeCell ref="H141:I141"/>
    <mergeCell ref="E185:F185"/>
    <mergeCell ref="D197:F197"/>
    <mergeCell ref="B182:G182"/>
    <mergeCell ref="B202:O202"/>
    <mergeCell ref="H55:I55"/>
    <mergeCell ref="H40:I40"/>
    <mergeCell ref="H74:I74"/>
    <mergeCell ref="H176:I176"/>
    <mergeCell ref="H56:I56"/>
    <mergeCell ref="P7:R7"/>
    <mergeCell ref="E35:F35"/>
    <mergeCell ref="H39:I39"/>
    <mergeCell ref="E87:F87"/>
    <mergeCell ref="G9:J9"/>
    <mergeCell ref="H21:I21"/>
    <mergeCell ref="H73:I73"/>
    <mergeCell ref="H157:I157"/>
    <mergeCell ref="D195:E195"/>
    <mergeCell ref="D193:F193"/>
    <mergeCell ref="E138:F138"/>
    <mergeCell ref="E19:F19"/>
    <mergeCell ref="H142:I142"/>
    <mergeCell ref="E155:F155"/>
    <mergeCell ref="H89:I89"/>
    <mergeCell ref="H123:I123"/>
    <mergeCell ref="G5:J5"/>
    <mergeCell ref="B1:C1"/>
    <mergeCell ref="E9:F9"/>
    <mergeCell ref="H108:I108"/>
    <mergeCell ref="H106:I106"/>
    <mergeCell ref="E186:F186"/>
    <mergeCell ref="G183:I183"/>
    <mergeCell ref="E104:F104"/>
    <mergeCell ref="H72:I72"/>
    <mergeCell ref="H174:I174"/>
    <mergeCell ref="H90:I90"/>
    <mergeCell ref="B205:O205"/>
    <mergeCell ref="H57:I57"/>
    <mergeCell ref="G7:J7"/>
    <mergeCell ref="H159:I159"/>
    <mergeCell ref="E36:F36"/>
    <mergeCell ref="H22:I22"/>
    <mergeCell ref="E70:F70"/>
    <mergeCell ref="H140:I140"/>
    <mergeCell ref="H158:I158"/>
    <mergeCell ref="D196:E196"/>
    <mergeCell ref="E172:F172"/>
    <mergeCell ref="C7:D7"/>
    <mergeCell ref="D190:I190"/>
    <mergeCell ref="G3:J3"/>
    <mergeCell ref="E183:F183"/>
    <mergeCell ref="H124:I124"/>
    <mergeCell ref="B201:O201"/>
    <mergeCell ref="E184:F184"/>
    <mergeCell ref="H107:I107"/>
    <mergeCell ref="E53:F53"/>
    <mergeCell ref="B204:O204"/>
    <mergeCell ref="H23:I23"/>
    <mergeCell ref="C3:D3"/>
    <mergeCell ref="P5:T5"/>
    <mergeCell ref="H175:I175"/>
  </mergeCells>
  <conditionalFormatting sqref="B9">
    <cfRule type="containsText" priority="663" operator="containsText" dxfId="680" text="SELECT">
      <formula>NOT(ISERROR(SEARCH("SELECT",B9)))</formula>
    </cfRule>
    <cfRule type="expression" priority="664" dxfId="680">
      <formula>B9="CURRENCY"</formula>
    </cfRule>
  </conditionalFormatting>
  <conditionalFormatting sqref="B11">
    <cfRule type="expression" priority="626" dxfId="637">
      <formula>$B11&lt;&gt;""</formula>
    </cfRule>
  </conditionalFormatting>
  <conditionalFormatting sqref="B14:B23">
    <cfRule type="expression" priority="618" dxfId="633">
      <formula>$J14&gt;0</formula>
    </cfRule>
  </conditionalFormatting>
  <conditionalFormatting sqref="B24">
    <cfRule type="expression" priority="615" dxfId="633">
      <formula>ISNUMBER(SEARCH("UV",$D14))</formula>
    </cfRule>
    <cfRule type="expression" priority="616" dxfId="358">
      <formula>($D14="CANOPY TYPE")</formula>
    </cfRule>
  </conditionalFormatting>
  <conditionalFormatting sqref="B25:B27">
    <cfRule type="expression" priority="443" dxfId="633">
      <formula>$J25&gt;0</formula>
    </cfRule>
  </conditionalFormatting>
  <conditionalFormatting sqref="B28">
    <cfRule type="expression" priority="624" dxfId="637">
      <formula>$B28&lt;&gt;""</formula>
    </cfRule>
  </conditionalFormatting>
  <conditionalFormatting sqref="B31:B40">
    <cfRule type="expression" priority="388" dxfId="633">
      <formula>$J31&gt;0</formula>
    </cfRule>
  </conditionalFormatting>
  <conditionalFormatting sqref="B41">
    <cfRule type="expression" priority="583" dxfId="633">
      <formula>ISNUMBER(SEARCH("UV",$D31))</formula>
    </cfRule>
    <cfRule type="expression" priority="584" dxfId="358">
      <formula>($D31="CANOPY TYPE")</formula>
    </cfRule>
  </conditionalFormatting>
  <conditionalFormatting sqref="B42:B44">
    <cfRule type="expression" priority="585" dxfId="633">
      <formula>$J42&gt;0</formula>
    </cfRule>
  </conditionalFormatting>
  <conditionalFormatting sqref="B45">
    <cfRule type="expression" priority="623" dxfId="637">
      <formula>$B45&lt;&gt;""</formula>
    </cfRule>
  </conditionalFormatting>
  <conditionalFormatting sqref="B48:B57">
    <cfRule type="expression" priority="103" dxfId="633">
      <formula>$J48&gt;0</formula>
    </cfRule>
  </conditionalFormatting>
  <conditionalFormatting sqref="B58">
    <cfRule type="expression" priority="557" dxfId="358">
      <formula>($D48="CANOPY TYPE")</formula>
    </cfRule>
    <cfRule type="expression" priority="556" dxfId="633">
      <formula>ISNUMBER(SEARCH("UV",$D48))</formula>
    </cfRule>
  </conditionalFormatting>
  <conditionalFormatting sqref="B59:B61">
    <cfRule type="expression" priority="442" dxfId="633">
      <formula>$J59&gt;0</formula>
    </cfRule>
  </conditionalFormatting>
  <conditionalFormatting sqref="B62">
    <cfRule type="expression" priority="622" dxfId="637">
      <formula>$B62&lt;&gt;""</formula>
    </cfRule>
  </conditionalFormatting>
  <conditionalFormatting sqref="B65:B74">
    <cfRule type="expression" priority="89" dxfId="633">
      <formula>$J65&gt;0</formula>
    </cfRule>
  </conditionalFormatting>
  <conditionalFormatting sqref="B75">
    <cfRule type="expression" priority="528" dxfId="633">
      <formula>ISNUMBER(SEARCH("UV",$D65))</formula>
    </cfRule>
    <cfRule type="expression" priority="529" dxfId="358">
      <formula>($D65="CANOPY TYPE")</formula>
    </cfRule>
  </conditionalFormatting>
  <conditionalFormatting sqref="B76:B78">
    <cfRule type="expression" priority="441" dxfId="633">
      <formula>$J76&gt;0</formula>
    </cfRule>
  </conditionalFormatting>
  <conditionalFormatting sqref="B79">
    <cfRule type="expression" priority="621" dxfId="637">
      <formula>$B79&lt;&gt;""</formula>
    </cfRule>
  </conditionalFormatting>
  <conditionalFormatting sqref="B82:B91">
    <cfRule type="expression" priority="75" dxfId="633">
      <formula>$J82&gt;0</formula>
    </cfRule>
  </conditionalFormatting>
  <conditionalFormatting sqref="B92">
    <cfRule type="expression" priority="499" dxfId="633">
      <formula>ISNUMBER(SEARCH("UV",$D82))</formula>
    </cfRule>
    <cfRule type="expression" priority="500" dxfId="358">
      <formula>($D82="CANOPY TYPE")</formula>
    </cfRule>
  </conditionalFormatting>
  <conditionalFormatting sqref="B93:B95">
    <cfRule type="expression" priority="440" dxfId="633">
      <formula>$J93&gt;0</formula>
    </cfRule>
  </conditionalFormatting>
  <conditionalFormatting sqref="B96">
    <cfRule type="expression" priority="620" dxfId="637">
      <formula>$B96&lt;&gt;""</formula>
    </cfRule>
  </conditionalFormatting>
  <conditionalFormatting sqref="B99:B108">
    <cfRule type="expression" priority="61" dxfId="633">
      <formula>$J99&gt;0</formula>
    </cfRule>
  </conditionalFormatting>
  <conditionalFormatting sqref="B109">
    <cfRule type="expression" priority="472" dxfId="358">
      <formula>($D99="CANOPY TYPE")</formula>
    </cfRule>
    <cfRule type="expression" priority="471" dxfId="633">
      <formula>ISNUMBER(SEARCH("UV",$D99))</formula>
    </cfRule>
  </conditionalFormatting>
  <conditionalFormatting sqref="B110:B112 B127:B129 B144:B146 B161:B163 B178:B180">
    <cfRule type="expression" priority="439" dxfId="633">
      <formula>$J110&gt;0</formula>
    </cfRule>
  </conditionalFormatting>
  <conditionalFormatting sqref="B113">
    <cfRule type="expression" priority="320" dxfId="637">
      <formula>$B113&lt;&gt;""</formula>
    </cfRule>
  </conditionalFormatting>
  <conditionalFormatting sqref="B116:B125">
    <cfRule type="expression" priority="47" dxfId="633">
      <formula>$J116&gt;0</formula>
    </cfRule>
  </conditionalFormatting>
  <conditionalFormatting sqref="B126">
    <cfRule type="expression" priority="295" dxfId="633">
      <formula>ISNUMBER(SEARCH("UV",$D116))</formula>
    </cfRule>
    <cfRule type="expression" priority="296" dxfId="358">
      <formula>($D116="CANOPY TYPE")</formula>
    </cfRule>
  </conditionalFormatting>
  <conditionalFormatting sqref="B130">
    <cfRule type="expression" priority="265" dxfId="637">
      <formula>$B130&lt;&gt;""</formula>
    </cfRule>
  </conditionalFormatting>
  <conditionalFormatting sqref="B133:B142">
    <cfRule type="expression" priority="33" dxfId="633">
      <formula>$J133&gt;0</formula>
    </cfRule>
  </conditionalFormatting>
  <conditionalFormatting sqref="B143">
    <cfRule type="expression" priority="241" dxfId="358">
      <formula>($D133="CANOPY TYPE")</formula>
    </cfRule>
    <cfRule type="expression" priority="240" dxfId="633">
      <formula>ISNUMBER(SEARCH("UV",$D133))</formula>
    </cfRule>
  </conditionalFormatting>
  <conditionalFormatting sqref="B147">
    <cfRule type="expression" priority="214" dxfId="637">
      <formula>$B147&lt;&gt;""</formula>
    </cfRule>
  </conditionalFormatting>
  <conditionalFormatting sqref="B150:B159">
    <cfRule type="expression" priority="19" dxfId="633">
      <formula>$J150&gt;0</formula>
    </cfRule>
  </conditionalFormatting>
  <conditionalFormatting sqref="B160">
    <cfRule type="expression" priority="190" dxfId="358">
      <formula>($D150="CANOPY TYPE")</formula>
    </cfRule>
    <cfRule type="expression" priority="189" dxfId="633">
      <formula>ISNUMBER(SEARCH("UV",$D150))</formula>
    </cfRule>
  </conditionalFormatting>
  <conditionalFormatting sqref="B164">
    <cfRule type="expression" priority="163" dxfId="637">
      <formula>$B164&lt;&gt;""</formula>
    </cfRule>
  </conditionalFormatting>
  <conditionalFormatting sqref="B167:B176">
    <cfRule type="expression" priority="5" dxfId="633">
      <formula>$J167&gt;0</formula>
    </cfRule>
  </conditionalFormatting>
  <conditionalFormatting sqref="B177">
    <cfRule type="expression" priority="138" dxfId="633">
      <formula>ISNUMBER(SEARCH("UV",$D167))</formula>
    </cfRule>
    <cfRule type="expression" priority="139" dxfId="358">
      <formula>($D167="CANOPY TYPE")</formula>
    </cfRule>
  </conditionalFormatting>
  <conditionalFormatting sqref="B183:B197">
    <cfRule type="expression" priority="617" dxfId="633">
      <formula>$C183&gt;0</formula>
    </cfRule>
  </conditionalFormatting>
  <conditionalFormatting sqref="C14">
    <cfRule type="containsText" priority="429" operator="containsText" dxfId="204" text="CONFIG">
      <formula>NOT(ISERROR(SEARCH("CONFIG",C14)))</formula>
    </cfRule>
  </conditionalFormatting>
  <conditionalFormatting sqref="C15">
    <cfRule type="containsText" priority="434" operator="containsText" dxfId="561" text="LIGHT SELECTION">
      <formula>NOT(ISERROR(SEARCH("LIGHT SELECTION",C15)))</formula>
    </cfRule>
  </conditionalFormatting>
  <conditionalFormatting sqref="C20:C21">
    <cfRule type="cellIs" priority="669" operator="lessThan" dxfId="561">
      <formula>1</formula>
    </cfRule>
  </conditionalFormatting>
  <conditionalFormatting sqref="C22:C23">
    <cfRule type="expression" priority="409" dxfId="383">
      <formula>D22="WW PODS"</formula>
    </cfRule>
  </conditionalFormatting>
  <conditionalFormatting sqref="C24">
    <cfRule type="expression" priority="686" dxfId="559">
      <formula>ISNUMBER(SEARCH("UV",D14))</formula>
    </cfRule>
  </conditionalFormatting>
  <conditionalFormatting sqref="C25">
    <cfRule type="expression" priority="651" dxfId="472">
      <formula>(ISNUMBER(SEARCH("CMW",D14)))=TRUE</formula>
    </cfRule>
  </conditionalFormatting>
  <conditionalFormatting sqref="C26">
    <cfRule type="expression" priority="650" dxfId="472">
      <formula>(ISNUMBER(SEARCH("CMW",D14)))=TRUE</formula>
    </cfRule>
  </conditionalFormatting>
  <conditionalFormatting sqref="C27">
    <cfRule type="expression" priority="619" dxfId="472">
      <formula>(ISNUMBER(SEARCH("CMW",$D14)))=TRUE</formula>
    </cfRule>
  </conditionalFormatting>
  <conditionalFormatting sqref="C31">
    <cfRule type="containsText" priority="594" operator="containsText" dxfId="204" text="CONFIG">
      <formula>NOT(ISERROR(SEARCH("CONFIG",C31)))</formula>
    </cfRule>
  </conditionalFormatting>
  <conditionalFormatting sqref="C32">
    <cfRule type="containsText" priority="436" operator="containsText" dxfId="561" text="LIGHT SELECTION">
      <formula>NOT(ISERROR(SEARCH("LIGHT SELECTION",C32)))</formula>
    </cfRule>
  </conditionalFormatting>
  <conditionalFormatting sqref="C37:C38">
    <cfRule type="cellIs" priority="593" operator="lessThan" dxfId="561">
      <formula>1</formula>
    </cfRule>
  </conditionalFormatting>
  <conditionalFormatting sqref="C39:C40">
    <cfRule type="expression" priority="387" dxfId="383">
      <formula>D39="WW PODS"</formula>
    </cfRule>
  </conditionalFormatting>
  <conditionalFormatting sqref="C41">
    <cfRule type="expression" priority="608" dxfId="559">
      <formula>ISNUMBER(SEARCH("UV",D31))</formula>
    </cfRule>
  </conditionalFormatting>
  <conditionalFormatting sqref="C42">
    <cfRule type="expression" priority="591" dxfId="472">
      <formula>(ISNUMBER(SEARCH("CMW",D31)))=TRUE</formula>
    </cfRule>
  </conditionalFormatting>
  <conditionalFormatting sqref="C43">
    <cfRule type="expression" priority="468" dxfId="472">
      <formula>(ISNUMBER(SEARCH("CMW",D31)))=TRUE</formula>
    </cfRule>
  </conditionalFormatting>
  <conditionalFormatting sqref="C44">
    <cfRule type="expression" priority="586" dxfId="472">
      <formula>(ISNUMBER(SEARCH("CMW",$D31)))=TRUE</formula>
    </cfRule>
  </conditionalFormatting>
  <conditionalFormatting sqref="C48">
    <cfRule type="containsText" priority="563" operator="containsText" dxfId="204" text="CONFIG">
      <formula>NOT(ISERROR(SEARCH("CONFIG",C48)))</formula>
    </cfRule>
  </conditionalFormatting>
  <conditionalFormatting sqref="C49">
    <cfRule type="containsText" priority="433" operator="containsText" dxfId="561" text="LIGHT SELECTION">
      <formula>NOT(ISERROR(SEARCH("LIGHT SELECTION",C49)))</formula>
    </cfRule>
  </conditionalFormatting>
  <conditionalFormatting sqref="C54:C55">
    <cfRule type="cellIs" priority="562" operator="lessThan" dxfId="561">
      <formula>1</formula>
    </cfRule>
  </conditionalFormatting>
  <conditionalFormatting sqref="C56:C57">
    <cfRule type="expression" priority="368" dxfId="383">
      <formula>D56="WW PODS"</formula>
    </cfRule>
  </conditionalFormatting>
  <conditionalFormatting sqref="C58">
    <cfRule type="expression" priority="576" dxfId="559">
      <formula>ISNUMBER(SEARCH("UV",D48))</formula>
    </cfRule>
  </conditionalFormatting>
  <conditionalFormatting sqref="C59">
    <cfRule type="expression" priority="560" dxfId="472">
      <formula>(ISNUMBER(SEARCH("CMW",D48)))=TRUE</formula>
    </cfRule>
  </conditionalFormatting>
  <conditionalFormatting sqref="C60">
    <cfRule type="expression" priority="467" dxfId="472">
      <formula>(ISNUMBER(SEARCH("CMW",D48)))=TRUE</formula>
    </cfRule>
  </conditionalFormatting>
  <conditionalFormatting sqref="C61">
    <cfRule type="expression" priority="558" dxfId="472">
      <formula>(ISNUMBER(SEARCH("CMW",$D48)))=TRUE</formula>
    </cfRule>
  </conditionalFormatting>
  <conditionalFormatting sqref="C65">
    <cfRule type="containsText" priority="536" operator="containsText" dxfId="204" text="CONFIG">
      <formula>NOT(ISERROR(SEARCH("CONFIG",C65)))</formula>
    </cfRule>
  </conditionalFormatting>
  <conditionalFormatting sqref="C66">
    <cfRule type="containsText" priority="432" operator="containsText" dxfId="561" text="LIGHT SELECTION">
      <formula>NOT(ISERROR(SEARCH("LIGHT SELECTION",C66)))</formula>
    </cfRule>
  </conditionalFormatting>
  <conditionalFormatting sqref="C71:C72">
    <cfRule type="cellIs" priority="535" operator="lessThan" dxfId="561">
      <formula>1</formula>
    </cfRule>
  </conditionalFormatting>
  <conditionalFormatting sqref="C73:C74">
    <cfRule type="expression" priority="353" dxfId="383">
      <formula>D73="WW PODS"</formula>
    </cfRule>
  </conditionalFormatting>
  <conditionalFormatting sqref="C75">
    <cfRule type="expression" priority="549" dxfId="559">
      <formula>ISNUMBER(SEARCH("UV",D65))</formula>
    </cfRule>
  </conditionalFormatting>
  <conditionalFormatting sqref="C76">
    <cfRule type="expression" priority="532" dxfId="472">
      <formula>(ISNUMBER(SEARCH("CMW",D65)))=TRUE</formula>
    </cfRule>
  </conditionalFormatting>
  <conditionalFormatting sqref="C77">
    <cfRule type="expression" priority="466" dxfId="472">
      <formula>(ISNUMBER(SEARCH("CMW",D65)))=TRUE</formula>
    </cfRule>
  </conditionalFormatting>
  <conditionalFormatting sqref="C78">
    <cfRule type="expression" priority="530" dxfId="472">
      <formula>(ISNUMBER(SEARCH("CMW",$D65)))=TRUE</formula>
    </cfRule>
  </conditionalFormatting>
  <conditionalFormatting sqref="C82">
    <cfRule type="containsText" priority="507" operator="containsText" dxfId="204" text="CONFIG">
      <formula>NOT(ISERROR(SEARCH("CONFIG",C82)))</formula>
    </cfRule>
  </conditionalFormatting>
  <conditionalFormatting sqref="C83">
    <cfRule type="containsText" priority="431" operator="containsText" dxfId="561" text="LIGHT SELECTION">
      <formula>NOT(ISERROR(SEARCH("LIGHT SELECTION",C83)))</formula>
    </cfRule>
  </conditionalFormatting>
  <conditionalFormatting sqref="C88:C89">
    <cfRule type="cellIs" priority="506" operator="lessThan" dxfId="561">
      <formula>1</formula>
    </cfRule>
  </conditionalFormatting>
  <conditionalFormatting sqref="C90:C91">
    <cfRule type="expression" priority="338" dxfId="383">
      <formula>D90="WW PODS"</formula>
    </cfRule>
  </conditionalFormatting>
  <conditionalFormatting sqref="C92">
    <cfRule type="expression" priority="521" dxfId="559">
      <formula>ISNUMBER(SEARCH("UV",D82))</formula>
    </cfRule>
  </conditionalFormatting>
  <conditionalFormatting sqref="C93">
    <cfRule type="expression" priority="503" dxfId="472">
      <formula>(ISNUMBER(SEARCH("CMW",D82)))=TRUE</formula>
    </cfRule>
  </conditionalFormatting>
  <conditionalFormatting sqref="C94">
    <cfRule type="expression" priority="465" dxfId="472">
      <formula>(ISNUMBER(SEARCH("CMW",D82)))=TRUE</formula>
    </cfRule>
  </conditionalFormatting>
  <conditionalFormatting sqref="C95">
    <cfRule type="expression" priority="501" dxfId="472">
      <formula>(ISNUMBER(SEARCH("CMW",$D82)))=TRUE</formula>
    </cfRule>
  </conditionalFormatting>
  <conditionalFormatting sqref="C99">
    <cfRule type="containsText" priority="478" operator="containsText" dxfId="204" text="CONFIG">
      <formula>NOT(ISERROR(SEARCH("CONFIG",C99)))</formula>
    </cfRule>
  </conditionalFormatting>
  <conditionalFormatting sqref="C100">
    <cfRule type="containsText" priority="430" operator="containsText" dxfId="561" text="LIGHT SELECTION">
      <formula>NOT(ISERROR(SEARCH("LIGHT SELECTION",C100)))</formula>
    </cfRule>
  </conditionalFormatting>
  <conditionalFormatting sqref="C105:C106">
    <cfRule type="cellIs" priority="477" operator="lessThan" dxfId="561">
      <formula>1</formula>
    </cfRule>
  </conditionalFormatting>
  <conditionalFormatting sqref="C107:C108">
    <cfRule type="expression" priority="323" dxfId="383">
      <formula>D107="WW PODS"</formula>
    </cfRule>
  </conditionalFormatting>
  <conditionalFormatting sqref="C109">
    <cfRule type="expression" priority="492" dxfId="559">
      <formula>ISNUMBER(SEARCH("UV",D99))</formula>
    </cfRule>
  </conditionalFormatting>
  <conditionalFormatting sqref="C110">
    <cfRule type="expression" priority="475" dxfId="472">
      <formula>(ISNUMBER(SEARCH("CMW",D99)))=TRUE</formula>
    </cfRule>
  </conditionalFormatting>
  <conditionalFormatting sqref="C111">
    <cfRule type="expression" priority="464" dxfId="472">
      <formula>(ISNUMBER(SEARCH("CMW",D99)))=TRUE</formula>
    </cfRule>
  </conditionalFormatting>
  <conditionalFormatting sqref="C112 C129 C146 C163 C180">
    <cfRule type="expression" priority="473" dxfId="472">
      <formula>(ISNUMBER(SEARCH("CMW",$D99)))=TRUE</formula>
    </cfRule>
  </conditionalFormatting>
  <conditionalFormatting sqref="C116">
    <cfRule type="containsText" priority="301" operator="containsText" dxfId="204" text="CONFIG">
      <formula>NOT(ISERROR(SEARCH("CONFIG",C116)))</formula>
    </cfRule>
  </conditionalFormatting>
  <conditionalFormatting sqref="C117">
    <cfRule type="containsText" priority="288" operator="containsText" dxfId="561" text="LIGHT SELECTION">
      <formula>NOT(ISERROR(SEARCH("LIGHT SELECTION",C117)))</formula>
    </cfRule>
  </conditionalFormatting>
  <conditionalFormatting sqref="C122:C123">
    <cfRule type="cellIs" priority="300" operator="lessThan" dxfId="561">
      <formula>1</formula>
    </cfRule>
  </conditionalFormatting>
  <conditionalFormatting sqref="C124:C125">
    <cfRule type="expression" priority="272" dxfId="383">
      <formula>D124="WW PODS"</formula>
    </cfRule>
  </conditionalFormatting>
  <conditionalFormatting sqref="C126">
    <cfRule type="expression" priority="315" dxfId="559">
      <formula>ISNUMBER(SEARCH("UV",D116))</formula>
    </cfRule>
  </conditionalFormatting>
  <conditionalFormatting sqref="C127">
    <cfRule type="expression" priority="298" dxfId="472">
      <formula>(ISNUMBER(SEARCH("CMW",D116)))=TRUE</formula>
    </cfRule>
  </conditionalFormatting>
  <conditionalFormatting sqref="C128">
    <cfRule type="expression" priority="293" dxfId="472">
      <formula>(ISNUMBER(SEARCH("CMW",D116)))=TRUE</formula>
    </cfRule>
  </conditionalFormatting>
  <conditionalFormatting sqref="C133">
    <cfRule type="containsText" priority="246" operator="containsText" dxfId="204" text="CONFIG">
      <formula>NOT(ISERROR(SEARCH("CONFIG",C133)))</formula>
    </cfRule>
  </conditionalFormatting>
  <conditionalFormatting sqref="C134">
    <cfRule type="containsText" priority="233" operator="containsText" dxfId="561" text="LIGHT SELECTION">
      <formula>NOT(ISERROR(SEARCH("LIGHT SELECTION",C134)))</formula>
    </cfRule>
  </conditionalFormatting>
  <conditionalFormatting sqref="C139:C140">
    <cfRule type="cellIs" priority="245" operator="lessThan" dxfId="561">
      <formula>1</formula>
    </cfRule>
  </conditionalFormatting>
  <conditionalFormatting sqref="C141:C142">
    <cfRule type="expression" priority="217" dxfId="383">
      <formula>D141="WW PODS"</formula>
    </cfRule>
  </conditionalFormatting>
  <conditionalFormatting sqref="C143">
    <cfRule type="expression" priority="260" dxfId="559">
      <formula>ISNUMBER(SEARCH("UV",D133))</formula>
    </cfRule>
  </conditionalFormatting>
  <conditionalFormatting sqref="C144">
    <cfRule type="expression" priority="243" dxfId="472">
      <formula>(ISNUMBER(SEARCH("CMW",D133)))=TRUE</formula>
    </cfRule>
  </conditionalFormatting>
  <conditionalFormatting sqref="C145">
    <cfRule type="expression" priority="238" dxfId="472">
      <formula>(ISNUMBER(SEARCH("CMW",D133)))=TRUE</formula>
    </cfRule>
  </conditionalFormatting>
  <conditionalFormatting sqref="C150">
    <cfRule type="containsText" priority="195" operator="containsText" dxfId="204" text="CONFIG">
      <formula>NOT(ISERROR(SEARCH("CONFIG",C150)))</formula>
    </cfRule>
  </conditionalFormatting>
  <conditionalFormatting sqref="C151">
    <cfRule type="containsText" priority="182" operator="containsText" dxfId="561" text="LIGHT SELECTION">
      <formula>NOT(ISERROR(SEARCH("LIGHT SELECTION",C151)))</formula>
    </cfRule>
  </conditionalFormatting>
  <conditionalFormatting sqref="C156:C157">
    <cfRule type="cellIs" priority="194" operator="lessThan" dxfId="561">
      <formula>1</formula>
    </cfRule>
  </conditionalFormatting>
  <conditionalFormatting sqref="C158:C159">
    <cfRule type="expression" priority="166" dxfId="383">
      <formula>D158="WW PODS"</formula>
    </cfRule>
  </conditionalFormatting>
  <conditionalFormatting sqref="C160">
    <cfRule type="expression" priority="209" dxfId="559">
      <formula>ISNUMBER(SEARCH("UV",D150))</formula>
    </cfRule>
  </conditionalFormatting>
  <conditionalFormatting sqref="C161">
    <cfRule type="expression" priority="192" dxfId="472">
      <formula>(ISNUMBER(SEARCH("CMW",D150)))=TRUE</formula>
    </cfRule>
  </conditionalFormatting>
  <conditionalFormatting sqref="C162">
    <cfRule type="expression" priority="187" dxfId="472">
      <formula>(ISNUMBER(SEARCH("CMW",D150)))=TRUE</formula>
    </cfRule>
  </conditionalFormatting>
  <conditionalFormatting sqref="C167">
    <cfRule type="containsText" priority="144" operator="containsText" dxfId="204" text="CONFIG">
      <formula>NOT(ISERROR(SEARCH("CONFIG",C167)))</formula>
    </cfRule>
  </conditionalFormatting>
  <conditionalFormatting sqref="C168">
    <cfRule type="containsText" priority="131" operator="containsText" dxfId="561" text="LIGHT SELECTION">
      <formula>NOT(ISERROR(SEARCH("LIGHT SELECTION",C168)))</formula>
    </cfRule>
  </conditionalFormatting>
  <conditionalFormatting sqref="C173:C174">
    <cfRule type="cellIs" priority="143" operator="lessThan" dxfId="561">
      <formula>1</formula>
    </cfRule>
  </conditionalFormatting>
  <conditionalFormatting sqref="C175:C176">
    <cfRule type="expression" priority="115" dxfId="383">
      <formula>D175="WW PODS"</formula>
    </cfRule>
  </conditionalFormatting>
  <conditionalFormatting sqref="C177">
    <cfRule type="expression" priority="158" dxfId="559">
      <formula>ISNUMBER(SEARCH("UV",D167))</formula>
    </cfRule>
  </conditionalFormatting>
  <conditionalFormatting sqref="C178">
    <cfRule type="expression" priority="141" dxfId="472">
      <formula>(ISNUMBER(SEARCH("CMW",D167)))=TRUE</formula>
    </cfRule>
  </conditionalFormatting>
  <conditionalFormatting sqref="C179">
    <cfRule type="expression" priority="136" dxfId="472">
      <formula>(ISNUMBER(SEARCH("CMW",D167)))=TRUE</formula>
    </cfRule>
  </conditionalFormatting>
  <conditionalFormatting sqref="C183:C184">
    <cfRule type="cellIs" priority="671" operator="lessThan" dxfId="554">
      <formula>1</formula>
    </cfRule>
  </conditionalFormatting>
  <conditionalFormatting sqref="C185">
    <cfRule type="cellIs" priority="660" operator="lessThan" dxfId="164">
      <formula>1</formula>
    </cfRule>
  </conditionalFormatting>
  <conditionalFormatting sqref="C186:C197">
    <cfRule type="cellIs" priority="270" operator="lessThan" dxfId="554">
      <formula>1</formula>
    </cfRule>
  </conditionalFormatting>
  <conditionalFormatting sqref="C9:D9">
    <cfRule type="cellIs" priority="661" operator="lessThan" dxfId="207">
      <formula>0</formula>
    </cfRule>
    <cfRule type="cellIs" priority="662" operator="greaterThan" dxfId="552">
      <formula>0</formula>
    </cfRule>
  </conditionalFormatting>
  <conditionalFormatting sqref="D14">
    <cfRule type="containsText" priority="672" operator="containsText" dxfId="164" text="CANOPY TYPE">
      <formula>NOT(ISERROR(SEARCH("CANOPY TYPE",D14)))</formula>
    </cfRule>
  </conditionalFormatting>
  <conditionalFormatting sqref="D15">
    <cfRule type="expression" priority="425" dxfId="206">
      <formula>(C15="LIGHT SELECTION")</formula>
    </cfRule>
  </conditionalFormatting>
  <conditionalFormatting sqref="D16:D18">
    <cfRule type="expression" priority="627" dxfId="206">
      <formula>($C16="SELECT WORKS")</formula>
    </cfRule>
  </conditionalFormatting>
  <conditionalFormatting sqref="D19">
    <cfRule type="expression" priority="269" dxfId="206">
      <formula>$C19="SELECT CLADDING"</formula>
    </cfRule>
  </conditionalFormatting>
  <conditionalFormatting sqref="D22:D23">
    <cfRule type="expression" priority="408" dxfId="358">
      <formula>($D$14="CANOPY TYPE")</formula>
    </cfRule>
  </conditionalFormatting>
  <conditionalFormatting sqref="D24">
    <cfRule type="expression" priority="685" dxfId="474">
      <formula>ISNUMBER(SEARCH("UV",D14))</formula>
    </cfRule>
  </conditionalFormatting>
  <conditionalFormatting sqref="D25">
    <cfRule type="expression" priority="613" dxfId="358">
      <formula>($D$14="CANOPY TYPE")</formula>
    </cfRule>
  </conditionalFormatting>
  <conditionalFormatting sqref="D26">
    <cfRule type="expression" priority="635" dxfId="472">
      <formula>(ISNUMBER(SEARCH("CMW",D14)))=TRUE</formula>
    </cfRule>
  </conditionalFormatting>
  <conditionalFormatting sqref="D31">
    <cfRule type="containsText" priority="595" operator="containsText" dxfId="164" text="CANOPY TYPE">
      <formula>NOT(ISERROR(SEARCH("CANOPY TYPE",D31)))</formula>
    </cfRule>
  </conditionalFormatting>
  <conditionalFormatting sqref="D32">
    <cfRule type="expression" priority="438" dxfId="206">
      <formula>(C32="LIGHT SELECTION")</formula>
    </cfRule>
  </conditionalFormatting>
  <conditionalFormatting sqref="D33:D35">
    <cfRule type="expression" priority="588" dxfId="206">
      <formula>($C33="SELECT WORKS")</formula>
    </cfRule>
  </conditionalFormatting>
  <conditionalFormatting sqref="D36">
    <cfRule type="expression" priority="417" dxfId="206">
      <formula>$C36="SELECT CLADDING"</formula>
    </cfRule>
  </conditionalFormatting>
  <conditionalFormatting sqref="D39:D40">
    <cfRule type="expression" priority="382" dxfId="358">
      <formula>($D$14="CANOPY TYPE")</formula>
    </cfRule>
  </conditionalFormatting>
  <conditionalFormatting sqref="D41">
    <cfRule type="expression" priority="607" dxfId="474">
      <formula>ISNUMBER(SEARCH("UV",D31))</formula>
    </cfRule>
  </conditionalFormatting>
  <conditionalFormatting sqref="D42">
    <cfRule type="expression" priority="581" dxfId="358">
      <formula>($D$14="CANOPY TYPE")</formula>
    </cfRule>
  </conditionalFormatting>
  <conditionalFormatting sqref="D43">
    <cfRule type="expression" priority="590" dxfId="472">
      <formula>(ISNUMBER(SEARCH("CMW",D31)))=TRUE</formula>
    </cfRule>
  </conditionalFormatting>
  <conditionalFormatting sqref="D48">
    <cfRule type="containsText" priority="420" operator="containsText" dxfId="164" text="CANOPY TYPE">
      <formula>NOT(ISERROR(SEARCH("CANOPY TYPE",D48)))</formula>
    </cfRule>
  </conditionalFormatting>
  <conditionalFormatting sqref="D49">
    <cfRule type="expression" priority="435" dxfId="206">
      <formula>(C15="LIGHT SELECTION")</formula>
    </cfRule>
  </conditionalFormatting>
  <conditionalFormatting sqref="D50:D52">
    <cfRule type="expression" priority="111" dxfId="206">
      <formula>($C50="SELECT WORKS")</formula>
    </cfRule>
  </conditionalFormatting>
  <conditionalFormatting sqref="D53">
    <cfRule type="expression" priority="418" dxfId="206">
      <formula>$C53="SELECT CLADDING"</formula>
    </cfRule>
  </conditionalFormatting>
  <conditionalFormatting sqref="D56:D57">
    <cfRule type="expression" priority="367" dxfId="358">
      <formula>($D$14="CANOPY TYPE")</formula>
    </cfRule>
  </conditionalFormatting>
  <conditionalFormatting sqref="D58">
    <cfRule type="expression" priority="575" dxfId="474">
      <formula>ISNUMBER(SEARCH("UV",D48))</formula>
    </cfRule>
  </conditionalFormatting>
  <conditionalFormatting sqref="D59">
    <cfRule type="expression" priority="554" dxfId="358">
      <formula>($D$14="CANOPY TYPE")</formula>
    </cfRule>
  </conditionalFormatting>
  <conditionalFormatting sqref="D60">
    <cfRule type="expression" priority="559" dxfId="472">
      <formula>(ISNUMBER(SEARCH("CMW",D48)))=TRUE</formula>
    </cfRule>
  </conditionalFormatting>
  <conditionalFormatting sqref="D65">
    <cfRule type="containsText" priority="419" operator="containsText" dxfId="164" text="CANOPY TYPE">
      <formula>NOT(ISERROR(SEARCH("CANOPY TYPE",D65)))</formula>
    </cfRule>
  </conditionalFormatting>
  <conditionalFormatting sqref="D66">
    <cfRule type="expression" priority="428" dxfId="206">
      <formula>(C66="LIGHT SELECTION")</formula>
    </cfRule>
  </conditionalFormatting>
  <conditionalFormatting sqref="D67:D69">
    <cfRule type="expression" priority="97" dxfId="206">
      <formula>($C67="SELECT WORKS")</formula>
    </cfRule>
  </conditionalFormatting>
  <conditionalFormatting sqref="D70">
    <cfRule type="expression" priority="533" dxfId="206">
      <formula>$C70="SELECT CLADDING"</formula>
    </cfRule>
  </conditionalFormatting>
  <conditionalFormatting sqref="D73:D74">
    <cfRule type="expression" priority="352" dxfId="358">
      <formula>($D$14="CANOPY TYPE")</formula>
    </cfRule>
  </conditionalFormatting>
  <conditionalFormatting sqref="D75">
    <cfRule type="expression" priority="548" dxfId="474">
      <formula>ISNUMBER(SEARCH("UV",D65))</formula>
    </cfRule>
  </conditionalFormatting>
  <conditionalFormatting sqref="D76">
    <cfRule type="expression" priority="526" dxfId="358">
      <formula>($D$14="CANOPY TYPE")</formula>
    </cfRule>
  </conditionalFormatting>
  <conditionalFormatting sqref="D77">
    <cfRule type="expression" priority="531" dxfId="472">
      <formula>(ISNUMBER(SEARCH("CMW",D65)))=TRUE</formula>
    </cfRule>
  </conditionalFormatting>
  <conditionalFormatting sqref="D82">
    <cfRule type="containsText" priority="508" operator="containsText" dxfId="164" text="CANOPY TYPE">
      <formula>NOT(ISERROR(SEARCH("CANOPY TYPE",D82)))</formula>
    </cfRule>
  </conditionalFormatting>
  <conditionalFormatting sqref="D83">
    <cfRule type="expression" priority="427" dxfId="206">
      <formula>(C83="LIGHT SELECTION")</formula>
    </cfRule>
  </conditionalFormatting>
  <conditionalFormatting sqref="D84:D86">
    <cfRule type="expression" priority="83" dxfId="206">
      <formula>($C84="SELECT WORKS")</formula>
    </cfRule>
  </conditionalFormatting>
  <conditionalFormatting sqref="D87">
    <cfRule type="expression" priority="504" dxfId="206">
      <formula>$C87="SELECT CLADDING"</formula>
    </cfRule>
  </conditionalFormatting>
  <conditionalFormatting sqref="D90:D91">
    <cfRule type="expression" priority="337" dxfId="358">
      <formula>($D$14="CANOPY TYPE")</formula>
    </cfRule>
  </conditionalFormatting>
  <conditionalFormatting sqref="D92">
    <cfRule type="expression" priority="520" dxfId="474">
      <formula>ISNUMBER(SEARCH("UV",D82))</formula>
    </cfRule>
  </conditionalFormatting>
  <conditionalFormatting sqref="D93">
    <cfRule type="expression" priority="497" dxfId="358">
      <formula>($D$14="CANOPY TYPE")</formula>
    </cfRule>
  </conditionalFormatting>
  <conditionalFormatting sqref="D94">
    <cfRule type="expression" priority="502" dxfId="472">
      <formula>(ISNUMBER(SEARCH("CMW",D82)))=TRUE</formula>
    </cfRule>
  </conditionalFormatting>
  <conditionalFormatting sqref="D99">
    <cfRule type="containsText" priority="479" operator="containsText" dxfId="164" text="CANOPY TYPE">
      <formula>NOT(ISERROR(SEARCH("CANOPY TYPE",D99)))</formula>
    </cfRule>
  </conditionalFormatting>
  <conditionalFormatting sqref="D100">
    <cfRule type="expression" priority="426" dxfId="206">
      <formula>(C100="LIGHT SELECTION")</formula>
    </cfRule>
  </conditionalFormatting>
  <conditionalFormatting sqref="D101:D103">
    <cfRule type="expression" priority="69" dxfId="206">
      <formula>($C101="SELECT WORKS")</formula>
    </cfRule>
  </conditionalFormatting>
  <conditionalFormatting sqref="D104">
    <cfRule type="expression" priority="416" dxfId="206">
      <formula>$C104="SELECT CLADDING"</formula>
    </cfRule>
  </conditionalFormatting>
  <conditionalFormatting sqref="D107:D108">
    <cfRule type="expression" priority="322" dxfId="358">
      <formula>($D$14="CANOPY TYPE")</formula>
    </cfRule>
  </conditionalFormatting>
  <conditionalFormatting sqref="D109">
    <cfRule type="expression" priority="491" dxfId="474">
      <formula>ISNUMBER(SEARCH("UV",D99))</formula>
    </cfRule>
  </conditionalFormatting>
  <conditionalFormatting sqref="D110">
    <cfRule type="expression" priority="469" dxfId="358">
      <formula>($D$14="CANOPY TYPE")</formula>
    </cfRule>
  </conditionalFormatting>
  <conditionalFormatting sqref="D111">
    <cfRule type="expression" priority="474" dxfId="472">
      <formula>(ISNUMBER(SEARCH("CMW",D99)))=TRUE</formula>
    </cfRule>
  </conditionalFormatting>
  <conditionalFormatting sqref="D116">
    <cfRule type="containsText" priority="302" operator="containsText" dxfId="164" text="CANOPY TYPE">
      <formula>NOT(ISERROR(SEARCH("CANOPY TYPE",D116)))</formula>
    </cfRule>
  </conditionalFormatting>
  <conditionalFormatting sqref="D117">
    <cfRule type="expression" priority="287" dxfId="206">
      <formula>(C117="LIGHT SELECTION")</formula>
    </cfRule>
  </conditionalFormatting>
  <conditionalFormatting sqref="D118:D120">
    <cfRule type="expression" priority="55" dxfId="206">
      <formula>($C118="SELECT WORKS")</formula>
    </cfRule>
  </conditionalFormatting>
  <conditionalFormatting sqref="D121">
    <cfRule type="expression" priority="286" dxfId="206">
      <formula>$C121="SELECT CLADDING"</formula>
    </cfRule>
  </conditionalFormatting>
  <conditionalFormatting sqref="D124:D125">
    <cfRule type="expression" priority="271" dxfId="358">
      <formula>($D$14="CANOPY TYPE")</formula>
    </cfRule>
  </conditionalFormatting>
  <conditionalFormatting sqref="D126">
    <cfRule type="expression" priority="314" dxfId="474">
      <formula>ISNUMBER(SEARCH("UV",D116))</formula>
    </cfRule>
  </conditionalFormatting>
  <conditionalFormatting sqref="D127">
    <cfRule type="expression" priority="294" dxfId="358">
      <formula>($D$14="CANOPY TYPE")</formula>
    </cfRule>
  </conditionalFormatting>
  <conditionalFormatting sqref="D128">
    <cfRule type="expression" priority="297" dxfId="472">
      <formula>(ISNUMBER(SEARCH("CMW",D116)))=TRUE</formula>
    </cfRule>
  </conditionalFormatting>
  <conditionalFormatting sqref="D133">
    <cfRule type="containsText" priority="247" operator="containsText" dxfId="164" text="CANOPY TYPE">
      <formula>NOT(ISERROR(SEARCH("CANOPY TYPE",D133)))</formula>
    </cfRule>
  </conditionalFormatting>
  <conditionalFormatting sqref="D134">
    <cfRule type="expression" priority="232" dxfId="206">
      <formula>(C134="LIGHT SELECTION")</formula>
    </cfRule>
  </conditionalFormatting>
  <conditionalFormatting sqref="D135:D137">
    <cfRule type="expression" priority="41" dxfId="206">
      <formula>($C135="SELECT WORKS")</formula>
    </cfRule>
  </conditionalFormatting>
  <conditionalFormatting sqref="D138">
    <cfRule type="expression" priority="231" dxfId="206">
      <formula>$C138="SELECT CLADDING"</formula>
    </cfRule>
  </conditionalFormatting>
  <conditionalFormatting sqref="D141:D142">
    <cfRule type="expression" priority="216" dxfId="358">
      <formula>($D$14="CANOPY TYPE")</formula>
    </cfRule>
  </conditionalFormatting>
  <conditionalFormatting sqref="D143">
    <cfRule type="expression" priority="259" dxfId="474">
      <formula>ISNUMBER(SEARCH("UV",D133))</formula>
    </cfRule>
  </conditionalFormatting>
  <conditionalFormatting sqref="D144">
    <cfRule type="expression" priority="239" dxfId="358">
      <formula>($D$14="CANOPY TYPE")</formula>
    </cfRule>
  </conditionalFormatting>
  <conditionalFormatting sqref="D145">
    <cfRule type="expression" priority="242" dxfId="472">
      <formula>(ISNUMBER(SEARCH("CMW",D133)))=TRUE</formula>
    </cfRule>
  </conditionalFormatting>
  <conditionalFormatting sqref="D150">
    <cfRule type="containsText" priority="196" operator="containsText" dxfId="164" text="CANOPY TYPE">
      <formula>NOT(ISERROR(SEARCH("CANOPY TYPE",D150)))</formula>
    </cfRule>
  </conditionalFormatting>
  <conditionalFormatting sqref="D151">
    <cfRule type="expression" priority="181" dxfId="206">
      <formula>(C151="LIGHT SELECTION")</formula>
    </cfRule>
  </conditionalFormatting>
  <conditionalFormatting sqref="D152:D154">
    <cfRule type="expression" priority="27" dxfId="206">
      <formula>($C152="SELECT WORKS")</formula>
    </cfRule>
  </conditionalFormatting>
  <conditionalFormatting sqref="D155">
    <cfRule type="expression" priority="180" dxfId="206">
      <formula>$C155="SELECT CLADDING"</formula>
    </cfRule>
  </conditionalFormatting>
  <conditionalFormatting sqref="D158:D159">
    <cfRule type="expression" priority="165" dxfId="358">
      <formula>($D$14="CANOPY TYPE")</formula>
    </cfRule>
  </conditionalFormatting>
  <conditionalFormatting sqref="D160">
    <cfRule type="expression" priority="208" dxfId="474">
      <formula>ISNUMBER(SEARCH("UV",D150))</formula>
    </cfRule>
  </conditionalFormatting>
  <conditionalFormatting sqref="D161">
    <cfRule type="expression" priority="188" dxfId="358">
      <formula>($D$14="CANOPY TYPE")</formula>
    </cfRule>
  </conditionalFormatting>
  <conditionalFormatting sqref="D162">
    <cfRule type="expression" priority="191" dxfId="472">
      <formula>(ISNUMBER(SEARCH("CMW",D150)))=TRUE</formula>
    </cfRule>
  </conditionalFormatting>
  <conditionalFormatting sqref="D167">
    <cfRule type="containsText" priority="145" operator="containsText" dxfId="164" text="CANOPY TYPE">
      <formula>NOT(ISERROR(SEARCH("CANOPY TYPE",D167)))</formula>
    </cfRule>
  </conditionalFormatting>
  <conditionalFormatting sqref="D168">
    <cfRule type="expression" priority="130" dxfId="206">
      <formula>(C168="LIGHT SELECTION")</formula>
    </cfRule>
  </conditionalFormatting>
  <conditionalFormatting sqref="D169:D171">
    <cfRule type="expression" priority="13" dxfId="206">
      <formula>($C169="SELECT WORKS")</formula>
    </cfRule>
  </conditionalFormatting>
  <conditionalFormatting sqref="D172">
    <cfRule type="expression" priority="129" dxfId="206">
      <formula>$C172="SELECT CLADDING"</formula>
    </cfRule>
  </conditionalFormatting>
  <conditionalFormatting sqref="D175:D176">
    <cfRule type="expression" priority="114" dxfId="358">
      <formula>($D$14="CANOPY TYPE")</formula>
    </cfRule>
  </conditionalFormatting>
  <conditionalFormatting sqref="D177">
    <cfRule type="expression" priority="157" dxfId="474">
      <formula>ISNUMBER(SEARCH("UV",D167))</formula>
    </cfRule>
  </conditionalFormatting>
  <conditionalFormatting sqref="D178">
    <cfRule type="expression" priority="137" dxfId="358">
      <formula>($D$14="CANOPY TYPE")</formula>
    </cfRule>
  </conditionalFormatting>
  <conditionalFormatting sqref="D179">
    <cfRule type="expression" priority="140" dxfId="472">
      <formula>(ISNUMBER(SEARCH("CMW",D167)))=TRUE</formula>
    </cfRule>
  </conditionalFormatting>
  <conditionalFormatting sqref="E12">
    <cfRule type="cellIs" priority="684" operator="greaterThan" dxfId="204">
      <formula>2000</formula>
    </cfRule>
    <cfRule type="expression" priority="683" dxfId="387">
      <formula>ISNUMBER(SEARCH("I-MUAP",$D$14))</formula>
    </cfRule>
    <cfRule type="expression" priority="682" dxfId="386">
      <formula>AND((ISNUMBER(SEARCH("I-MUAP",$D$14))),E12&lt;2500)</formula>
    </cfRule>
  </conditionalFormatting>
  <conditionalFormatting sqref="E15">
    <cfRule type="expression" priority="423" dxfId="315">
      <formula>(C15="LIGHT SELECTION")</formula>
    </cfRule>
  </conditionalFormatting>
  <conditionalFormatting sqref="E16:E18">
    <cfRule type="expression" priority="113" dxfId="381">
      <formula>$C16="SELECT WORKS"</formula>
    </cfRule>
  </conditionalFormatting>
  <conditionalFormatting sqref="E22:E23">
    <cfRule type="expression" priority="665" dxfId="384">
      <formula>D22="WW PODS"</formula>
    </cfRule>
    <cfRule type="expression" priority="666" dxfId="383">
      <formula>D22="FILTER TYPE"</formula>
    </cfRule>
    <cfRule type="expression" priority="667" dxfId="382">
      <formula>D22="KSA"</formula>
    </cfRule>
    <cfRule type="expression" priority="687" dxfId="381">
      <formula>(D14="CANOPY TYPE")</formula>
    </cfRule>
  </conditionalFormatting>
  <conditionalFormatting sqref="E24">
    <cfRule type="containsText" priority="674" operator="containsText" dxfId="380" text="LONG ">
      <formula>NOT(ISERROR(SEARCH("LONG ",E24)))</formula>
    </cfRule>
  </conditionalFormatting>
  <conditionalFormatting sqref="E29">
    <cfRule type="expression" priority="604" dxfId="386">
      <formula>AND((ISNUMBER(SEARCH("I-MUAP",$D$14))),E29&lt;2500)</formula>
    </cfRule>
    <cfRule type="expression" priority="605" dxfId="387">
      <formula>ISNUMBER(SEARCH("I-MUAP",$D$14))</formula>
    </cfRule>
    <cfRule type="cellIs" priority="606" operator="greaterThan" dxfId="204">
      <formula>2000</formula>
    </cfRule>
  </conditionalFormatting>
  <conditionalFormatting sqref="E33:E34">
    <cfRule type="expression" priority="587" dxfId="381">
      <formula>$C33="SELECT WORKS"</formula>
    </cfRule>
  </conditionalFormatting>
  <conditionalFormatting sqref="E39:E40">
    <cfRule type="expression" priority="397" dxfId="382">
      <formula>D39="KSA"</formula>
    </cfRule>
    <cfRule type="expression" priority="398" dxfId="381">
      <formula>(D31="CANOPY TYPE")</formula>
    </cfRule>
    <cfRule type="expression" priority="396" dxfId="383">
      <formula>D39="FILTER TYPE"</formula>
    </cfRule>
    <cfRule type="expression" priority="395" dxfId="384">
      <formula>D39="WW PODS"</formula>
    </cfRule>
  </conditionalFormatting>
  <conditionalFormatting sqref="E41">
    <cfRule type="containsText" priority="597" operator="containsText" dxfId="380" text="LONG ">
      <formula>NOT(ISERROR(SEARCH("LONG ",E41)))</formula>
    </cfRule>
  </conditionalFormatting>
  <conditionalFormatting sqref="E46">
    <cfRule type="cellIs" priority="574" operator="greaterThan" dxfId="204">
      <formula>2000</formula>
    </cfRule>
    <cfRule type="expression" priority="573" dxfId="387">
      <formula>ISNUMBER(SEARCH("I-MUAP",$D$14))</formula>
    </cfRule>
    <cfRule type="expression" priority="572" dxfId="386">
      <formula>AND((ISNUMBER(SEARCH("I-MUAP",$D$14))),E46&lt;2500)</formula>
    </cfRule>
  </conditionalFormatting>
  <conditionalFormatting sqref="E49">
    <cfRule type="expression" priority="437" dxfId="315">
      <formula>(C49="LIGHT SELECTION")</formula>
    </cfRule>
  </conditionalFormatting>
  <conditionalFormatting sqref="E50:E52">
    <cfRule type="expression" priority="110" dxfId="381">
      <formula>$C50="SELECT WORKS"</formula>
    </cfRule>
  </conditionalFormatting>
  <conditionalFormatting sqref="E56:E57">
    <cfRule type="expression" priority="369" dxfId="384">
      <formula>D56="WW PODS"</formula>
    </cfRule>
    <cfRule type="expression" priority="370" dxfId="383">
      <formula>D56="FILTER TYPE"</formula>
    </cfRule>
    <cfRule type="expression" priority="372" dxfId="381">
      <formula>(D48="CANOPY TYPE")</formula>
    </cfRule>
    <cfRule type="expression" priority="371" dxfId="382">
      <formula>D56="KSA"</formula>
    </cfRule>
  </conditionalFormatting>
  <conditionalFormatting sqref="E58">
    <cfRule type="containsText" priority="565" operator="containsText" dxfId="380" text="LONG ">
      <formula>NOT(ISERROR(SEARCH("LONG ",E58)))</formula>
    </cfRule>
  </conditionalFormatting>
  <conditionalFormatting sqref="E63">
    <cfRule type="cellIs" priority="547" operator="greaterThan" dxfId="204">
      <formula>2000</formula>
    </cfRule>
    <cfRule type="expression" priority="546" dxfId="387">
      <formula>ISNUMBER(SEARCH("I-MUAP",$D$14))</formula>
    </cfRule>
    <cfRule type="expression" priority="545" dxfId="386">
      <formula>AND((ISNUMBER(SEARCH("I-MUAP",$D$14))),E63&lt;2500)</formula>
    </cfRule>
  </conditionalFormatting>
  <conditionalFormatting sqref="E67:E69">
    <cfRule type="expression" priority="96" dxfId="381">
      <formula>$C67="SELECT WORKS"</formula>
    </cfRule>
  </conditionalFormatting>
  <conditionalFormatting sqref="E73:E74">
    <cfRule type="expression" priority="354" dxfId="384">
      <formula>D73="WW PODS"</formula>
    </cfRule>
    <cfRule type="expression" priority="356" dxfId="382">
      <formula>D73="KSA"</formula>
    </cfRule>
    <cfRule type="expression" priority="357" dxfId="381">
      <formula>(D65="CANOPY TYPE")</formula>
    </cfRule>
    <cfRule type="expression" priority="355" dxfId="383">
      <formula>D73="FILTER TYPE"</formula>
    </cfRule>
  </conditionalFormatting>
  <conditionalFormatting sqref="E75">
    <cfRule type="containsText" priority="538" operator="containsText" dxfId="380" text="LONG ">
      <formula>NOT(ISERROR(SEARCH("LONG ",E75)))</formula>
    </cfRule>
  </conditionalFormatting>
  <conditionalFormatting sqref="E80">
    <cfRule type="cellIs" priority="519" operator="greaterThan" dxfId="204">
      <formula>2000</formula>
    </cfRule>
    <cfRule type="expression" priority="517" dxfId="386">
      <formula>AND((ISNUMBER(SEARCH("I-MUAP",$D$14))),E80&lt;2500)</formula>
    </cfRule>
    <cfRule type="expression" priority="518" dxfId="387">
      <formula>ISNUMBER(SEARCH("I-MUAP",$D$14))</formula>
    </cfRule>
  </conditionalFormatting>
  <conditionalFormatting sqref="E84:E86">
    <cfRule type="expression" priority="82" dxfId="381">
      <formula>$C84="SELECT WORKS"</formula>
    </cfRule>
  </conditionalFormatting>
  <conditionalFormatting sqref="E90:E91">
    <cfRule type="expression" priority="342" dxfId="381">
      <formula>(D82="CANOPY TYPE")</formula>
    </cfRule>
    <cfRule type="expression" priority="339" dxfId="384">
      <formula>D90="WW PODS"</formula>
    </cfRule>
    <cfRule type="expression" priority="340" dxfId="383">
      <formula>D90="FILTER TYPE"</formula>
    </cfRule>
    <cfRule type="expression" priority="341" dxfId="382">
      <formula>D90="KSA"</formula>
    </cfRule>
  </conditionalFormatting>
  <conditionalFormatting sqref="E92">
    <cfRule type="containsText" priority="510" operator="containsText" dxfId="380" text="LONG ">
      <formula>NOT(ISERROR(SEARCH("LONG ",E92)))</formula>
    </cfRule>
  </conditionalFormatting>
  <conditionalFormatting sqref="E97">
    <cfRule type="expression" priority="489" dxfId="387">
      <formula>ISNUMBER(SEARCH("I-MUAP",$D$14))</formula>
    </cfRule>
    <cfRule type="cellIs" priority="490" operator="greaterThan" dxfId="204">
      <formula>2000</formula>
    </cfRule>
    <cfRule type="expression" priority="488" dxfId="386">
      <formula>AND((ISNUMBER(SEARCH("I-MUAP",$D$14))),E97&lt;2500)</formula>
    </cfRule>
  </conditionalFormatting>
  <conditionalFormatting sqref="E101:E103">
    <cfRule type="expression" priority="68" dxfId="381">
      <formula>$C101="SELECT WORKS"</formula>
    </cfRule>
  </conditionalFormatting>
  <conditionalFormatting sqref="E107:E108">
    <cfRule type="expression" priority="324" dxfId="384">
      <formula>D107="WW PODS"</formula>
    </cfRule>
    <cfRule type="expression" priority="325" dxfId="383">
      <formula>D107="FILTER TYPE"</formula>
    </cfRule>
    <cfRule type="expression" priority="326" dxfId="382">
      <formula>D107="KSA"</formula>
    </cfRule>
    <cfRule type="expression" priority="327" dxfId="381">
      <formula>(D99="CANOPY TYPE")</formula>
    </cfRule>
  </conditionalFormatting>
  <conditionalFormatting sqref="E109">
    <cfRule type="containsText" priority="481" operator="containsText" dxfId="380" text="LONG ">
      <formula>NOT(ISERROR(SEARCH("LONG ",E109)))</formula>
    </cfRule>
  </conditionalFormatting>
  <conditionalFormatting sqref="E114">
    <cfRule type="cellIs" priority="313" operator="greaterThan" dxfId="204">
      <formula>2000</formula>
    </cfRule>
    <cfRule type="expression" priority="312" dxfId="387">
      <formula>ISNUMBER(SEARCH("I-MUAP",$D$14))</formula>
    </cfRule>
    <cfRule type="expression" priority="311" dxfId="386">
      <formula>AND((ISNUMBER(SEARCH("I-MUAP",$D$14))),E114&lt;2500)</formula>
    </cfRule>
  </conditionalFormatting>
  <conditionalFormatting sqref="E118:E120">
    <cfRule type="expression" priority="54" dxfId="381">
      <formula>$C118="SELECT WORKS"</formula>
    </cfRule>
  </conditionalFormatting>
  <conditionalFormatting sqref="E124:E125">
    <cfRule type="expression" priority="273" dxfId="384">
      <formula>D124="WW PODS"</formula>
    </cfRule>
    <cfRule type="expression" priority="276" dxfId="381">
      <formula>(D116="CANOPY TYPE")</formula>
    </cfRule>
    <cfRule type="expression" priority="275" dxfId="382">
      <formula>D124="KSA"</formula>
    </cfRule>
    <cfRule type="expression" priority="274" dxfId="383">
      <formula>D124="FILTER TYPE"</formula>
    </cfRule>
  </conditionalFormatting>
  <conditionalFormatting sqref="E126">
    <cfRule type="containsText" priority="304" operator="containsText" dxfId="380" text="LONG ">
      <formula>NOT(ISERROR(SEARCH("LONG ",E126)))</formula>
    </cfRule>
  </conditionalFormatting>
  <conditionalFormatting sqref="E131">
    <cfRule type="expression" priority="257" dxfId="387">
      <formula>ISNUMBER(SEARCH("I-MUAP",$D$14))</formula>
    </cfRule>
    <cfRule type="cellIs" priority="258" operator="greaterThan" dxfId="204">
      <formula>2000</formula>
    </cfRule>
    <cfRule type="expression" priority="256" dxfId="386">
      <formula>AND((ISNUMBER(SEARCH("I-MUAP",$D$14))),E131&lt;2500)</formula>
    </cfRule>
  </conditionalFormatting>
  <conditionalFormatting sqref="E135:E137">
    <cfRule type="expression" priority="40" dxfId="381">
      <formula>$C135="SELECT WORKS"</formula>
    </cfRule>
  </conditionalFormatting>
  <conditionalFormatting sqref="E141:E142">
    <cfRule type="expression" priority="221" dxfId="381">
      <formula>(D133="CANOPY TYPE")</formula>
    </cfRule>
    <cfRule type="expression" priority="220" dxfId="382">
      <formula>D141="KSA"</formula>
    </cfRule>
    <cfRule type="expression" priority="218" dxfId="384">
      <formula>D141="WW PODS"</formula>
    </cfRule>
    <cfRule type="expression" priority="219" dxfId="383">
      <formula>D141="FILTER TYPE"</formula>
    </cfRule>
  </conditionalFormatting>
  <conditionalFormatting sqref="E143">
    <cfRule type="containsText" priority="249" operator="containsText" dxfId="380" text="LONG ">
      <formula>NOT(ISERROR(SEARCH("LONG ",E143)))</formula>
    </cfRule>
  </conditionalFormatting>
  <conditionalFormatting sqref="E148">
    <cfRule type="cellIs" priority="207" operator="greaterThan" dxfId="204">
      <formula>2000</formula>
    </cfRule>
    <cfRule type="expression" priority="206" dxfId="387">
      <formula>ISNUMBER(SEARCH("I-MUAP",$D$14))</formula>
    </cfRule>
    <cfRule type="expression" priority="205" dxfId="386">
      <formula>AND((ISNUMBER(SEARCH("I-MUAP",$D$14))),E148&lt;2500)</formula>
    </cfRule>
  </conditionalFormatting>
  <conditionalFormatting sqref="E152:E154">
    <cfRule type="expression" priority="26" dxfId="381">
      <formula>$C152="SELECT WORKS"</formula>
    </cfRule>
  </conditionalFormatting>
  <conditionalFormatting sqref="E158:E159">
    <cfRule type="expression" priority="169" dxfId="382">
      <formula>D158="KSA"</formula>
    </cfRule>
    <cfRule type="expression" priority="167" dxfId="384">
      <formula>D158="WW PODS"</formula>
    </cfRule>
    <cfRule type="expression" priority="168" dxfId="383">
      <formula>D158="FILTER TYPE"</formula>
    </cfRule>
    <cfRule type="expression" priority="170" dxfId="381">
      <formula>(D150="CANOPY TYPE")</formula>
    </cfRule>
  </conditionalFormatting>
  <conditionalFormatting sqref="E160">
    <cfRule type="containsText" priority="198" operator="containsText" dxfId="380" text="LONG ">
      <formula>NOT(ISERROR(SEARCH("LONG ",E160)))</formula>
    </cfRule>
  </conditionalFormatting>
  <conditionalFormatting sqref="E165">
    <cfRule type="cellIs" priority="156" operator="greaterThan" dxfId="204">
      <formula>2000</formula>
    </cfRule>
    <cfRule type="expression" priority="155" dxfId="387">
      <formula>ISNUMBER(SEARCH("I-MUAP",$D$14))</formula>
    </cfRule>
    <cfRule type="expression" priority="154" dxfId="386">
      <formula>AND((ISNUMBER(SEARCH("I-MUAP",$D$14))),E165&lt;2500)</formula>
    </cfRule>
  </conditionalFormatting>
  <conditionalFormatting sqref="E169:E171">
    <cfRule type="expression" priority="12" dxfId="381">
      <formula>$C169="SELECT WORKS"</formula>
    </cfRule>
  </conditionalFormatting>
  <conditionalFormatting sqref="E175:E176">
    <cfRule type="expression" priority="116" dxfId="384">
      <formula>D175="WW PODS"</formula>
    </cfRule>
    <cfRule type="expression" priority="117" dxfId="383">
      <formula>D175="FILTER TYPE"</formula>
    </cfRule>
    <cfRule type="expression" priority="118" dxfId="382">
      <formula>D175="KSA"</formula>
    </cfRule>
    <cfRule type="expression" priority="119" dxfId="381">
      <formula>(D167="CANOPY TYPE")</formula>
    </cfRule>
  </conditionalFormatting>
  <conditionalFormatting sqref="E177">
    <cfRule type="containsText" priority="147" operator="containsText" dxfId="380" text="LONG ">
      <formula>NOT(ISERROR(SEARCH("LONG ",E177)))</formula>
    </cfRule>
  </conditionalFormatting>
  <conditionalFormatting sqref="E12:F12">
    <cfRule type="cellIs" priority="678" operator="lessThan" dxfId="204">
      <formula>1000</formula>
    </cfRule>
  </conditionalFormatting>
  <conditionalFormatting sqref="E14:F14">
    <cfRule type="cellIs" priority="675" operator="lessThan" dxfId="164">
      <formula>1000</formula>
    </cfRule>
  </conditionalFormatting>
  <conditionalFormatting sqref="E25:F27">
    <cfRule type="expression" priority="614" dxfId="358">
      <formula>($D$14="CANOPY TYPE")</formula>
    </cfRule>
  </conditionalFormatting>
  <conditionalFormatting sqref="E29:F29">
    <cfRule type="cellIs" priority="601" operator="lessThan" dxfId="204">
      <formula>1000</formula>
    </cfRule>
  </conditionalFormatting>
  <conditionalFormatting sqref="E31:F31">
    <cfRule type="cellIs" priority="598" operator="lessThan" dxfId="164">
      <formula>1000</formula>
    </cfRule>
  </conditionalFormatting>
  <conditionalFormatting sqref="E32:F32">
    <cfRule type="expression" priority="461" dxfId="315">
      <formula>(C32="LIGHT SELECTION")</formula>
    </cfRule>
  </conditionalFormatting>
  <conditionalFormatting sqref="E42:F44">
    <cfRule type="expression" priority="582" dxfId="358">
      <formula>($D$14="CANOPY TYPE")</formula>
    </cfRule>
  </conditionalFormatting>
  <conditionalFormatting sqref="E46:F46">
    <cfRule type="cellIs" priority="569" operator="lessThan" dxfId="204">
      <formula>1000</formula>
    </cfRule>
  </conditionalFormatting>
  <conditionalFormatting sqref="E48:F48">
    <cfRule type="cellIs" priority="566" operator="lessThan" dxfId="164">
      <formula>1000</formula>
    </cfRule>
  </conditionalFormatting>
  <conditionalFormatting sqref="E59:F61">
    <cfRule type="expression" priority="555" dxfId="358">
      <formula>($D$14="CANOPY TYPE")</formula>
    </cfRule>
  </conditionalFormatting>
  <conditionalFormatting sqref="E63:F63">
    <cfRule type="cellIs" priority="542" operator="lessThan" dxfId="204">
      <formula>1000</formula>
    </cfRule>
  </conditionalFormatting>
  <conditionalFormatting sqref="E65:F65">
    <cfRule type="cellIs" priority="539" operator="lessThan" dxfId="164">
      <formula>1000</formula>
    </cfRule>
  </conditionalFormatting>
  <conditionalFormatting sqref="E66:F66">
    <cfRule type="expression" priority="454" dxfId="315">
      <formula>(C66="LIGHT SELECTION")</formula>
    </cfRule>
  </conditionalFormatting>
  <conditionalFormatting sqref="E76:F78">
    <cfRule type="expression" priority="527" dxfId="358">
      <formula>($D$14="CANOPY TYPE")</formula>
    </cfRule>
  </conditionalFormatting>
  <conditionalFormatting sqref="E80:F80">
    <cfRule type="cellIs" priority="514" operator="lessThan" dxfId="204">
      <formula>1000</formula>
    </cfRule>
  </conditionalFormatting>
  <conditionalFormatting sqref="E82:F82">
    <cfRule type="cellIs" priority="511" operator="lessThan" dxfId="164">
      <formula>1000</formula>
    </cfRule>
  </conditionalFormatting>
  <conditionalFormatting sqref="E83:F83">
    <cfRule type="expression" priority="450" dxfId="315">
      <formula>(C83="LIGHT SELECTION")</formula>
    </cfRule>
  </conditionalFormatting>
  <conditionalFormatting sqref="E93:F95">
    <cfRule type="expression" priority="498" dxfId="358">
      <formula>($D$14="CANOPY TYPE")</formula>
    </cfRule>
  </conditionalFormatting>
  <conditionalFormatting sqref="E97:F97">
    <cfRule type="cellIs" priority="485" operator="lessThan" dxfId="204">
      <formula>1000</formula>
    </cfRule>
  </conditionalFormatting>
  <conditionalFormatting sqref="E99:F99">
    <cfRule type="cellIs" priority="482" operator="lessThan" dxfId="164">
      <formula>1000</formula>
    </cfRule>
  </conditionalFormatting>
  <conditionalFormatting sqref="E100:F100">
    <cfRule type="expression" priority="446" dxfId="315">
      <formula>(C100="LIGHT SELECTION")</formula>
    </cfRule>
  </conditionalFormatting>
  <conditionalFormatting sqref="E110:F112 E127:F129 E144:F146 E161:F163 E178:F180">
    <cfRule type="expression" priority="470" dxfId="358">
      <formula>($D$14="CANOPY TYPE")</formula>
    </cfRule>
  </conditionalFormatting>
  <conditionalFormatting sqref="E114:F114">
    <cfRule type="cellIs" priority="308" operator="lessThan" dxfId="204">
      <formula>1000</formula>
    </cfRule>
  </conditionalFormatting>
  <conditionalFormatting sqref="E116:F116">
    <cfRule type="cellIs" priority="305" operator="lessThan" dxfId="164">
      <formula>1000</formula>
    </cfRule>
  </conditionalFormatting>
  <conditionalFormatting sqref="E117:F117">
    <cfRule type="expression" priority="291" dxfId="315">
      <formula>(C117="LIGHT SELECTION")</formula>
    </cfRule>
  </conditionalFormatting>
  <conditionalFormatting sqref="E131:F131">
    <cfRule type="cellIs" priority="253" operator="lessThan" dxfId="204">
      <formula>1000</formula>
    </cfRule>
  </conditionalFormatting>
  <conditionalFormatting sqref="E133:F133">
    <cfRule type="cellIs" priority="250" operator="lessThan" dxfId="164">
      <formula>1000</formula>
    </cfRule>
  </conditionalFormatting>
  <conditionalFormatting sqref="E134:F134">
    <cfRule type="expression" priority="236" dxfId="315">
      <formula>(C134="LIGHT SELECTION")</formula>
    </cfRule>
  </conditionalFormatting>
  <conditionalFormatting sqref="E148:F148">
    <cfRule type="cellIs" priority="202" operator="lessThan" dxfId="204">
      <formula>1000</formula>
    </cfRule>
  </conditionalFormatting>
  <conditionalFormatting sqref="E150:F150">
    <cfRule type="cellIs" priority="199" operator="lessThan" dxfId="164">
      <formula>1000</formula>
    </cfRule>
  </conditionalFormatting>
  <conditionalFormatting sqref="E151:F151">
    <cfRule type="expression" priority="185" dxfId="315">
      <formula>(C151="LIGHT SELECTION")</formula>
    </cfRule>
  </conditionalFormatting>
  <conditionalFormatting sqref="E165:F165">
    <cfRule type="cellIs" priority="151" operator="lessThan" dxfId="204">
      <formula>1000</formula>
    </cfRule>
  </conditionalFormatting>
  <conditionalFormatting sqref="E167:F167">
    <cfRule type="cellIs" priority="148" operator="lessThan" dxfId="164">
      <formula>1000</formula>
    </cfRule>
  </conditionalFormatting>
  <conditionalFormatting sqref="E168:F168">
    <cfRule type="expression" priority="134" dxfId="315">
      <formula>(C168="LIGHT SELECTION")</formula>
    </cfRule>
  </conditionalFormatting>
  <conditionalFormatting sqref="F12">
    <cfRule type="cellIs" priority="679" operator="greaterThan" dxfId="204">
      <formula>3001</formula>
    </cfRule>
  </conditionalFormatting>
  <conditionalFormatting sqref="F15">
    <cfRule type="expression" priority="668" dxfId="215">
      <formula>(C15="LIGHT SELECTION")</formula>
    </cfRule>
    <cfRule type="expression" priority="670" dxfId="216">
      <formula>(C15="FLO")</formula>
    </cfRule>
    <cfRule type="expression" priority="463" dxfId="214">
      <formula>(C15="LED STRIP")</formula>
    </cfRule>
    <cfRule type="expression" priority="701" dxfId="315">
      <formula>(D49="LIGHT SELECTION")</formula>
    </cfRule>
  </conditionalFormatting>
  <conditionalFormatting sqref="F22:F23">
    <cfRule type="expression" priority="700" dxfId="205">
      <formula>D22="KSA"</formula>
    </cfRule>
    <cfRule type="expression" priority="692" dxfId="206">
      <formula>D22="NF"</formula>
    </cfRule>
    <cfRule type="expression" priority="693" dxfId="208">
      <formula>D22="WW PODS"</formula>
    </cfRule>
    <cfRule type="expression" priority="694" dxfId="206">
      <formula>D22="GRILLE"</formula>
    </cfRule>
    <cfRule type="expression" priority="695" dxfId="206">
      <formula>D22="CENTREX"</formula>
    </cfRule>
    <cfRule type="expression" priority="696" dxfId="206" stopIfTrue="1">
      <formula>D14="canopy type"</formula>
    </cfRule>
    <cfRule type="expression" priority="697" dxfId="207">
      <formula>(((I14*3600)/(C22*I11))^2+20)&gt;300</formula>
    </cfRule>
    <cfRule type="expression" priority="698" dxfId="205" stopIfTrue="1">
      <formula>(ISNUMBER(SEARCH("UV",D14)))</formula>
    </cfRule>
    <cfRule type="expression" priority="699" dxfId="207">
      <formula>(((I14*3600)/(C22*I11))^2+20)&gt;180</formula>
    </cfRule>
  </conditionalFormatting>
  <conditionalFormatting sqref="F24">
    <cfRule type="cellIs" priority="673" operator="lessThan" dxfId="204">
      <formula>2100</formula>
    </cfRule>
  </conditionalFormatting>
  <conditionalFormatting sqref="F29">
    <cfRule type="cellIs" priority="602" operator="greaterThan" dxfId="204">
      <formula>3001</formula>
    </cfRule>
  </conditionalFormatting>
  <conditionalFormatting sqref="F32">
    <cfRule type="expression" priority="462" dxfId="216">
      <formula>(C32="FLO")</formula>
    </cfRule>
    <cfRule type="expression" priority="460" dxfId="215">
      <formula>(C32="LIGHT SELECTION")</formula>
    </cfRule>
    <cfRule type="expression" priority="459" dxfId="214">
      <formula>(C32="LED STRIP")</formula>
    </cfRule>
  </conditionalFormatting>
  <conditionalFormatting sqref="F39:F40">
    <cfRule type="expression" priority="406" dxfId="207">
      <formula>(((I31*3600)/(C39*I28))^2+20)&gt;180</formula>
    </cfRule>
    <cfRule type="expression" priority="407" dxfId="205">
      <formula>D39="KSA"</formula>
    </cfRule>
    <cfRule type="expression" priority="399" dxfId="206">
      <formula>D39="NF"</formula>
    </cfRule>
    <cfRule type="expression" priority="400" dxfId="208">
      <formula>D39="WW PODS"</formula>
    </cfRule>
    <cfRule type="expression" priority="401" dxfId="206">
      <formula>D39="GRILLE"</formula>
    </cfRule>
    <cfRule type="expression" priority="402" dxfId="206">
      <formula>D39="CENTREX"</formula>
    </cfRule>
    <cfRule type="expression" priority="403" dxfId="206" stopIfTrue="1">
      <formula>D31="canopy type"</formula>
    </cfRule>
    <cfRule type="expression" priority="404" dxfId="207">
      <formula>(((I31*3600)/(C39*I28))^2+20)&gt;300</formula>
    </cfRule>
    <cfRule type="expression" priority="405" dxfId="205" stopIfTrue="1">
      <formula>(ISNUMBER(SEARCH("UV",D31)))</formula>
    </cfRule>
  </conditionalFormatting>
  <conditionalFormatting sqref="F41">
    <cfRule type="cellIs" priority="596" operator="lessThan" dxfId="204">
      <formula>2100</formula>
    </cfRule>
  </conditionalFormatting>
  <conditionalFormatting sqref="F46">
    <cfRule type="cellIs" priority="570" operator="greaterThan" dxfId="204">
      <formula>3001</formula>
    </cfRule>
  </conditionalFormatting>
  <conditionalFormatting sqref="F49">
    <cfRule type="expression" priority="702" dxfId="315">
      <formula>(#REF!="LIGHT SELECTION")</formula>
    </cfRule>
    <cfRule type="expression" priority="458" dxfId="216">
      <formula>(C49="FLO")</formula>
    </cfRule>
    <cfRule type="expression" priority="457" dxfId="215">
      <formula>(C49="LIGHT SELECTION")</formula>
    </cfRule>
    <cfRule type="expression" priority="456" dxfId="214">
      <formula>(C49="LED STRIP")</formula>
    </cfRule>
  </conditionalFormatting>
  <conditionalFormatting sqref="F56:F57">
    <cfRule type="expression" priority="379" dxfId="205" stopIfTrue="1">
      <formula>(ISNUMBER(SEARCH("UV",D48)))</formula>
    </cfRule>
    <cfRule type="expression" priority="380" dxfId="207">
      <formula>(((I48*3600)/(C56*I45))^2+20)&gt;180</formula>
    </cfRule>
    <cfRule type="expression" priority="378" dxfId="207">
      <formula>(((I48*3600)/(C56*I45))^2+20)&gt;300</formula>
    </cfRule>
    <cfRule type="expression" priority="377" dxfId="206" stopIfTrue="1">
      <formula>D48="canopy type"</formula>
    </cfRule>
    <cfRule type="expression" priority="376" dxfId="206">
      <formula>D56="CENTREX"</formula>
    </cfRule>
    <cfRule type="expression" priority="375" dxfId="206">
      <formula>D56="GRILLE"</formula>
    </cfRule>
    <cfRule type="expression" priority="374" dxfId="208">
      <formula>D56="WW PODS"</formula>
    </cfRule>
    <cfRule type="expression" priority="373" dxfId="206">
      <formula>D56="NF"</formula>
    </cfRule>
    <cfRule type="expression" priority="381" dxfId="205">
      <formula>D56="KSA"</formula>
    </cfRule>
  </conditionalFormatting>
  <conditionalFormatting sqref="F58">
    <cfRule type="cellIs" priority="564" operator="lessThan" dxfId="204">
      <formula>2100</formula>
    </cfRule>
  </conditionalFormatting>
  <conditionalFormatting sqref="F63">
    <cfRule type="cellIs" priority="543" operator="greaterThan" dxfId="204">
      <formula>3001</formula>
    </cfRule>
  </conditionalFormatting>
  <conditionalFormatting sqref="F66">
    <cfRule type="expression" priority="452" dxfId="214">
      <formula>(C66="LED STRIP")</formula>
    </cfRule>
    <cfRule type="expression" priority="453" dxfId="215">
      <formula>(C66="LIGHT SELECTION")</formula>
    </cfRule>
    <cfRule type="expression" priority="455" dxfId="216">
      <formula>(C66="FLO")</formula>
    </cfRule>
  </conditionalFormatting>
  <conditionalFormatting sqref="F73:F74">
    <cfRule type="expression" priority="358" dxfId="206">
      <formula>D73="NF"</formula>
    </cfRule>
    <cfRule type="expression" priority="359" dxfId="208">
      <formula>D73="WW PODS"</formula>
    </cfRule>
    <cfRule type="expression" priority="360" dxfId="206">
      <formula>D73="GRILLE"</formula>
    </cfRule>
    <cfRule type="expression" priority="361" dxfId="206">
      <formula>D73="CENTREX"</formula>
    </cfRule>
    <cfRule type="expression" priority="362" dxfId="206" stopIfTrue="1">
      <formula>D65="canopy type"</formula>
    </cfRule>
    <cfRule type="expression" priority="363" dxfId="207">
      <formula>(((I65*3600)/(C73*I62))^2+20)&gt;300</formula>
    </cfRule>
    <cfRule type="expression" priority="364" dxfId="205" stopIfTrue="1">
      <formula>(ISNUMBER(SEARCH("UV",D65)))</formula>
    </cfRule>
    <cfRule type="expression" priority="365" dxfId="207">
      <formula>(((I65*3600)/(C73*I62))^2+20)&gt;180</formula>
    </cfRule>
    <cfRule type="expression" priority="366" dxfId="205">
      <formula>D73="KSA"</formula>
    </cfRule>
  </conditionalFormatting>
  <conditionalFormatting sqref="F75">
    <cfRule type="cellIs" priority="537" operator="lessThan" dxfId="204">
      <formula>2100</formula>
    </cfRule>
  </conditionalFormatting>
  <conditionalFormatting sqref="F80">
    <cfRule type="cellIs" priority="515" operator="greaterThan" dxfId="204">
      <formula>3001</formula>
    </cfRule>
  </conditionalFormatting>
  <conditionalFormatting sqref="F83">
    <cfRule type="expression" priority="448" dxfId="214">
      <formula>(C83="LED STRIP")</formula>
    </cfRule>
    <cfRule type="expression" priority="451" dxfId="216">
      <formula>(C83="FLO")</formula>
    </cfRule>
    <cfRule type="expression" priority="449" dxfId="215">
      <formula>(C83="LIGHT SELECTION")</formula>
    </cfRule>
  </conditionalFormatting>
  <conditionalFormatting sqref="F90:F91">
    <cfRule type="expression" priority="343" dxfId="206">
      <formula>D90="NF"</formula>
    </cfRule>
    <cfRule type="expression" priority="344" dxfId="208">
      <formula>D90="WW PODS"</formula>
    </cfRule>
    <cfRule type="expression" priority="345" dxfId="206">
      <formula>D90="GRILLE"</formula>
    </cfRule>
    <cfRule type="expression" priority="346" dxfId="206">
      <formula>D90="CENTREX"</formula>
    </cfRule>
    <cfRule type="expression" priority="347" dxfId="206" stopIfTrue="1">
      <formula>D82="canopy type"</formula>
    </cfRule>
    <cfRule type="expression" priority="348" dxfId="207">
      <formula>(((I82*3600)/(C90*I79))^2+20)&gt;300</formula>
    </cfRule>
    <cfRule type="expression" priority="349" dxfId="205" stopIfTrue="1">
      <formula>(ISNUMBER(SEARCH("UV",D82)))</formula>
    </cfRule>
    <cfRule type="expression" priority="351" dxfId="205">
      <formula>D90="KSA"</formula>
    </cfRule>
    <cfRule type="expression" priority="350" dxfId="207">
      <formula>(((I82*3600)/(C90*I79))^2+20)&gt;180</formula>
    </cfRule>
  </conditionalFormatting>
  <conditionalFormatting sqref="F92">
    <cfRule type="cellIs" priority="509" operator="lessThan" dxfId="204">
      <formula>2100</formula>
    </cfRule>
  </conditionalFormatting>
  <conditionalFormatting sqref="F97">
    <cfRule type="cellIs" priority="486" operator="greaterThan" dxfId="204">
      <formula>3001</formula>
    </cfRule>
  </conditionalFormatting>
  <conditionalFormatting sqref="F100">
    <cfRule type="expression" priority="447" dxfId="216">
      <formula>(C100="FLO")</formula>
    </cfRule>
    <cfRule type="expression" priority="444" dxfId="214">
      <formula>(C100="LED STRIP")</formula>
    </cfRule>
    <cfRule type="expression" priority="445" dxfId="215">
      <formula>(C100="LIGHT SELECTION")</formula>
    </cfRule>
  </conditionalFormatting>
  <conditionalFormatting sqref="F107:F108">
    <cfRule type="expression" priority="329" dxfId="208">
      <formula>D107="WW PODS"</formula>
    </cfRule>
    <cfRule type="expression" priority="330" dxfId="206">
      <formula>D107="GRILLE"</formula>
    </cfRule>
    <cfRule type="expression" priority="334" dxfId="205" stopIfTrue="1">
      <formula>(ISNUMBER(SEARCH("UV",D99)))</formula>
    </cfRule>
    <cfRule type="expression" priority="333" dxfId="207">
      <formula>(((I99*3600)/(C107*I96))^2+20)&gt;300</formula>
    </cfRule>
    <cfRule type="expression" priority="335" dxfId="207">
      <formula>(((I99*3600)/(C107*I96))^2+20)&gt;180</formula>
    </cfRule>
    <cfRule type="expression" priority="332" dxfId="206" stopIfTrue="1">
      <formula>D99="canopy type"</formula>
    </cfRule>
    <cfRule type="expression" priority="331" dxfId="206">
      <formula>D107="CENTREX"</formula>
    </cfRule>
    <cfRule type="expression" priority="336" dxfId="205">
      <formula>D107="KSA"</formula>
    </cfRule>
    <cfRule type="expression" priority="328" dxfId="206">
      <formula>D107="NF"</formula>
    </cfRule>
  </conditionalFormatting>
  <conditionalFormatting sqref="F109">
    <cfRule type="cellIs" priority="480" operator="lessThan" dxfId="204">
      <formula>2100</formula>
    </cfRule>
  </conditionalFormatting>
  <conditionalFormatting sqref="F114">
    <cfRule type="cellIs" priority="309" operator="greaterThan" dxfId="204">
      <formula>3001</formula>
    </cfRule>
  </conditionalFormatting>
  <conditionalFormatting sqref="F117">
    <cfRule type="expression" priority="292" dxfId="216">
      <formula>(C117="FLO")</formula>
    </cfRule>
    <cfRule type="expression" priority="290" dxfId="215">
      <formula>(C117="LIGHT SELECTION")</formula>
    </cfRule>
    <cfRule type="expression" priority="289" dxfId="214">
      <formula>(C117="LED STRIP")</formula>
    </cfRule>
  </conditionalFormatting>
  <conditionalFormatting sqref="F124:F125">
    <cfRule type="expression" priority="279" dxfId="206">
      <formula>D124="GRILLE"</formula>
    </cfRule>
    <cfRule type="expression" priority="278" dxfId="208">
      <formula>D124="WW PODS"</formula>
    </cfRule>
    <cfRule type="expression" priority="277" dxfId="206">
      <formula>D124="NF"</formula>
    </cfRule>
    <cfRule type="expression" priority="281" dxfId="206" stopIfTrue="1">
      <formula>D116="canopy type"</formula>
    </cfRule>
    <cfRule type="expression" priority="282" dxfId="207">
      <formula>(((I116*3600)/(C124*I113))^2+20)&gt;300</formula>
    </cfRule>
    <cfRule type="expression" priority="283" dxfId="205" stopIfTrue="1">
      <formula>(ISNUMBER(SEARCH("UV",D116)))</formula>
    </cfRule>
    <cfRule type="expression" priority="284" dxfId="207">
      <formula>(((I116*3600)/(C124*I113))^2+20)&gt;180</formula>
    </cfRule>
    <cfRule type="expression" priority="285" dxfId="205">
      <formula>D124="KSA"</formula>
    </cfRule>
    <cfRule type="expression" priority="280" dxfId="206">
      <formula>D124="CENTREX"</formula>
    </cfRule>
  </conditionalFormatting>
  <conditionalFormatting sqref="F126">
    <cfRule type="cellIs" priority="303" operator="lessThan" dxfId="204">
      <formula>2100</formula>
    </cfRule>
  </conditionalFormatting>
  <conditionalFormatting sqref="F131">
    <cfRule type="cellIs" priority="254" operator="greaterThan" dxfId="204">
      <formula>3001</formula>
    </cfRule>
  </conditionalFormatting>
  <conditionalFormatting sqref="F134">
    <cfRule type="expression" priority="234" dxfId="214">
      <formula>(C134="LED STRIP")</formula>
    </cfRule>
    <cfRule type="expression" priority="237" dxfId="216">
      <formula>(C134="FLO")</formula>
    </cfRule>
    <cfRule type="expression" priority="235" dxfId="215">
      <formula>(C134="LIGHT SELECTION")</formula>
    </cfRule>
  </conditionalFormatting>
  <conditionalFormatting sqref="F141:F142">
    <cfRule type="expression" priority="223" dxfId="208">
      <formula>D141="WW PODS"</formula>
    </cfRule>
    <cfRule type="expression" priority="224" dxfId="206">
      <formula>D141="GRILLE"</formula>
    </cfRule>
    <cfRule type="expression" priority="225" dxfId="206">
      <formula>D141="CENTREX"</formula>
    </cfRule>
    <cfRule type="expression" priority="222" dxfId="206">
      <formula>D141="NF"</formula>
    </cfRule>
    <cfRule type="expression" priority="226" dxfId="206" stopIfTrue="1">
      <formula>D133="canopy type"</formula>
    </cfRule>
    <cfRule type="expression" priority="227" dxfId="207">
      <formula>(((I133*3600)/(C141*I130))^2+20)&gt;300</formula>
    </cfRule>
    <cfRule type="expression" priority="228" dxfId="205" stopIfTrue="1">
      <formula>(ISNUMBER(SEARCH("UV",D133)))</formula>
    </cfRule>
    <cfRule type="expression" priority="229" dxfId="207">
      <formula>(((I133*3600)/(C141*I130))^2+20)&gt;180</formula>
    </cfRule>
    <cfRule type="expression" priority="230" dxfId="205">
      <formula>D141="KSA"</formula>
    </cfRule>
  </conditionalFormatting>
  <conditionalFormatting sqref="F143">
    <cfRule type="cellIs" priority="248" operator="lessThan" dxfId="204">
      <formula>2100</formula>
    </cfRule>
  </conditionalFormatting>
  <conditionalFormatting sqref="F148">
    <cfRule type="cellIs" priority="203" operator="greaterThan" dxfId="204">
      <formula>3001</formula>
    </cfRule>
  </conditionalFormatting>
  <conditionalFormatting sqref="F151">
    <cfRule type="expression" priority="183" dxfId="214">
      <formula>(C151="LED STRIP")</formula>
    </cfRule>
    <cfRule type="expression" priority="184" dxfId="215">
      <formula>(C151="LIGHT SELECTION")</formula>
    </cfRule>
    <cfRule type="expression" priority="186" dxfId="216">
      <formula>(C151="FLO")</formula>
    </cfRule>
  </conditionalFormatting>
  <conditionalFormatting sqref="F158:F159">
    <cfRule type="expression" priority="178" dxfId="207">
      <formula>(((I150*3600)/(C158*I147))^2+20)&gt;180</formula>
    </cfRule>
    <cfRule type="expression" priority="171" dxfId="206">
      <formula>D158="NF"</formula>
    </cfRule>
    <cfRule type="expression" priority="172" dxfId="208">
      <formula>D158="WW PODS"</formula>
    </cfRule>
    <cfRule type="expression" priority="173" dxfId="206">
      <formula>D158="GRILLE"</formula>
    </cfRule>
    <cfRule type="expression" priority="174" dxfId="206">
      <formula>D158="CENTREX"</formula>
    </cfRule>
    <cfRule type="expression" priority="175" dxfId="206" stopIfTrue="1">
      <formula>D150="canopy type"</formula>
    </cfRule>
    <cfRule type="expression" priority="176" dxfId="207">
      <formula>(((I150*3600)/(C158*I147))^2+20)&gt;300</formula>
    </cfRule>
    <cfRule type="expression" priority="179" dxfId="205">
      <formula>D158="KSA"</formula>
    </cfRule>
    <cfRule type="expression" priority="177" dxfId="205" stopIfTrue="1">
      <formula>(ISNUMBER(SEARCH("UV",D150)))</formula>
    </cfRule>
  </conditionalFormatting>
  <conditionalFormatting sqref="F160">
    <cfRule type="cellIs" priority="197" operator="lessThan" dxfId="204">
      <formula>2100</formula>
    </cfRule>
  </conditionalFormatting>
  <conditionalFormatting sqref="F165">
    <cfRule type="cellIs" priority="152" operator="greaterThan" dxfId="204">
      <formula>3001</formula>
    </cfRule>
  </conditionalFormatting>
  <conditionalFormatting sqref="F168">
    <cfRule type="expression" priority="135" dxfId="216">
      <formula>(C168="FLO")</formula>
    </cfRule>
    <cfRule type="expression" priority="133" dxfId="215">
      <formula>(C168="LIGHT SELECTION")</formula>
    </cfRule>
    <cfRule type="expression" priority="132" dxfId="214">
      <formula>(C168="LED STRIP")</formula>
    </cfRule>
  </conditionalFormatting>
  <conditionalFormatting sqref="F175:F176">
    <cfRule type="expression" priority="126" dxfId="205" stopIfTrue="1">
      <formula>(ISNUMBER(SEARCH("UV",D167)))</formula>
    </cfRule>
    <cfRule type="expression" priority="125" dxfId="207">
      <formula>(((I167*3600)/(C175*I164))^2+20)&gt;300</formula>
    </cfRule>
    <cfRule type="expression" priority="124" dxfId="206" stopIfTrue="1">
      <formula>D167="canopy type"</formula>
    </cfRule>
    <cfRule type="expression" priority="123" dxfId="206">
      <formula>D175="CENTREX"</formula>
    </cfRule>
    <cfRule type="expression" priority="122" dxfId="206">
      <formula>D175="GRILLE"</formula>
    </cfRule>
    <cfRule type="expression" priority="121" dxfId="208">
      <formula>D175="WW PODS"</formula>
    </cfRule>
    <cfRule type="expression" priority="127" dxfId="207">
      <formula>(((I167*3600)/(C175*I164))^2+20)&gt;180</formula>
    </cfRule>
    <cfRule type="expression" priority="120" dxfId="206">
      <formula>D175="NF"</formula>
    </cfRule>
    <cfRule type="expression" priority="128" dxfId="205">
      <formula>D175="KSA"</formula>
    </cfRule>
  </conditionalFormatting>
  <conditionalFormatting sqref="F177">
    <cfRule type="cellIs" priority="146" operator="lessThan" dxfId="204">
      <formula>2100</formula>
    </cfRule>
  </conditionalFormatting>
  <conditionalFormatting sqref="G11">
    <cfRule type="expression" priority="681" dxfId="176">
      <formula>((F14-50)/H14)&lt;950</formula>
    </cfRule>
  </conditionalFormatting>
  <conditionalFormatting sqref="G12">
    <cfRule type="expression" priority="680" dxfId="175">
      <formula>((F14-50)/H14)&lt;950</formula>
    </cfRule>
  </conditionalFormatting>
  <conditionalFormatting sqref="G14">
    <cfRule type="cellIs" priority="676" operator="lessThan" dxfId="164">
      <formula>400</formula>
    </cfRule>
  </conditionalFormatting>
  <conditionalFormatting sqref="G28">
    <cfRule type="expression" priority="625" dxfId="176">
      <formula>((F31-50)/H31)&lt;950</formula>
    </cfRule>
  </conditionalFormatting>
  <conditionalFormatting sqref="G29">
    <cfRule type="expression" priority="603" dxfId="175">
      <formula>((F31-50)/H31)&lt;950</formula>
    </cfRule>
  </conditionalFormatting>
  <conditionalFormatting sqref="G31">
    <cfRule type="cellIs" priority="599" operator="lessThan" dxfId="164">
      <formula>400</formula>
    </cfRule>
  </conditionalFormatting>
  <conditionalFormatting sqref="G45">
    <cfRule type="expression" priority="641" dxfId="176">
      <formula>((F48-50)/H48)&lt;950</formula>
    </cfRule>
  </conditionalFormatting>
  <conditionalFormatting sqref="G46">
    <cfRule type="expression" priority="571" dxfId="175">
      <formula>((F48-50)/H48)&lt;950</formula>
    </cfRule>
  </conditionalFormatting>
  <conditionalFormatting sqref="G48">
    <cfRule type="cellIs" priority="567" operator="lessThan" dxfId="164">
      <formula>400</formula>
    </cfRule>
  </conditionalFormatting>
  <conditionalFormatting sqref="G62">
    <cfRule type="expression" priority="642" dxfId="176">
      <formula>((F65-50)/H65)&lt;950</formula>
    </cfRule>
  </conditionalFormatting>
  <conditionalFormatting sqref="G63">
    <cfRule type="expression" priority="544" dxfId="175">
      <formula>((F65-50)/H65)&lt;950</formula>
    </cfRule>
  </conditionalFormatting>
  <conditionalFormatting sqref="G65">
    <cfRule type="cellIs" priority="540" operator="lessThan" dxfId="164">
      <formula>400</formula>
    </cfRule>
  </conditionalFormatting>
  <conditionalFormatting sqref="G79">
    <cfRule type="expression" priority="643" dxfId="176">
      <formula>((F82-50)/H82)&lt;950</formula>
    </cfRule>
  </conditionalFormatting>
  <conditionalFormatting sqref="G80">
    <cfRule type="expression" priority="516" dxfId="175">
      <formula>((F82-50)/H82)&lt;950</formula>
    </cfRule>
  </conditionalFormatting>
  <conditionalFormatting sqref="G82">
    <cfRule type="cellIs" priority="512" operator="lessThan" dxfId="164">
      <formula>400</formula>
    </cfRule>
  </conditionalFormatting>
  <conditionalFormatting sqref="G96">
    <cfRule type="expression" priority="653" dxfId="176">
      <formula>((F99-50)/H99)&lt;950</formula>
    </cfRule>
  </conditionalFormatting>
  <conditionalFormatting sqref="G97">
    <cfRule type="expression" priority="487" dxfId="175">
      <formula>((F99-50)/H99)&lt;950</formula>
    </cfRule>
  </conditionalFormatting>
  <conditionalFormatting sqref="G99">
    <cfRule type="cellIs" priority="483" operator="lessThan" dxfId="164">
      <formula>400</formula>
    </cfRule>
  </conditionalFormatting>
  <conditionalFormatting sqref="G113">
    <cfRule type="expression" priority="321" dxfId="176">
      <formula>((F116-50)/H116)&lt;950</formula>
    </cfRule>
  </conditionalFormatting>
  <conditionalFormatting sqref="G114">
    <cfRule type="expression" priority="310" dxfId="175">
      <formula>((F116-50)/H116)&lt;950</formula>
    </cfRule>
  </conditionalFormatting>
  <conditionalFormatting sqref="G116">
    <cfRule type="cellIs" priority="306" operator="lessThan" dxfId="164">
      <formula>400</formula>
    </cfRule>
  </conditionalFormatting>
  <conditionalFormatting sqref="G130">
    <cfRule type="expression" priority="266" dxfId="176">
      <formula>((F133-50)/H133)&lt;950</formula>
    </cfRule>
  </conditionalFormatting>
  <conditionalFormatting sqref="G131">
    <cfRule type="expression" priority="255" dxfId="175">
      <formula>((F133-50)/H133)&lt;950</formula>
    </cfRule>
  </conditionalFormatting>
  <conditionalFormatting sqref="G133">
    <cfRule type="cellIs" priority="251" operator="lessThan" dxfId="164">
      <formula>400</formula>
    </cfRule>
  </conditionalFormatting>
  <conditionalFormatting sqref="G147">
    <cfRule type="expression" priority="215" dxfId="176">
      <formula>((F150-50)/H150)&lt;950</formula>
    </cfRule>
  </conditionalFormatting>
  <conditionalFormatting sqref="G148">
    <cfRule type="expression" priority="204" dxfId="175">
      <formula>((F150-50)/H150)&lt;950</formula>
    </cfRule>
  </conditionalFormatting>
  <conditionalFormatting sqref="G150">
    <cfRule type="cellIs" priority="200" operator="lessThan" dxfId="164">
      <formula>400</formula>
    </cfRule>
  </conditionalFormatting>
  <conditionalFormatting sqref="G164">
    <cfRule type="expression" priority="164" dxfId="176">
      <formula>((F167-50)/H167)&lt;950</formula>
    </cfRule>
  </conditionalFormatting>
  <conditionalFormatting sqref="G165">
    <cfRule type="expression" priority="153" dxfId="175">
      <formula>((F167-50)/H167)&lt;950</formula>
    </cfRule>
  </conditionalFormatting>
  <conditionalFormatting sqref="G167">
    <cfRule type="cellIs" priority="149" operator="lessThan" dxfId="164">
      <formula>400</formula>
    </cfRule>
  </conditionalFormatting>
  <conditionalFormatting sqref="I14">
    <cfRule type="cellIs" priority="677" operator="lessThan" dxfId="164">
      <formula>0.1</formula>
    </cfRule>
  </conditionalFormatting>
  <conditionalFormatting sqref="I31">
    <cfRule type="cellIs" priority="600" operator="lessThan" dxfId="164">
      <formula>0.1</formula>
    </cfRule>
  </conditionalFormatting>
  <conditionalFormatting sqref="I48">
    <cfRule type="cellIs" priority="568" operator="lessThan" dxfId="164">
      <formula>0.1</formula>
    </cfRule>
  </conditionalFormatting>
  <conditionalFormatting sqref="I65">
    <cfRule type="cellIs" priority="541" operator="lessThan" dxfId="164">
      <formula>0.1</formula>
    </cfRule>
  </conditionalFormatting>
  <conditionalFormatting sqref="I82">
    <cfRule type="cellIs" priority="513" operator="lessThan" dxfId="164">
      <formula>0.1</formula>
    </cfRule>
  </conditionalFormatting>
  <conditionalFormatting sqref="I99">
    <cfRule type="cellIs" priority="484" operator="lessThan" dxfId="164">
      <formula>0.1</formula>
    </cfRule>
  </conditionalFormatting>
  <conditionalFormatting sqref="I116">
    <cfRule type="cellIs" priority="307" operator="lessThan" dxfId="164">
      <formula>0.1</formula>
    </cfRule>
  </conditionalFormatting>
  <conditionalFormatting sqref="I133">
    <cfRule type="cellIs" priority="252" operator="lessThan" dxfId="164">
      <formula>0.1</formula>
    </cfRule>
  </conditionalFormatting>
  <conditionalFormatting sqref="I150">
    <cfRule type="cellIs" priority="201" operator="lessThan" dxfId="164">
      <formula>0.1</formula>
    </cfRule>
  </conditionalFormatting>
  <conditionalFormatting sqref="I167">
    <cfRule type="cellIs" priority="150" operator="lessThan" dxfId="164">
      <formula>0.1</formula>
    </cfRule>
  </conditionalFormatting>
  <conditionalFormatting sqref="J14:J27">
    <cfRule type="cellIs" priority="410" operator="greaterThan" dxfId="153">
      <formula>0</formula>
    </cfRule>
  </conditionalFormatting>
  <conditionalFormatting sqref="J31:J44">
    <cfRule type="cellIs" priority="383" operator="greaterThan" dxfId="153">
      <formula>0</formula>
    </cfRule>
  </conditionalFormatting>
  <conditionalFormatting sqref="J48:J61">
    <cfRule type="cellIs" priority="99" operator="greaterThan" dxfId="153">
      <formula>0</formula>
    </cfRule>
  </conditionalFormatting>
  <conditionalFormatting sqref="J65:J78">
    <cfRule type="cellIs" priority="85" operator="greaterThan" dxfId="153">
      <formula>0</formula>
    </cfRule>
  </conditionalFormatting>
  <conditionalFormatting sqref="J82:J95">
    <cfRule type="cellIs" priority="71" operator="greaterThan" dxfId="153">
      <formula>0</formula>
    </cfRule>
  </conditionalFormatting>
  <conditionalFormatting sqref="J99:J112">
    <cfRule type="cellIs" priority="57" operator="greaterThan" dxfId="153">
      <formula>0</formula>
    </cfRule>
  </conditionalFormatting>
  <conditionalFormatting sqref="J116:J129">
    <cfRule type="cellIs" priority="43" operator="greaterThan" dxfId="153">
      <formula>0</formula>
    </cfRule>
  </conditionalFormatting>
  <conditionalFormatting sqref="J133:J146">
    <cfRule type="cellIs" priority="29" operator="greaterThan" dxfId="153">
      <formula>0</formula>
    </cfRule>
  </conditionalFormatting>
  <conditionalFormatting sqref="J150:J163">
    <cfRule type="cellIs" priority="15" operator="greaterThan" dxfId="153">
      <formula>0</formula>
    </cfRule>
  </conditionalFormatting>
  <conditionalFormatting sqref="J167:J180">
    <cfRule type="cellIs" priority="1" operator="greaterThan" dxfId="153">
      <formula>0</formula>
    </cfRule>
  </conditionalFormatting>
  <conditionalFormatting sqref="J183:J197">
    <cfRule type="expression" priority="267" dxfId="153">
      <formula>C183&gt;0</formula>
    </cfRule>
  </conditionalFormatting>
  <conditionalFormatting sqref="J199">
    <cfRule type="expression" priority="658" dxfId="2">
      <formula>#REF!="EURO"</formula>
    </cfRule>
  </conditionalFormatting>
  <conditionalFormatting sqref="K14:K27">
    <cfRule type="cellIs" priority="424" operator="greaterThan" dxfId="141">
      <formula>0</formula>
    </cfRule>
  </conditionalFormatting>
  <conditionalFormatting sqref="K31:K44">
    <cfRule type="cellIs" priority="386" operator="greaterThan" dxfId="141">
      <formula>0</formula>
    </cfRule>
  </conditionalFormatting>
  <conditionalFormatting sqref="K48:K61">
    <cfRule type="cellIs" priority="102" operator="greaterThan" dxfId="141">
      <formula>0</formula>
    </cfRule>
  </conditionalFormatting>
  <conditionalFormatting sqref="K65:K78">
    <cfRule type="cellIs" priority="88" operator="greaterThan" dxfId="141">
      <formula>0</formula>
    </cfRule>
  </conditionalFormatting>
  <conditionalFormatting sqref="K82:K95">
    <cfRule type="cellIs" priority="74" operator="greaterThan" dxfId="141">
      <formula>0</formula>
    </cfRule>
  </conditionalFormatting>
  <conditionalFormatting sqref="K99:K112">
    <cfRule type="cellIs" priority="60" operator="greaterThan" dxfId="141">
      <formula>0</formula>
    </cfRule>
  </conditionalFormatting>
  <conditionalFormatting sqref="K116:K129">
    <cfRule type="cellIs" priority="46" operator="greaterThan" dxfId="141">
      <formula>0</formula>
    </cfRule>
  </conditionalFormatting>
  <conditionalFormatting sqref="K133:K146">
    <cfRule type="cellIs" priority="32" operator="greaterThan" dxfId="141">
      <formula>0</formula>
    </cfRule>
  </conditionalFormatting>
  <conditionalFormatting sqref="K150:K163">
    <cfRule type="cellIs" priority="18" operator="greaterThan" dxfId="141">
      <formula>0</formula>
    </cfRule>
  </conditionalFormatting>
  <conditionalFormatting sqref="K167:K180">
    <cfRule type="cellIs" priority="4" operator="greaterThan" dxfId="141">
      <formula>0</formula>
    </cfRule>
  </conditionalFormatting>
  <conditionalFormatting sqref="K183:K197">
    <cfRule type="cellIs" priority="268" operator="greaterThan" dxfId="141">
      <formula>0</formula>
    </cfRule>
  </conditionalFormatting>
  <conditionalFormatting sqref="K199">
    <cfRule type="expression" priority="657" dxfId="2">
      <formula>$B$9="EURO"</formula>
    </cfRule>
    <cfRule type="expression" priority="656" dxfId="3">
      <formula>$B$9="USD"</formula>
    </cfRule>
    <cfRule type="expression" priority="655" dxfId="0">
      <formula>$B$9="CZK"</formula>
    </cfRule>
    <cfRule type="expression" priority="654" dxfId="4">
      <formula>$B$9="PLN"</formula>
    </cfRule>
  </conditionalFormatting>
  <conditionalFormatting sqref="L14:L27">
    <cfRule type="expression" priority="421" dxfId="116">
      <formula>$C$9&lt;0</formula>
    </cfRule>
    <cfRule type="expression" priority="422" dxfId="115">
      <formula>$C$9&gt;0</formula>
    </cfRule>
  </conditionalFormatting>
  <conditionalFormatting sqref="L31:L44">
    <cfRule type="expression" priority="385" dxfId="115">
      <formula>$C$9&gt;0</formula>
    </cfRule>
    <cfRule type="expression" priority="384" dxfId="116">
      <formula>$C$9&lt;0</formula>
    </cfRule>
  </conditionalFormatting>
  <conditionalFormatting sqref="L48:L61">
    <cfRule type="expression" priority="100" dxfId="116">
      <formula>$C$9&lt;0</formula>
    </cfRule>
    <cfRule type="expression" priority="101" dxfId="115">
      <formula>$C$9&gt;0</formula>
    </cfRule>
  </conditionalFormatting>
  <conditionalFormatting sqref="L65:L78">
    <cfRule type="expression" priority="86" dxfId="116">
      <formula>$C$9&lt;0</formula>
    </cfRule>
    <cfRule type="expression" priority="87" dxfId="115">
      <formula>$C$9&gt;0</formula>
    </cfRule>
  </conditionalFormatting>
  <conditionalFormatting sqref="L82:L95">
    <cfRule type="expression" priority="72" dxfId="116">
      <formula>$C$9&lt;0</formula>
    </cfRule>
    <cfRule type="expression" priority="73" dxfId="115">
      <formula>$C$9&gt;0</formula>
    </cfRule>
  </conditionalFormatting>
  <conditionalFormatting sqref="L99:L112">
    <cfRule type="expression" priority="58" dxfId="116">
      <formula>$C$9&lt;0</formula>
    </cfRule>
    <cfRule type="expression" priority="59" dxfId="115">
      <formula>$C$9&gt;0</formula>
    </cfRule>
  </conditionalFormatting>
  <conditionalFormatting sqref="L116:L129">
    <cfRule type="expression" priority="44" dxfId="116">
      <formula>$C$9&lt;0</formula>
    </cfRule>
    <cfRule type="expression" priority="45" dxfId="115">
      <formula>$C$9&gt;0</formula>
    </cfRule>
  </conditionalFormatting>
  <conditionalFormatting sqref="L133:L146">
    <cfRule type="expression" priority="31" dxfId="115">
      <formula>$C$9&gt;0</formula>
    </cfRule>
    <cfRule type="expression" priority="30" dxfId="116">
      <formula>$C$9&lt;0</formula>
    </cfRule>
  </conditionalFormatting>
  <conditionalFormatting sqref="L150:L163">
    <cfRule type="expression" priority="17" dxfId="115">
      <formula>$C$9&gt;0</formula>
    </cfRule>
    <cfRule type="expression" priority="16" dxfId="116">
      <formula>$C$9&lt;0</formula>
    </cfRule>
  </conditionalFormatting>
  <conditionalFormatting sqref="L167:L180">
    <cfRule type="expression" priority="3" dxfId="115">
      <formula>$C$9&gt;0</formula>
    </cfRule>
    <cfRule type="expression" priority="2" dxfId="116">
      <formula>$C$9&lt;0</formula>
    </cfRule>
  </conditionalFormatting>
  <conditionalFormatting sqref="L183:L197">
    <cfRule type="expression" priority="644" dxfId="116">
      <formula>$C$9&lt;0</formula>
    </cfRule>
    <cfRule type="expression" priority="645" dxfId="115">
      <formula>$C$9&gt;0</formula>
    </cfRule>
  </conditionalFormatting>
  <conditionalFormatting sqref="N9 N12">
    <cfRule type="expression" priority="688" dxfId="4">
      <formula>$B$9="PLN"</formula>
    </cfRule>
    <cfRule type="expression" priority="689" dxfId="0">
      <formula>$B$9="CZK"</formula>
    </cfRule>
    <cfRule type="expression" priority="690" dxfId="3">
      <formula>$B$9="USD"</formula>
    </cfRule>
    <cfRule type="expression" priority="691" dxfId="2">
      <formula>$B$9="EURO"</formula>
    </cfRule>
  </conditionalFormatting>
  <conditionalFormatting sqref="N14:N27">
    <cfRule type="expression" priority="630" dxfId="3">
      <formula>$B$9="USD"</formula>
    </cfRule>
    <cfRule type="expression" priority="629" dxfId="2">
      <formula>$B$9="EURO"</formula>
    </cfRule>
    <cfRule type="cellIs" priority="628" operator="greaterThan" dxfId="1">
      <formula>0</formula>
    </cfRule>
    <cfRule type="expression" priority="632" dxfId="0">
      <formula>$B$9="CZK"</formula>
    </cfRule>
    <cfRule type="expression" priority="631" dxfId="4">
      <formula>$B$9="PLN"</formula>
    </cfRule>
  </conditionalFormatting>
  <conditionalFormatting sqref="N29">
    <cfRule type="expression" priority="609" dxfId="4">
      <formula>$B$9="PLN"</formula>
    </cfRule>
    <cfRule type="expression" priority="612" dxfId="2">
      <formula>$B$9="EURO"</formula>
    </cfRule>
    <cfRule type="expression" priority="611" dxfId="3">
      <formula>$B$9="USD"</formula>
    </cfRule>
    <cfRule type="expression" priority="610" dxfId="0">
      <formula>$B$9="CZK"</formula>
    </cfRule>
  </conditionalFormatting>
  <conditionalFormatting sqref="N31:N44">
    <cfRule type="cellIs" priority="389" operator="greaterThan" dxfId="1">
      <formula>0</formula>
    </cfRule>
    <cfRule type="expression" priority="390" dxfId="2">
      <formula>$B$9="EURO"</formula>
    </cfRule>
    <cfRule type="expression" priority="391" dxfId="3">
      <formula>$B$9="USD"</formula>
    </cfRule>
    <cfRule type="expression" priority="392" dxfId="4">
      <formula>$B$9="PLN"</formula>
    </cfRule>
    <cfRule type="expression" priority="393" dxfId="0">
      <formula>$B$9="CZK"</formula>
    </cfRule>
  </conditionalFormatting>
  <conditionalFormatting sqref="N46">
    <cfRule type="expression" priority="577" dxfId="4">
      <formula>$B$9="PLN"</formula>
    </cfRule>
    <cfRule type="expression" priority="579" dxfId="3">
      <formula>$B$9="USD"</formula>
    </cfRule>
    <cfRule type="expression" priority="580" dxfId="2">
      <formula>$B$9="EURO"</formula>
    </cfRule>
    <cfRule type="expression" priority="578" dxfId="0">
      <formula>$B$9="CZK"</formula>
    </cfRule>
  </conditionalFormatting>
  <conditionalFormatting sqref="N48:N61">
    <cfRule type="expression" priority="105" dxfId="2">
      <formula>$B$9="EURO"</formula>
    </cfRule>
    <cfRule type="cellIs" priority="104" operator="greaterThan" dxfId="1">
      <formula>0</formula>
    </cfRule>
    <cfRule type="expression" priority="108" dxfId="0">
      <formula>$B$9="CZK"</formula>
    </cfRule>
    <cfRule type="expression" priority="107" dxfId="4">
      <formula>$B$9="PLN"</formula>
    </cfRule>
    <cfRule type="expression" priority="106" dxfId="3">
      <formula>$B$9="USD"</formula>
    </cfRule>
  </conditionalFormatting>
  <conditionalFormatting sqref="N63">
    <cfRule type="expression" priority="550" dxfId="4">
      <formula>$B$9="PLN"</formula>
    </cfRule>
    <cfRule type="expression" priority="551" dxfId="0">
      <formula>$B$9="CZK"</formula>
    </cfRule>
    <cfRule type="expression" priority="552" dxfId="3">
      <formula>$B$9="USD"</formula>
    </cfRule>
    <cfRule type="expression" priority="553" dxfId="2">
      <formula>$B$9="EURO"</formula>
    </cfRule>
  </conditionalFormatting>
  <conditionalFormatting sqref="N65:N78">
    <cfRule type="expression" priority="93" dxfId="4">
      <formula>$B$9="PLN"</formula>
    </cfRule>
    <cfRule type="expression" priority="94" dxfId="0">
      <formula>$B$9="CZK"</formula>
    </cfRule>
    <cfRule type="expression" priority="92" dxfId="3">
      <formula>$B$9="USD"</formula>
    </cfRule>
    <cfRule type="expression" priority="91" dxfId="2">
      <formula>$B$9="EURO"</formula>
    </cfRule>
    <cfRule type="cellIs" priority="90" operator="greaterThan" dxfId="1">
      <formula>0</formula>
    </cfRule>
  </conditionalFormatting>
  <conditionalFormatting sqref="N80">
    <cfRule type="expression" priority="523" dxfId="0">
      <formula>$B$9="CZK"</formula>
    </cfRule>
    <cfRule type="expression" priority="524" dxfId="3">
      <formula>$B$9="USD"</formula>
    </cfRule>
    <cfRule type="expression" priority="522" dxfId="4">
      <formula>$B$9="PLN"</formula>
    </cfRule>
    <cfRule type="expression" priority="525" dxfId="2">
      <formula>$B$9="EURO"</formula>
    </cfRule>
  </conditionalFormatting>
  <conditionalFormatting sqref="N82:N95">
    <cfRule type="expression" priority="79" dxfId="4">
      <formula>$B$9="PLN"</formula>
    </cfRule>
    <cfRule type="expression" priority="78" dxfId="3">
      <formula>$B$9="USD"</formula>
    </cfRule>
    <cfRule type="expression" priority="80" dxfId="0">
      <formula>$B$9="CZK"</formula>
    </cfRule>
    <cfRule type="cellIs" priority="76" operator="greaterThan" dxfId="1">
      <formula>0</formula>
    </cfRule>
    <cfRule type="expression" priority="77" dxfId="2">
      <formula>$B$9="EURO"</formula>
    </cfRule>
  </conditionalFormatting>
  <conditionalFormatting sqref="N97">
    <cfRule type="expression" priority="494" dxfId="0">
      <formula>$B$9="CZK"</formula>
    </cfRule>
    <cfRule type="expression" priority="493" dxfId="4">
      <formula>$B$9="PLN"</formula>
    </cfRule>
    <cfRule type="expression" priority="496" dxfId="2">
      <formula>$B$9="EURO"</formula>
    </cfRule>
    <cfRule type="expression" priority="495" dxfId="3">
      <formula>$B$9="USD"</formula>
    </cfRule>
  </conditionalFormatting>
  <conditionalFormatting sqref="N99:N112">
    <cfRule type="cellIs" priority="62" operator="greaterThan" dxfId="1">
      <formula>0</formula>
    </cfRule>
    <cfRule type="expression" priority="63" dxfId="2">
      <formula>$B$9="EURO"</formula>
    </cfRule>
    <cfRule type="expression" priority="64" dxfId="3">
      <formula>$B$9="USD"</formula>
    </cfRule>
    <cfRule type="expression" priority="65" dxfId="4">
      <formula>$B$9="PLN"</formula>
    </cfRule>
    <cfRule type="expression" priority="66" dxfId="0">
      <formula>$B$9="CZK"</formula>
    </cfRule>
  </conditionalFormatting>
  <conditionalFormatting sqref="N114">
    <cfRule type="expression" priority="317" dxfId="0">
      <formula>$B$9="CZK"</formula>
    </cfRule>
    <cfRule type="expression" priority="318" dxfId="3">
      <formula>$B$9="USD"</formula>
    </cfRule>
    <cfRule type="expression" priority="319" dxfId="2">
      <formula>$B$9="EURO"</formula>
    </cfRule>
    <cfRule type="expression" priority="316" dxfId="4">
      <formula>$B$9="PLN"</formula>
    </cfRule>
  </conditionalFormatting>
  <conditionalFormatting sqref="N116:N129">
    <cfRule type="cellIs" priority="48" operator="greaterThan" dxfId="1">
      <formula>0</formula>
    </cfRule>
    <cfRule type="expression" priority="52" dxfId="0">
      <formula>$B$9="CZK"</formula>
    </cfRule>
    <cfRule type="expression" priority="51" dxfId="4">
      <formula>$B$9="PLN"</formula>
    </cfRule>
    <cfRule type="expression" priority="50" dxfId="3">
      <formula>$B$9="USD"</formula>
    </cfRule>
    <cfRule type="expression" priority="49" dxfId="2">
      <formula>$B$9="EURO"</formula>
    </cfRule>
  </conditionalFormatting>
  <conditionalFormatting sqref="N131">
    <cfRule type="expression" priority="261" dxfId="4">
      <formula>$B$9="PLN"</formula>
    </cfRule>
    <cfRule type="expression" priority="262" dxfId="0">
      <formula>$B$9="CZK"</formula>
    </cfRule>
    <cfRule type="expression" priority="263" dxfId="3">
      <formula>$B$9="USD"</formula>
    </cfRule>
    <cfRule type="expression" priority="264" dxfId="2">
      <formula>$B$9="EURO"</formula>
    </cfRule>
  </conditionalFormatting>
  <conditionalFormatting sqref="N133:N146">
    <cfRule type="expression" priority="37" dxfId="4">
      <formula>$B$9="PLN"</formula>
    </cfRule>
    <cfRule type="expression" priority="36" dxfId="3">
      <formula>$B$9="USD"</formula>
    </cfRule>
    <cfRule type="expression" priority="38" dxfId="0">
      <formula>$B$9="CZK"</formula>
    </cfRule>
    <cfRule type="expression" priority="35" dxfId="2">
      <formula>$B$9="EURO"</formula>
    </cfRule>
    <cfRule type="cellIs" priority="34" operator="greaterThan" dxfId="1">
      <formula>0</formula>
    </cfRule>
  </conditionalFormatting>
  <conditionalFormatting sqref="N148">
    <cfRule type="expression" priority="213" dxfId="2">
      <formula>$B$9="EURO"</formula>
    </cfRule>
    <cfRule type="expression" priority="211" dxfId="0">
      <formula>$B$9="CZK"</formula>
    </cfRule>
    <cfRule type="expression" priority="210" dxfId="4">
      <formula>$B$9="PLN"</formula>
    </cfRule>
    <cfRule type="expression" priority="212" dxfId="3">
      <formula>$B$9="USD"</formula>
    </cfRule>
  </conditionalFormatting>
  <conditionalFormatting sqref="N150:N163">
    <cfRule type="expression" priority="22" dxfId="3">
      <formula>$B$9="USD"</formula>
    </cfRule>
    <cfRule type="cellIs" priority="20" operator="greaterThan" dxfId="1">
      <formula>0</formula>
    </cfRule>
    <cfRule type="expression" priority="21" dxfId="2">
      <formula>$B$9="EURO"</formula>
    </cfRule>
    <cfRule type="expression" priority="24" dxfId="0">
      <formula>$B$9="CZK"</formula>
    </cfRule>
    <cfRule type="expression" priority="23" dxfId="4">
      <formula>$B$9="PLN"</formula>
    </cfRule>
  </conditionalFormatting>
  <conditionalFormatting sqref="N165">
    <cfRule type="expression" priority="161" dxfId="3">
      <formula>$B$9="USD"</formula>
    </cfRule>
    <cfRule type="expression" priority="160" dxfId="0">
      <formula>$B$9="CZK"</formula>
    </cfRule>
    <cfRule type="expression" priority="162" dxfId="2">
      <formula>$B$9="EURO"</formula>
    </cfRule>
    <cfRule type="expression" priority="159" dxfId="4">
      <formula>$B$9="PLN"</formula>
    </cfRule>
  </conditionalFormatting>
  <conditionalFormatting sqref="N167:N180">
    <cfRule type="expression" priority="10" dxfId="0">
      <formula>$B$9="CZK"</formula>
    </cfRule>
    <cfRule type="expression" priority="7" dxfId="2">
      <formula>$B$9="EURO"</formula>
    </cfRule>
    <cfRule type="cellIs" priority="6" operator="greaterThan" dxfId="1">
      <formula>0</formula>
    </cfRule>
    <cfRule type="expression" priority="8" dxfId="3">
      <formula>$B$9="USD"</formula>
    </cfRule>
    <cfRule type="expression" priority="9" dxfId="4">
      <formula>$B$9="PLN"</formula>
    </cfRule>
  </conditionalFormatting>
  <conditionalFormatting sqref="N183:N197">
    <cfRule type="expression" priority="640" dxfId="0">
      <formula>$B$9="CZK"</formula>
    </cfRule>
    <cfRule type="expression" priority="639" dxfId="4">
      <formula>$B$9="PLN"</formula>
    </cfRule>
    <cfRule type="expression" priority="638" dxfId="3">
      <formula>$B$9="USD"</formula>
    </cfRule>
    <cfRule type="expression" priority="637" dxfId="2">
      <formula>$B$9="EURO"</formula>
    </cfRule>
    <cfRule type="cellIs" priority="636" operator="greaterThan" dxfId="1">
      <formula>0</formula>
    </cfRule>
  </conditionalFormatting>
  <conditionalFormatting sqref="N182:O182">
    <cfRule type="expression" priority="647" dxfId="0">
      <formula>$B$9="CZK"</formula>
    </cfRule>
    <cfRule type="expression" priority="646" dxfId="4">
      <formula>$B$9="PLN"</formula>
    </cfRule>
    <cfRule type="expression" priority="649" dxfId="2">
      <formula>$B$9="EURO"</formula>
    </cfRule>
    <cfRule type="expression" priority="648" dxfId="3">
      <formula>$B$9="USD"</formula>
    </cfRule>
  </conditionalFormatting>
  <conditionalFormatting sqref="O14:O27">
    <cfRule type="cellIs" priority="633" operator="greaterThan" dxfId="5">
      <formula>0</formula>
    </cfRule>
  </conditionalFormatting>
  <conditionalFormatting sqref="O31:O44">
    <cfRule type="cellIs" priority="394" operator="greaterThan" dxfId="5">
      <formula>0</formula>
    </cfRule>
  </conditionalFormatting>
  <conditionalFormatting sqref="O48:O61">
    <cfRule type="cellIs" priority="109" operator="greaterThan" dxfId="5">
      <formula>0</formula>
    </cfRule>
  </conditionalFormatting>
  <conditionalFormatting sqref="O65:O78">
    <cfRule type="cellIs" priority="95" operator="greaterThan" dxfId="5">
      <formula>0</formula>
    </cfRule>
  </conditionalFormatting>
  <conditionalFormatting sqref="O82:O95">
    <cfRule type="cellIs" priority="81" operator="greaterThan" dxfId="5">
      <formula>0</formula>
    </cfRule>
  </conditionalFormatting>
  <conditionalFormatting sqref="O99:O112">
    <cfRule type="cellIs" priority="67" operator="greaterThan" dxfId="5">
      <formula>0</formula>
    </cfRule>
  </conditionalFormatting>
  <conditionalFormatting sqref="O116:O129">
    <cfRule type="cellIs" priority="53" operator="greaterThan" dxfId="5">
      <formula>0</formula>
    </cfRule>
  </conditionalFormatting>
  <conditionalFormatting sqref="O133:O146">
    <cfRule type="cellIs" priority="39" operator="greaterThan" dxfId="5">
      <formula>0</formula>
    </cfRule>
  </conditionalFormatting>
  <conditionalFormatting sqref="O150:O163">
    <cfRule type="cellIs" priority="25" operator="greaterThan" dxfId="5">
      <formula>0</formula>
    </cfRule>
  </conditionalFormatting>
  <conditionalFormatting sqref="O167:O180">
    <cfRule type="cellIs" priority="11" operator="greaterThan" dxfId="5">
      <formula>0</formula>
    </cfRule>
  </conditionalFormatting>
  <conditionalFormatting sqref="O183:O197">
    <cfRule type="cellIs" priority="659" operator="greaterThan" dxfId="5">
      <formula>0</formula>
    </cfRule>
  </conditionalFormatting>
  <conditionalFormatting sqref="Q16">
    <cfRule type="expression" priority="414" dxfId="4">
      <formula>$B$9="PLN"</formula>
    </cfRule>
    <cfRule type="expression" priority="413" dxfId="3">
      <formula>$B$9="USD"</formula>
    </cfRule>
    <cfRule type="expression" priority="412" dxfId="2">
      <formula>$B$9="EURO"</formula>
    </cfRule>
    <cfRule type="cellIs" priority="411" operator="greaterThan" dxfId="1">
      <formula>0</formula>
    </cfRule>
    <cfRule type="expression" priority="415" dxfId="0">
      <formula>$B$9="CZK"</formula>
    </cfRule>
  </conditionalFormatting>
  <dataValidations count="16">
    <dataValidation sqref="D26 D43 D60 D77 D94 D111 D128 D145 D162 D179" showDropDown="0" showInputMessage="1" showErrorMessage="1" allowBlank="1" type="list">
      <formula1>"0,1,2,3,4,5,6,7,8,9,10"</formula1>
    </dataValidation>
    <dataValidation sqref="G181" showDropDown="0" showInputMessage="1" showErrorMessage="1" allowBlank="1" type="list">
      <formula1>#REF!</formula1>
    </dataValidation>
    <dataValidation sqref="C14 C31 C48 C65 C82 C99 C116 C133 C150 C167" showDropDown="0" showInputMessage="1" showErrorMessage="1" allowBlank="1" type="list">
      <formula1>"WALL, ISLAND"</formula1>
    </dataValidation>
    <dataValidation sqref="E14 E31 E48 E65 E82 E99 E116 E133 E150 E167" showDropDown="0" showInputMessage="1" showErrorMessage="1" allowBlank="1" operator="greaterThan"/>
    <dataValidation sqref="C20:C21 C37:C38 C54:C55 C71:C72 C88:C89 C105:C106 C122:C123 C139:C140 C156:C157 C173:C174" showDropDown="0" showInputMessage="1" showErrorMessage="1" allowBlank="1" type="list">
      <formula1>"0,1,2,3,4,5,6,7,8,9,10,11,12,13,14,15,16,17,18,19,20"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7 C44 C61 C78 C95 C112 C129 C146 C163 C180" showDropDown="0" showInputMessage="1" showErrorMessage="1" allowBlank="1" type="list">
      <formula1>"0,0.5,1,1.5,2,2.5,3,3.5,4,4.5,5"</formula1>
    </dataValidation>
    <dataValidation sqref="C15 C32 C49 C66 C83 C100 C117 C134 C151 C168 C185 C202 C219 C236 C253 C270 C287 C304" showDropDown="0" showInputMessage="0" showErrorMessage="0" allowBlank="1" type="list">
      <formula1>Lists!$A$1:$A$5</formula1>
    </dataValidation>
    <dataValidation sqref="C16 C33 C50 C67 C84 C101 C118 C135 C152 C169 C186 C203 C220 C237 C254 C271 C288 C305" showDropDown="0" showInputMessage="0" showErrorMessage="0" allowBlank="1" type="list">
      <formula1>Lists!$B$1:$B$17</formula1>
    </dataValidation>
    <dataValidation sqref="C17 C34 C51 C68 C85 C102 C119 C136 C153 C170 C187 C204 C221 C238 C255 C272 C289 C306" showDropDown="0" showInputMessage="0" showErrorMessage="0" allowBlank="1" type="list">
      <formula1>Lists!$B$1:$B$18</formula1>
    </dataValidation>
    <dataValidation sqref="C19 C36 C53 C70 C87 C104 C121 C138 C155 C172 C189 C206 C223 C240 C257 C274 C291 C308" showDropDown="0" showInputMessage="0" showErrorMessage="0" allowBlank="1" type="list">
      <formula1>Lists!$C$1:$C$2</formula1>
    </dataValidation>
    <dataValidation sqref="C25 C42 C59 C76 C93 C110 C127 C144 C161 C178 C195 C212 C229 C246 C263 C280 C297" showDropDown="0" showInputMessage="0" showErrorMessage="0" allowBlank="1" type="list">
      <formula1>Lists!$D$1:$D$4</formula1>
    </dataValidation>
    <dataValidation sqref="C26 C43 C60 C77 C94 C111 C128 C145 C162 C179 C196 C213 C230 C247 C264 C281 C298" showDropDown="0" showInputMessage="0" showErrorMessage="0" allowBlank="1" type="list">
      <formula1>Lists!$E$1:$E$10</formula1>
    </dataValidation>
    <dataValidation sqref="D183" showDropDown="0" showInputMessage="0" showErrorMessage="0" allowBlank="1" type="list">
      <formula1>Lists!$F$1:$F$193</formula1>
    </dataValidation>
    <dataValidation sqref="D184" showDropDown="0" showInputMessage="0" showErrorMessage="0" allowBlank="1" type="list">
      <formula1>Lists!$G$1:$G$12</formula1>
    </dataValidation>
    <dataValidation sqref="D185" showDropDown="0" showInputMessage="0" showErrorMessage="0" allowBlank="1" type="list">
      <formula1>Lists!$G$1:$G$12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1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 codeName="Sheet28">
    <tabColor theme="8" tint="0.7999816888943144"/>
    <outlinePr summaryBelow="1" summaryRight="1"/>
    <pageSetUpPr fitToPage="1"/>
  </sheetPr>
  <dimension ref="A1:Z310"/>
  <sheetViews>
    <sheetView showGridLines="0" topLeftCell="C1" zoomScale="106" zoomScaleNormal="80" zoomScaleSheetLayoutView="50" workbookViewId="0">
      <selection activeCell="D14" sqref="D14"/>
    </sheetView>
  </sheetViews>
  <sheetFormatPr baseColWidth="10" defaultColWidth="8.83203125" defaultRowHeight="15" customHeight="1" outlineLevelRow="1"/>
  <cols>
    <col width="2" customWidth="1" style="666" min="1" max="1"/>
    <col width="29.6640625" customWidth="1" style="1095" min="2" max="2"/>
    <col width="24.6640625" customWidth="1" style="1095" min="3" max="3"/>
    <col width="27.1640625" customWidth="1" style="1095" min="4" max="4"/>
    <col width="26.6640625" customWidth="1" style="1095" min="5" max="5"/>
    <col width="18.83203125" customWidth="1" style="1095" min="6" max="6"/>
    <col width="22.6640625" customWidth="1" style="1095" min="7" max="7"/>
    <col width="10" bestFit="1" customWidth="1" style="1096" min="8" max="8"/>
    <col width="11.6640625" bestFit="1" customWidth="1" style="1096" min="9" max="9"/>
    <col width="12.33203125" customWidth="1" style="1097" min="10" max="10"/>
    <col width="15" customWidth="1" style="1098" min="11" max="11"/>
    <col width="7.6640625" bestFit="1" customWidth="1" style="1098" min="12" max="12"/>
    <col hidden="1" width="12.33203125" customWidth="1" style="1099" min="13" max="13"/>
    <col width="12.8320312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8"/>
    <col width="8.83203125" customWidth="1" style="1095" min="99" max="16384"/>
  </cols>
  <sheetData>
    <row r="1" ht="15" customHeight="1" s="1085">
      <c r="B1" s="1116" t="inlineStr">
        <is>
          <t>F24 - 19  CANOPY COST SHEET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 t="n"/>
      <c r="F3" s="690" t="inlineStr">
        <is>
          <t>Project Name</t>
        </is>
      </c>
      <c r="G3" s="1071" t="n"/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 t="n"/>
      <c r="F5" s="690" t="inlineStr">
        <is>
          <t>Location</t>
        </is>
      </c>
      <c r="G5" s="1071" t="n"/>
      <c r="M5" s="684" t="n"/>
      <c r="N5" s="685" t="n"/>
      <c r="P5" s="1118" t="inlineStr">
        <is>
          <t>RECO CANOPIES MUST HAVE COALESCERS</t>
        </is>
      </c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 t="n"/>
      <c r="F7" s="690" t="inlineStr">
        <is>
          <t>Date</t>
        </is>
      </c>
      <c r="G7" s="1075" t="n"/>
      <c r="N7" s="699" t="inlineStr">
        <is>
          <t>Revision No</t>
        </is>
      </c>
      <c r="O7" s="809" t="inlineStr">
        <is>
          <t>B</t>
        </is>
      </c>
      <c r="P7" s="1091" t="inlineStr">
        <is>
          <t>GP SHOULD BE MINIMUM 44%</t>
        </is>
      </c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47" t="n"/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8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 xml:space="preserve">ITEM 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68">
        <f>N12-N19</f>
        <v/>
      </c>
      <c r="Q12" s="1095" t="n"/>
      <c r="R12" s="1095" t="n"/>
      <c r="S12" s="713" t="n"/>
      <c r="T12" s="1095" t="n"/>
      <c r="X12" s="1095" t="n"/>
      <c r="Y12" s="1095" t="n"/>
      <c r="Z12" s="1095" t="n"/>
    </row>
    <row r="13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CANOPY TYPE</t>
        </is>
      </c>
      <c r="E14" s="734" t="n"/>
      <c r="F14" s="734" t="n"/>
      <c r="G14" s="734" t="n"/>
      <c r="H14" s="735" t="n"/>
      <c r="I14" s="734" t="n"/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LIGHT SELECTION</t>
        </is>
      </c>
      <c r="D15" s="741" t="n"/>
      <c r="E15" s="848" t="n"/>
      <c r="F15" s="743" t="n"/>
      <c r="G15" s="744" t="n"/>
      <c r="H15" s="668" t="n"/>
      <c r="I15" s="668" t="n"/>
      <c r="J15" s="736">
        <f>IF(ISNA(C12),0,IF(D15=0,0,IF(C15="FLO",VLOOKUP(E15,'Base Costs'!$M$4:$N$14,2,FALSE),IF(C15="LED STRIP",VLOOKUP(E15,'Base Costs'!$M$4:$N$14,2,FALSE),(VLOOKUP(C15,'Base Costs'!$M$4:$N$14,2,FALSE))))))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outlineLevel="1" ht="15" customHeight="1" s="1085">
      <c r="A16" s="666" t="n">
        <v>234</v>
      </c>
      <c r="B16" s="269" t="inlineStr">
        <is>
          <t>SPECIAL WORKS</t>
        </is>
      </c>
      <c r="C16" s="33" t="inlineStr">
        <is>
          <t>SELECT WORKS</t>
        </is>
      </c>
      <c r="D16" s="735" t="n"/>
      <c r="E16" s="753">
        <f>IF(C16="","",VLOOKUP(C16,CCBASE!$A$53:$D$73,4,FALSE))</f>
        <v/>
      </c>
      <c r="F16" s="754" t="n"/>
      <c r="G16" s="749" t="n"/>
      <c r="H16" s="750" t="n"/>
      <c r="I16" s="755" t="n"/>
      <c r="J16" s="736">
        <f>IF(C16="",0,VLOOKUP(C16,CCBASE!$A$53:$C$73,2,FALSE))</f>
        <v/>
      </c>
      <c r="K16" s="737">
        <f>J16*D16</f>
        <v/>
      </c>
      <c r="L16" s="738" t="n">
        <v>0.44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outlineLevel="1" ht="15" customHeight="1" s="1085">
      <c r="B17" s="269" t="inlineStr">
        <is>
          <t>SPECIAL WORKS</t>
        </is>
      </c>
      <c r="C17" s="752" t="inlineStr">
        <is>
          <t>SELECT WORKS</t>
        </is>
      </c>
      <c r="D17" s="735" t="n"/>
      <c r="E17" s="753">
        <f>IF(C17="","",VLOOKUP(C17,CCBASE!$A$53:$D$73,4,FALSE))</f>
        <v/>
      </c>
      <c r="F17" s="754" t="n"/>
      <c r="G17" s="749" t="n"/>
      <c r="H17" s="750" t="n"/>
      <c r="I17" s="755" t="n"/>
      <c r="J17" s="736">
        <f>IF(C17="",0,VLOOKUP(C17,CCBASE!$A$53:$C$73,2,FALSE))</f>
        <v/>
      </c>
      <c r="K17" s="737">
        <f>J17*D17</f>
        <v/>
      </c>
      <c r="L17" s="738" t="n">
        <v>0.44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outlineLevel="1" ht="15" customHeight="1" s="1085">
      <c r="B18" s="978" t="inlineStr">
        <is>
          <t>SPECIAL WORKS</t>
        </is>
      </c>
      <c r="C18" s="979" t="inlineStr">
        <is>
          <t>BIM/ REVIT per CANOPY</t>
        </is>
      </c>
      <c r="D18" s="980" t="n">
        <v>1</v>
      </c>
      <c r="E18" s="981">
        <f>IF(C18="","",VLOOKUP(C18,CCBASE!$A$53:$D$73,4,FALSE))</f>
        <v/>
      </c>
      <c r="F18" s="982" t="n"/>
      <c r="G18" s="977" t="n"/>
      <c r="H18" s="983" t="n"/>
      <c r="I18" s="984" t="n"/>
      <c r="J18" s="985">
        <f>IF(C18="",0,VLOOKUP(C18,CCBASE!$A$53:$C$73,2,FALSE))</f>
        <v/>
      </c>
      <c r="K18" s="986">
        <f>J18*D18</f>
        <v/>
      </c>
      <c r="L18" s="987" t="n">
        <v>0.44</v>
      </c>
      <c r="M18" s="988">
        <f>K18/(1-L18)*(1+$C$9)</f>
        <v/>
      </c>
      <c r="N18" s="986">
        <f>M18*VLOOKUP($B$9,'Base Costs'!$A$32:$B$37,2,FALSE)</f>
        <v/>
      </c>
      <c r="O18" s="989">
        <f>M18-K18</f>
        <v/>
      </c>
      <c r="P18" s="990" t="inlineStr">
        <is>
          <t>always include</t>
        </is>
      </c>
      <c r="S18" s="694" t="n"/>
      <c r="Y18" s="1095" t="n"/>
    </row>
    <row r="19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SELECT CLADDING</t>
        </is>
      </c>
      <c r="D19" s="756">
        <f>IF(NOT(ISBLANK(C19)), ROUNDUP($F14/1000,0), 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S19" s="694" t="n"/>
      <c r="Y19" s="1095" t="n"/>
    </row>
    <row r="20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S22" s="694" t="n"/>
      <c r="Y22" s="1095" t="n"/>
    </row>
    <row r="23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>
        <f>IF(ISNA(D23),0,(VLOOKUP(D23,'Base Costs'!$Q$4:$R$14,2,FALSE)))</f>
        <v/>
      </c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 xml:space="preserve">ITEM 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68">
        <f>N29-N36</f>
        <v/>
      </c>
      <c r="Q29" s="1095" t="n"/>
      <c r="R29" s="1095" t="n"/>
      <c r="S29" s="713" t="n"/>
      <c r="T29" s="1095" t="n"/>
      <c r="X29" s="1095" t="n"/>
      <c r="Y29" s="1095" t="n"/>
      <c r="Z29" s="1095" t="n"/>
    </row>
    <row r="30" hidden="1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hidden="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hidden="1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hidden="1" outlineLevel="1" ht="15" customHeight="1" s="1085">
      <c r="A33" s="666" t="n">
        <v>234</v>
      </c>
      <c r="B33" s="731" t="inlineStr">
        <is>
          <t>SPECIAL WORKS</t>
        </is>
      </c>
      <c r="C33" s="752" t="inlineStr">
        <is>
          <t>SELECT WORKS</t>
        </is>
      </c>
      <c r="D33" s="735" t="n"/>
      <c r="E33" s="753">
        <f>IF(C33="","",VLOOKUP(C33,CCBASE!$A$53:$D$73,4,FALSE))</f>
        <v/>
      </c>
      <c r="F33" s="754" t="n"/>
      <c r="G33" s="749" t="n"/>
      <c r="H33" s="750" t="n"/>
      <c r="I33" s="755" t="n"/>
      <c r="J33" s="736">
        <f>IF(C33="",0,VLOOKUP(C33,CCBASE!$A$53:$C$73,2,FALSE))</f>
        <v/>
      </c>
      <c r="K33" s="737">
        <f>J33*D33</f>
        <v/>
      </c>
      <c r="L33" s="738" t="n">
        <v>0.44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hidden="1" outlineLevel="1" ht="15" customHeight="1" s="1085">
      <c r="B34" s="731" t="inlineStr">
        <is>
          <t>SPECIAL WORKS</t>
        </is>
      </c>
      <c r="C34" s="752" t="inlineStr">
        <is>
          <t>SELECT WORKS</t>
        </is>
      </c>
      <c r="D34" s="735" t="n"/>
      <c r="E34" s="753">
        <f>IF(C34="","",VLOOKUP(C34,CCBASE!$A$53:$D$73,4,FALSE))</f>
        <v/>
      </c>
      <c r="F34" s="754" t="n"/>
      <c r="G34" s="749" t="n"/>
      <c r="H34" s="750" t="n"/>
      <c r="I34" s="755" t="n"/>
      <c r="J34" s="736">
        <f>IF(C34="",0,VLOOKUP(C34,CCBASE!$A$53:$C$73,2,FALSE))</f>
        <v/>
      </c>
      <c r="K34" s="737">
        <f>J34*D34</f>
        <v/>
      </c>
      <c r="L34" s="738" t="n">
        <v>0.44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hidden="1" outlineLevel="1" ht="15" customHeight="1" s="1085">
      <c r="B35" s="978" t="inlineStr">
        <is>
          <t>SPECIAL WORKS</t>
        </is>
      </c>
      <c r="C35" s="979" t="inlineStr">
        <is>
          <t>BIM/ REVIT per CANOPY</t>
        </is>
      </c>
      <c r="D35" s="980" t="n"/>
      <c r="E35" s="1111" t="n"/>
      <c r="G35" s="977" t="n"/>
      <c r="H35" s="983" t="n"/>
      <c r="I35" s="984" t="n"/>
      <c r="J35" s="985">
        <f>IF(C35="",0,VLOOKUP(C35,CCBASE!$A$53:$C$73,2,FALSE))</f>
        <v/>
      </c>
      <c r="K35" s="986">
        <f>J35*D35</f>
        <v/>
      </c>
      <c r="L35" s="987" t="n">
        <v>0.44</v>
      </c>
      <c r="M35" s="988">
        <f>K35/(1-L35)*(1+$C$9)</f>
        <v/>
      </c>
      <c r="N35" s="986">
        <f>M35*VLOOKUP($B$9,'Base Costs'!$A$32:$B$37,2,FALSE)</f>
        <v/>
      </c>
      <c r="O35" s="989">
        <f>M35-K35</f>
        <v/>
      </c>
      <c r="P35" s="990" t="inlineStr">
        <is>
          <t>always include</t>
        </is>
      </c>
      <c r="S35" s="694" t="n"/>
      <c r="Y35" s="1095" t="n"/>
    </row>
    <row r="36" hidden="1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SELECT CLADDING</t>
        </is>
      </c>
      <c r="D36" s="756">
        <f>IF(NOT(ISBLANK(C36)), ROUNDUP($F31/1000,0), 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Y36" s="1095" t="n"/>
    </row>
    <row r="37" hidden="1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hidden="1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hidden="1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S39" s="694" t="n"/>
      <c r="Y39" s="1095" t="n"/>
    </row>
    <row r="40" hidden="1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>
        <f>IF(ISNA(D40),0,(VLOOKUP(D40,'Base Costs'!$Q$4:$R$13,2,FALSE)))</f>
        <v/>
      </c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hidden="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hidden="1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hidden="1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hidden="1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collapsed="1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68">
        <f>N46-N53</f>
        <v/>
      </c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731" t="inlineStr">
        <is>
          <t>SPECIAL WORKS</t>
        </is>
      </c>
      <c r="C50" s="752" t="inlineStr">
        <is>
          <t>SELECT WORKS</t>
        </is>
      </c>
      <c r="D50" s="735" t="n"/>
      <c r="E50" s="753">
        <f>IF(C50="","",VLOOKUP(C50,CCBASE!$A$53:$D$73,4,FALSE))</f>
        <v/>
      </c>
      <c r="F50" s="754" t="n"/>
      <c r="G50" s="749" t="n"/>
      <c r="H50" s="750" t="n"/>
      <c r="I50" s="755" t="n"/>
      <c r="J50" s="736">
        <f>IF(C50="",0,VLOOKUP(C50,CCBASE!$A$53:$C$73,2,FALSE))</f>
        <v/>
      </c>
      <c r="K50" s="737">
        <f>J50*D50</f>
        <v/>
      </c>
      <c r="L50" s="738" t="n">
        <v>0.44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731" t="inlineStr">
        <is>
          <t>SPECIAL WORKS</t>
        </is>
      </c>
      <c r="C51" s="752" t="inlineStr">
        <is>
          <t>SELECT WORKS</t>
        </is>
      </c>
      <c r="D51" s="735" t="n"/>
      <c r="E51" s="753">
        <f>IF(C51="","",VLOOKUP(C51,CCBASE!$A$53:$D$73,4,FALSE))</f>
        <v/>
      </c>
      <c r="F51" s="754" t="n"/>
      <c r="G51" s="749" t="n"/>
      <c r="H51" s="750" t="n"/>
      <c r="I51" s="755" t="n"/>
      <c r="J51" s="736">
        <f>IF(C51="",0,VLOOKUP(C51,CCBASE!$A$53:$C$73,2,FALSE))</f>
        <v/>
      </c>
      <c r="K51" s="737">
        <f>J51*D51</f>
        <v/>
      </c>
      <c r="L51" s="738" t="n">
        <v>0.44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978" t="inlineStr">
        <is>
          <t>SPECIAL WORKS</t>
        </is>
      </c>
      <c r="C52" s="979" t="inlineStr">
        <is>
          <t>BIM/ REVIT per CANOPY</t>
        </is>
      </c>
      <c r="D52" s="980" t="n"/>
      <c r="E52" s="981">
        <f>IF(C52="","",VLOOKUP(C52,CCBASE!$A$53:$D$73,4,FALSE))</f>
        <v/>
      </c>
      <c r="F52" s="982" t="n"/>
      <c r="G52" s="977" t="n"/>
      <c r="H52" s="983" t="n"/>
      <c r="I52" s="984" t="n"/>
      <c r="J52" s="985">
        <f>IF(C52="",0,VLOOKUP(C52,CCBASE!$A$53:$C$73,2,FALSE))</f>
        <v/>
      </c>
      <c r="K52" s="986">
        <f>J52*D52</f>
        <v/>
      </c>
      <c r="L52" s="987" t="n">
        <v>0.44</v>
      </c>
      <c r="M52" s="988">
        <f>K52/(1-L52)*(1+$C$9)</f>
        <v/>
      </c>
      <c r="N52" s="986">
        <f>M52*VLOOKUP($B$9,'Base Costs'!$A$32:$B$37,2,FALSE)</f>
        <v/>
      </c>
      <c r="O52" s="989">
        <f>M52-K52</f>
        <v/>
      </c>
      <c r="P52" s="990" t="inlineStr">
        <is>
          <t>always include</t>
        </is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SELECT CLADDING</t>
        </is>
      </c>
      <c r="D53" s="756">
        <f>IF(NOT(ISBLANK(C53)), ROUNDUP($F48/1000,0), 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>
        <f>IF(ISNA(D57),0,(VLOOKUP(D57,'Base Costs'!$Q$4:$R$13,2,FALSE)))</f>
        <v/>
      </c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68">
        <f>N63-N70</f>
        <v/>
      </c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731" t="inlineStr">
        <is>
          <t>SPECIAL WORKS</t>
        </is>
      </c>
      <c r="C67" s="752" t="inlineStr">
        <is>
          <t>SELECT WORKS</t>
        </is>
      </c>
      <c r="D67" s="735" t="n"/>
      <c r="E67" s="753">
        <f>IF(C67="","",VLOOKUP(C67,CCBASE!$A$53:$D$73,4,FALSE))</f>
        <v/>
      </c>
      <c r="F67" s="754" t="n"/>
      <c r="G67" s="749" t="n"/>
      <c r="H67" s="750" t="n"/>
      <c r="I67" s="755" t="n"/>
      <c r="J67" s="736">
        <f>IF(C67="",0,VLOOKUP(C67,CCBASE!$A$53:$C$73,2,FALSE))</f>
        <v/>
      </c>
      <c r="K67" s="737">
        <f>J67*D67</f>
        <v/>
      </c>
      <c r="L67" s="738" t="n">
        <v>0.44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731" t="inlineStr">
        <is>
          <t>SPECIAL WORKS</t>
        </is>
      </c>
      <c r="C68" s="752" t="inlineStr">
        <is>
          <t>SELECT WORKS</t>
        </is>
      </c>
      <c r="D68" s="735" t="n"/>
      <c r="E68" s="753">
        <f>IF(C68="","",VLOOKUP(C68,CCBASE!$A$53:$D$73,4,FALSE))</f>
        <v/>
      </c>
      <c r="F68" s="754" t="n"/>
      <c r="G68" s="749" t="n"/>
      <c r="H68" s="750" t="n"/>
      <c r="I68" s="755" t="n"/>
      <c r="J68" s="736">
        <f>IF(C68="",0,VLOOKUP(C68,CCBASE!$A$53:$C$73,2,FALSE))</f>
        <v/>
      </c>
      <c r="K68" s="737">
        <f>J68*D68</f>
        <v/>
      </c>
      <c r="L68" s="738" t="n">
        <v>0.44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978" t="inlineStr">
        <is>
          <t>SPECIAL WORKS</t>
        </is>
      </c>
      <c r="C69" s="979" t="inlineStr">
        <is>
          <t>BIM/ REVIT per CANOPY</t>
        </is>
      </c>
      <c r="D69" s="980" t="n"/>
      <c r="E69" s="981">
        <f>IF(C69="","",VLOOKUP(C69,CCBASE!$A$53:$D$73,4,FALSE))</f>
        <v/>
      </c>
      <c r="F69" s="982" t="n"/>
      <c r="G69" s="977" t="n"/>
      <c r="H69" s="983" t="n"/>
      <c r="I69" s="984" t="n"/>
      <c r="J69" s="985">
        <f>IF(C69="",0,VLOOKUP(C69,CCBASE!$A$53:$C$73,2,FALSE))</f>
        <v/>
      </c>
      <c r="K69" s="986">
        <f>J69*D69</f>
        <v/>
      </c>
      <c r="L69" s="987" t="n">
        <v>0.44</v>
      </c>
      <c r="M69" s="988">
        <f>K69/(1-L69)*(1+$C$9)</f>
        <v/>
      </c>
      <c r="N69" s="986">
        <f>M69*VLOOKUP($B$9,'Base Costs'!$A$32:$B$37,2,FALSE)</f>
        <v/>
      </c>
      <c r="O69" s="989">
        <f>M69-K69</f>
        <v/>
      </c>
      <c r="P69" s="990" t="inlineStr">
        <is>
          <t>always include</t>
        </is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IF(NOT(ISBLANK(C70)), ROUNDUP(F65/1000,0), 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>
        <f>IF(ISNA(D74),0,(VLOOKUP(D74,'Base Costs'!$Q$4:$R$13,2,FALSE)))</f>
        <v/>
      </c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68">
        <f>N80-N87</f>
        <v/>
      </c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731" t="inlineStr">
        <is>
          <t>SPECIAL WORKS</t>
        </is>
      </c>
      <c r="C84" s="752" t="inlineStr">
        <is>
          <t>SELECT WORKS</t>
        </is>
      </c>
      <c r="D84" s="735" t="n"/>
      <c r="E84" s="753">
        <f>IF(C84="","",VLOOKUP(C84,CCBASE!$A$53:$D$73,4,FALSE))</f>
        <v/>
      </c>
      <c r="F84" s="754" t="n"/>
      <c r="G84" s="749" t="n"/>
      <c r="H84" s="750" t="n"/>
      <c r="I84" s="755" t="n"/>
      <c r="J84" s="736">
        <f>IF(C84="",0,VLOOKUP(C84,CCBASE!$A$53:$C$73,2,FALSE))</f>
        <v/>
      </c>
      <c r="K84" s="737">
        <f>J84*D84</f>
        <v/>
      </c>
      <c r="L84" s="738" t="n">
        <v>0.44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SPECIAL WORKS</t>
        </is>
      </c>
      <c r="C85" s="752" t="inlineStr">
        <is>
          <t>SELECT WORKS</t>
        </is>
      </c>
      <c r="D85" s="735" t="n"/>
      <c r="E85" s="753">
        <f>IF(C85="","",VLOOKUP(C85,CCBASE!$A$53:$D$73,4,FALSE))</f>
        <v/>
      </c>
      <c r="F85" s="754" t="n"/>
      <c r="G85" s="749" t="n"/>
      <c r="H85" s="750" t="n"/>
      <c r="I85" s="755" t="n"/>
      <c r="J85" s="736">
        <f>IF(C85="",0,VLOOKUP(C85,CCBASE!$A$53:$C$73,2,FALSE))</f>
        <v/>
      </c>
      <c r="K85" s="737">
        <f>J85*D85</f>
        <v/>
      </c>
      <c r="L85" s="738" t="n">
        <v>0.44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978" t="inlineStr">
        <is>
          <t>SPECIAL WORKS</t>
        </is>
      </c>
      <c r="C86" s="979" t="inlineStr">
        <is>
          <t>BIM/ REVIT per CANOPY</t>
        </is>
      </c>
      <c r="D86" s="980" t="n"/>
      <c r="E86" s="981">
        <f>IF(C86="","",VLOOKUP(C86,CCBASE!$A$53:$D$73,4,FALSE))</f>
        <v/>
      </c>
      <c r="F86" s="982" t="n"/>
      <c r="G86" s="977" t="n"/>
      <c r="H86" s="983" t="n"/>
      <c r="I86" s="984" t="n"/>
      <c r="J86" s="985">
        <f>IF(C86="",0,VLOOKUP(C86,CCBASE!$A$53:$C$73,2,FALSE))</f>
        <v/>
      </c>
      <c r="K86" s="986">
        <f>J86*D86</f>
        <v/>
      </c>
      <c r="L86" s="987" t="n">
        <v>0.44</v>
      </c>
      <c r="M86" s="988">
        <f>K86/(1-L86)*(1+$C$9)</f>
        <v/>
      </c>
      <c r="N86" s="986">
        <f>M86*VLOOKUP($B$9,'Base Costs'!$A$32:$B$37,2,FALSE)</f>
        <v/>
      </c>
      <c r="O86" s="989">
        <f>M86-K86</f>
        <v/>
      </c>
      <c r="P86" s="990" t="inlineStr">
        <is>
          <t>always include</t>
        </is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IF(NOT(ISBLANK(C87)), ROUNDUP(F82/1000,0), 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>
        <f>IF(ISNA(D91),0,(VLOOKUP(D91,'Base Costs'!$Q$4:$R$13,2,FALSE)))</f>
        <v/>
      </c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IF(ISNUMBER(SEARCH("UV",D99)),49.7,71.75)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68">
        <f>N97-N104</f>
        <v/>
      </c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731" t="inlineStr">
        <is>
          <t>SPECIAL WORKS</t>
        </is>
      </c>
      <c r="C101" s="752" t="inlineStr">
        <is>
          <t>SELECT WORKS</t>
        </is>
      </c>
      <c r="D101" s="735" t="n"/>
      <c r="E101" s="753">
        <f>IF(C101="","",VLOOKUP(C101,CCBASE!$A$53:$D$73,4,FALSE))</f>
        <v/>
      </c>
      <c r="F101" s="754" t="n"/>
      <c r="G101" s="749" t="n"/>
      <c r="H101" s="750" t="n"/>
      <c r="I101" s="755" t="n"/>
      <c r="J101" s="736">
        <f>IF(C101="",0,VLOOKUP(C101,CCBASE!$A$53:$C$73,2,FALSE))</f>
        <v/>
      </c>
      <c r="K101" s="737">
        <f>J101*D101</f>
        <v/>
      </c>
      <c r="L101" s="738" t="n">
        <v>0.44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584" t="inlineStr">
        <is>
          <t>SPECIAL WORKS</t>
        </is>
      </c>
      <c r="C102" s="33" t="inlineStr">
        <is>
          <t>SELECT WORKS</t>
        </is>
      </c>
      <c r="D102" s="735" t="n"/>
      <c r="E102" s="753">
        <f>IF(C102="","",VLOOKUP(C102,CCBASE!$A$53:$D$73,4,FALSE))</f>
        <v/>
      </c>
      <c r="F102" s="754" t="n"/>
      <c r="G102" s="749" t="n"/>
      <c r="H102" s="750" t="n"/>
      <c r="I102" s="755" t="n"/>
      <c r="J102" s="736">
        <f>IF(C102="",0,VLOOKUP(C102,CCBASE!$A$53:$C$73,2,FALSE))</f>
        <v/>
      </c>
      <c r="K102" s="737">
        <f>J102*D102</f>
        <v/>
      </c>
      <c r="L102" s="738" t="n">
        <v>0.44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991" t="inlineStr">
        <is>
          <t>SPECIAL WORKS</t>
        </is>
      </c>
      <c r="C103" s="992" t="inlineStr">
        <is>
          <t>BIM/ REVIT per CANOPY</t>
        </is>
      </c>
      <c r="D103" s="980" t="n"/>
      <c r="E103" s="981">
        <f>IF(C103="","",VLOOKUP(C103,CCBASE!$A$53:$D$73,4,FALSE))</f>
        <v/>
      </c>
      <c r="F103" s="982" t="n"/>
      <c r="G103" s="977" t="n"/>
      <c r="H103" s="983" t="n"/>
      <c r="I103" s="984" t="n"/>
      <c r="J103" s="985">
        <f>IF(C103="",0,VLOOKUP(C103,CCBASE!$A$53:$C$73,2,FALSE))</f>
        <v/>
      </c>
      <c r="K103" s="986">
        <f>J103*D103</f>
        <v/>
      </c>
      <c r="L103" s="987" t="n">
        <v>0.44</v>
      </c>
      <c r="M103" s="988">
        <f>K103/(1-L103)*(1+$C$9)</f>
        <v/>
      </c>
      <c r="N103" s="986">
        <f>M103*VLOOKUP($B$9,'Base Costs'!$A$32:$B$37,2,FALSE)</f>
        <v/>
      </c>
      <c r="O103" s="989">
        <f>M103-K103</f>
        <v/>
      </c>
      <c r="P103" s="990" t="inlineStr">
        <is>
          <t>always include</t>
        </is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IF(NOT(ISBLANK(C104)), ROUNDUP(F99/1000,0), 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>
        <f>IF(ISNA(D108),0,(VLOOKUP(D108,'Base Costs'!$Q$4:$R$13,2,FALSE)))</f>
        <v/>
      </c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IF(ISNUMBER(SEARCH("UV",D116)),49.7,71.75)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68">
        <f>N114-N121</f>
        <v/>
      </c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731" t="inlineStr">
        <is>
          <t>SPECIAL WORKS</t>
        </is>
      </c>
      <c r="C118" s="752" t="inlineStr">
        <is>
          <t>SELECT WORKS</t>
        </is>
      </c>
      <c r="D118" s="735" t="n"/>
      <c r="E118" s="753">
        <f>IF(C118="","",VLOOKUP(C118,CCBASE!$A$53:$D$73,4,FALSE))</f>
        <v/>
      </c>
      <c r="F118" s="754" t="n"/>
      <c r="G118" s="749" t="n"/>
      <c r="H118" s="750" t="n"/>
      <c r="I118" s="755" t="n"/>
      <c r="J118" s="736">
        <f>IF(C118="",0,VLOOKUP(C118,CCBASE!$A$53:$C$73,2,FALSE))</f>
        <v/>
      </c>
      <c r="K118" s="737">
        <f>J118*D118</f>
        <v/>
      </c>
      <c r="L118" s="738" t="n">
        <v>0.44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584" t="inlineStr">
        <is>
          <t>SPECIAL WORKS</t>
        </is>
      </c>
      <c r="C119" s="33" t="inlineStr">
        <is>
          <t>SELECT WORKS</t>
        </is>
      </c>
      <c r="D119" s="735" t="n"/>
      <c r="E119" s="753">
        <f>IF(C119="","",VLOOKUP(C119,CCBASE!$A$53:$D$73,4,FALSE))</f>
        <v/>
      </c>
      <c r="F119" s="754" t="n"/>
      <c r="G119" s="749" t="n"/>
      <c r="H119" s="750" t="n"/>
      <c r="I119" s="755" t="n"/>
      <c r="J119" s="736">
        <f>IF(C119="",0,VLOOKUP(C119,CCBASE!$A$53:$C$73,2,FALSE))</f>
        <v/>
      </c>
      <c r="K119" s="737">
        <f>J119*D119</f>
        <v/>
      </c>
      <c r="L119" s="738" t="n">
        <v>0.44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991" t="inlineStr">
        <is>
          <t>SPECIAL WORKS</t>
        </is>
      </c>
      <c r="C120" s="992" t="inlineStr">
        <is>
          <t>BIM/ REVIT per CANOPY</t>
        </is>
      </c>
      <c r="D120" s="980" t="n"/>
      <c r="E120" s="981">
        <f>IF(C120="","",VLOOKUP(C120,CCBASE!$A$53:$D$73,4,FALSE))</f>
        <v/>
      </c>
      <c r="F120" s="982" t="n"/>
      <c r="G120" s="977" t="n"/>
      <c r="H120" s="983" t="n"/>
      <c r="I120" s="984" t="n"/>
      <c r="J120" s="985">
        <f>IF(C120="",0,VLOOKUP(C120,CCBASE!$A$53:$C$73,2,FALSE))</f>
        <v/>
      </c>
      <c r="K120" s="986">
        <f>J120*D120</f>
        <v/>
      </c>
      <c r="L120" s="987" t="n">
        <v>0.44</v>
      </c>
      <c r="M120" s="988">
        <f>K120/(1-L120)*(1+$C$9)</f>
        <v/>
      </c>
      <c r="N120" s="986">
        <f>M120*VLOOKUP($B$9,'Base Costs'!$A$32:$B$37,2,FALSE)</f>
        <v/>
      </c>
      <c r="O120" s="989">
        <f>M120-K120</f>
        <v/>
      </c>
      <c r="P120" s="990" t="inlineStr">
        <is>
          <t>always include</t>
        </is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IF(NOT(ISBLANK(C121)), ROUNDUP(F116/1000,0), 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>
        <f>IF(ISNA(D125),0,(VLOOKUP(D125,'Base Costs'!$Q$4:$R$13,2,FALSE)))</f>
        <v/>
      </c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68">
        <f>N131-N138</f>
        <v/>
      </c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733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731" t="inlineStr">
        <is>
          <t>SPECIAL WORKS</t>
        </is>
      </c>
      <c r="C135" s="752" t="inlineStr">
        <is>
          <t>SELECT WORKS</t>
        </is>
      </c>
      <c r="D135" s="735" t="n"/>
      <c r="E135" s="753">
        <f>IF(C135="","",VLOOKUP(C135,CCBASE!$A$53:$D$73,4,FALSE))</f>
        <v/>
      </c>
      <c r="F135" s="754" t="n"/>
      <c r="G135" s="749" t="n"/>
      <c r="H135" s="750" t="n"/>
      <c r="I135" s="755" t="n"/>
      <c r="J135" s="736">
        <f>IF(C135="",0,VLOOKUP(C135,CCBASE!$A$53:$C$73,2,FALSE))</f>
        <v/>
      </c>
      <c r="K135" s="737">
        <f>J135*D135</f>
        <v/>
      </c>
      <c r="L135" s="738" t="n">
        <v>0.44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584" t="inlineStr">
        <is>
          <t>SPECIAL WORKS</t>
        </is>
      </c>
      <c r="C136" s="33" t="inlineStr">
        <is>
          <t>SELECT WORKS</t>
        </is>
      </c>
      <c r="D136" s="735" t="n"/>
      <c r="E136" s="753">
        <f>IF(C136="","",VLOOKUP(C136,CCBASE!$A$53:$D$73,4,FALSE))</f>
        <v/>
      </c>
      <c r="F136" s="754" t="n"/>
      <c r="G136" s="749" t="n"/>
      <c r="H136" s="750" t="n"/>
      <c r="I136" s="755" t="n"/>
      <c r="J136" s="736">
        <f>IF(C136="",0,VLOOKUP(C136,CCBASE!$A$53:$C$73,2,FALSE))</f>
        <v/>
      </c>
      <c r="K136" s="737">
        <f>J136*D136</f>
        <v/>
      </c>
      <c r="L136" s="738" t="n">
        <v>0.44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991" t="inlineStr">
        <is>
          <t>SPECIAL WORKS</t>
        </is>
      </c>
      <c r="C137" s="992" t="inlineStr">
        <is>
          <t>BIM/ REVIT per CANOPY</t>
        </is>
      </c>
      <c r="D137" s="980" t="n"/>
      <c r="E137" s="981">
        <f>IF(C137="","",VLOOKUP(C137,CCBASE!$A$53:$D$73,4,FALSE))</f>
        <v/>
      </c>
      <c r="F137" s="982" t="n"/>
      <c r="G137" s="977" t="n"/>
      <c r="H137" s="983" t="n"/>
      <c r="I137" s="984" t="n"/>
      <c r="J137" s="985">
        <f>IF(C137="",0,VLOOKUP(C137,CCBASE!$A$53:$C$73,2,FALSE))</f>
        <v/>
      </c>
      <c r="K137" s="986">
        <f>J137*D137</f>
        <v/>
      </c>
      <c r="L137" s="987" t="n">
        <v>0.44</v>
      </c>
      <c r="M137" s="988">
        <f>K137/(1-L137)*(1+$C$9)</f>
        <v/>
      </c>
      <c r="N137" s="986">
        <f>M137*VLOOKUP($B$9,'Base Costs'!$A$32:$B$37,2,FALSE)</f>
        <v/>
      </c>
      <c r="O137" s="989">
        <f>M137-K137</f>
        <v/>
      </c>
      <c r="P137" s="990" t="inlineStr">
        <is>
          <t>always include</t>
        </is>
      </c>
      <c r="S137" s="694" t="n"/>
      <c r="Y137" s="1095" t="n"/>
    </row>
    <row r="138" hidden="1" outlineLevel="1" ht="15" customHeight="1" s="1085">
      <c r="A138" s="666" t="n">
        <v>289</v>
      </c>
      <c r="B138" s="584" t="inlineStr">
        <is>
          <t>WALL CLADDING</t>
        </is>
      </c>
      <c r="C138" s="33" t="inlineStr">
        <is>
          <t>SELECT CLADDING</t>
        </is>
      </c>
      <c r="D138" s="756">
        <f>IF(NOT(ISBLANK(C138)), ROUNDUP(F133/1000,0), 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584" t="inlineStr">
        <is>
          <t>INFILL PANEL</t>
        </is>
      </c>
      <c r="C139" s="752" t="n"/>
      <c r="D139" s="742" t="inlineStr">
        <is>
          <t>m²</t>
        </is>
      </c>
      <c r="E139" s="749" t="n"/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>
        <f>IF(ISNA(D142),0,(VLOOKUP(D142,'Base Costs'!$Q$4:$R$13,2,FALSE)))</f>
        <v/>
      </c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IF(ISNUMBER(SEARCH("UV",D150)),49.7,71.75)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68">
        <f>N148-N155</f>
        <v/>
      </c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731" t="inlineStr">
        <is>
          <t>SPECIAL WORKS</t>
        </is>
      </c>
      <c r="C152" s="752" t="inlineStr">
        <is>
          <t>SELECT WORKS</t>
        </is>
      </c>
      <c r="D152" s="735" t="n"/>
      <c r="E152" s="753">
        <f>IF(C152="","",VLOOKUP(C152,CCBASE!$A$53:$D$73,4,FALSE))</f>
        <v/>
      </c>
      <c r="F152" s="754" t="n"/>
      <c r="G152" s="749" t="n"/>
      <c r="H152" s="750" t="n"/>
      <c r="I152" s="755" t="n"/>
      <c r="J152" s="736">
        <f>IF(C152="",0,VLOOKUP(C152,CCBASE!$A$53:$C$73,2,FALSE))</f>
        <v/>
      </c>
      <c r="K152" s="737">
        <f>J152*D152</f>
        <v/>
      </c>
      <c r="L152" s="738" t="n">
        <v>0.44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584" t="inlineStr">
        <is>
          <t>SPECIAL WORKS</t>
        </is>
      </c>
      <c r="C153" s="33" t="inlineStr">
        <is>
          <t>SELECT WORKS</t>
        </is>
      </c>
      <c r="D153" s="735" t="n"/>
      <c r="E153" s="753">
        <f>IF(C153="","",VLOOKUP(C153,CCBASE!$A$53:$D$73,4,FALSE))</f>
        <v/>
      </c>
      <c r="F153" s="754" t="n"/>
      <c r="G153" s="749" t="n"/>
      <c r="H153" s="750" t="n"/>
      <c r="I153" s="755" t="n"/>
      <c r="J153" s="736">
        <f>IF(C153="",0,VLOOKUP(C153,CCBASE!$A$53:$C$73,2,FALSE))</f>
        <v/>
      </c>
      <c r="K153" s="737">
        <f>J153*D153</f>
        <v/>
      </c>
      <c r="L153" s="738" t="n">
        <v>0.44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991" t="inlineStr">
        <is>
          <t>SPECIAL WORKS</t>
        </is>
      </c>
      <c r="C154" s="992" t="inlineStr">
        <is>
          <t>BIM/ REVIT per CANOPY</t>
        </is>
      </c>
      <c r="D154" s="980" t="n"/>
      <c r="E154" s="981">
        <f>IF(C154="","",VLOOKUP(C154,CCBASE!$A$53:$D$73,4,FALSE))</f>
        <v/>
      </c>
      <c r="F154" s="982" t="n"/>
      <c r="G154" s="977" t="n"/>
      <c r="H154" s="983" t="n"/>
      <c r="I154" s="984" t="n"/>
      <c r="J154" s="985">
        <f>IF(C154="",0,VLOOKUP(C154,CCBASE!$A$53:$C$73,2,FALSE))</f>
        <v/>
      </c>
      <c r="K154" s="986">
        <f>J154*D154</f>
        <v/>
      </c>
      <c r="L154" s="987" t="n">
        <v>0.44</v>
      </c>
      <c r="M154" s="988">
        <f>K154/(1-L154)*(1+$C$9)</f>
        <v/>
      </c>
      <c r="N154" s="986">
        <f>M154*VLOOKUP($B$9,'Base Costs'!$A$32:$B$37,2,FALSE)</f>
        <v/>
      </c>
      <c r="O154" s="989">
        <f>M154-K154</f>
        <v/>
      </c>
      <c r="P154" s="990" t="inlineStr">
        <is>
          <t>always include</t>
        </is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IF(NOT(ISBLANK(C155)), ROUNDUP(F150/1000,0), 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>
        <f>IF(ISNA(D159),0,(VLOOKUP(D159,'Base Costs'!$Q$4:$R$13,2,FALSE)))</f>
        <v/>
      </c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IF(ISNUMBER(SEARCH("UV",D167)),49.7,71.75)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68">
        <f>N165-N172</f>
        <v/>
      </c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731" t="inlineStr">
        <is>
          <t>SPECIAL WORKS</t>
        </is>
      </c>
      <c r="C169" s="752" t="inlineStr">
        <is>
          <t>SELECT WORKS</t>
        </is>
      </c>
      <c r="D169" s="735" t="n"/>
      <c r="E169" s="753">
        <f>IF(C169="","",VLOOKUP(C169,CCBASE!$A$53:$D$73,4,FALSE))</f>
        <v/>
      </c>
      <c r="F169" s="754" t="n"/>
      <c r="G169" s="749" t="n"/>
      <c r="H169" s="750" t="n"/>
      <c r="I169" s="755" t="n"/>
      <c r="J169" s="736">
        <f>IF(C169="",0,VLOOKUP(C169,CCBASE!$A$53:$C$73,2,FALSE))</f>
        <v/>
      </c>
      <c r="K169" s="737">
        <f>J169*D169</f>
        <v/>
      </c>
      <c r="L169" s="738" t="n">
        <v>0.44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584" t="inlineStr">
        <is>
          <t>SPECIAL WORKS</t>
        </is>
      </c>
      <c r="C170" s="33" t="inlineStr">
        <is>
          <t>SELECT WORKS</t>
        </is>
      </c>
      <c r="D170" s="735" t="n"/>
      <c r="E170" s="753">
        <f>IF(C170="","",VLOOKUP(C170,CCBASE!$A$53:$D$73,4,FALSE))</f>
        <v/>
      </c>
      <c r="F170" s="754" t="n"/>
      <c r="G170" s="749" t="n"/>
      <c r="H170" s="750" t="n"/>
      <c r="I170" s="755" t="n"/>
      <c r="J170" s="736">
        <f>IF(C170="",0,VLOOKUP(C170,CCBASE!$A$53:$C$73,2,FALSE))</f>
        <v/>
      </c>
      <c r="K170" s="737">
        <f>J170*D170</f>
        <v/>
      </c>
      <c r="L170" s="738" t="n">
        <v>0.44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991" t="inlineStr">
        <is>
          <t>SPECIAL WORKS</t>
        </is>
      </c>
      <c r="C171" s="992" t="inlineStr">
        <is>
          <t>BIM/ REVIT per CANOPY</t>
        </is>
      </c>
      <c r="D171" s="980" t="n"/>
      <c r="E171" s="981">
        <f>IF(C171="","",VLOOKUP(C171,CCBASE!$A$53:$D$73,4,FALSE))</f>
        <v/>
      </c>
      <c r="F171" s="982" t="n"/>
      <c r="G171" s="977" t="n"/>
      <c r="H171" s="983" t="n"/>
      <c r="I171" s="984" t="n"/>
      <c r="J171" s="985">
        <f>IF(C171="",0,VLOOKUP(C171,CCBASE!$A$53:$C$73,2,FALSE))</f>
        <v/>
      </c>
      <c r="K171" s="986">
        <f>J171*D171</f>
        <v/>
      </c>
      <c r="L171" s="987" t="n">
        <v>0.44</v>
      </c>
      <c r="M171" s="988">
        <f>K171/(1-L171)*(1+$C$9)</f>
        <v/>
      </c>
      <c r="N171" s="986">
        <f>M171*VLOOKUP($B$9,'Base Costs'!$A$32:$B$37,2,FALSE)</f>
        <v/>
      </c>
      <c r="O171" s="989">
        <f>M171-K171</f>
        <v/>
      </c>
      <c r="P171" s="990" t="inlineStr">
        <is>
          <t>always include</t>
        </is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IF(NOT(ISBLANK(C172)), ROUNDUP(F167/1000,0), 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>
        <f>IF(ISNA(D176),0,(VLOOKUP(D176,'Base Costs'!$Q$4:$R$13,2,FALSE)))</f>
        <v/>
      </c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10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P182" s="1068">
        <f>N182-N193</f>
        <v/>
      </c>
      <c r="S182" s="694" t="n"/>
    </row>
    <row r="183" ht="15" customHeight="1" s="1085">
      <c r="A183" s="666" t="n">
        <v>222</v>
      </c>
      <c r="B183" s="589" t="inlineStr">
        <is>
          <t>DELIVERY 1 x 7.5T TAIL LIFT 3200KGS</t>
        </is>
      </c>
      <c r="C183" s="774" t="n"/>
      <c r="D183" s="775" t="inlineStr">
        <is>
          <t>SELECT LOCATION…</t>
        </is>
      </c>
      <c r="E183" s="1111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Q183" s="745" t="n"/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/>
      <c r="D184" s="775" t="inlineStr">
        <is>
          <t>PLANT SELECTION (weekly)</t>
        </is>
      </c>
      <c r="E184" s="1108" t="inlineStr">
        <is>
          <t>Install of 6no Pieces of Canopy Max</t>
        </is>
      </c>
      <c r="G184" s="748" t="n"/>
      <c r="H184" s="748" t="n"/>
      <c r="I184" s="748" t="n"/>
      <c r="J184" s="776">
        <f>VLOOKUP(D184,'Base Costs'!$A$3:$B$15,2,FALSE)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269" t="inlineStr">
        <is>
          <t xml:space="preserve">PLANT HIRE </t>
        </is>
      </c>
      <c r="C185" s="777" t="n"/>
      <c r="D185" s="775" t="inlineStr">
        <is>
          <t>PLANT SELECTION (weekly)</t>
        </is>
      </c>
      <c r="E185" s="1108" t="inlineStr">
        <is>
          <t>Install of 6no Pieces of Canopy Max</t>
        </is>
      </c>
      <c r="G185" s="748" t="n"/>
      <c r="H185" s="748" t="n"/>
      <c r="I185" s="748" t="n"/>
      <c r="J185" s="776">
        <f>VLOOKUP(D185,'Base Costs'!$A$3:$B$15,2,FALSE)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S185" s="694" t="n"/>
    </row>
    <row r="186" ht="15" customHeight="1" s="1085">
      <c r="A186" s="666" t="n">
        <v>222</v>
      </c>
      <c r="B186" s="270" t="n"/>
      <c r="C186" s="946" t="n"/>
      <c r="D186" s="775" t="inlineStr">
        <is>
          <t>SELECT LOCATION…</t>
        </is>
      </c>
      <c r="E186" s="1109" t="n"/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610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>
        <f>ROUNDUP((IF(C14="WALL",(F14/1000),(F14/1000)*2)+IF(C31="WALL",(F31/1000),(F31/1000)*2)+IF(C48="WALL",(F48/1000),(F48/1000)*2)+IF(C65="WALL",(F65/1000),(F65/1000)*2)+IF(C82="WALL",(F82/1000),(F82/1000)*2)+IF(C99="WALL",(F99/1000),(F99/1000)*2)+IF(C116="WALL",(F116/1000),(F116/1000)*2)+IF(C133="WALL",(F133/1000),(F133/1000)*2)+IF(C150="WALL",(F150/1000),(F150/1000)*2)+IF(C167="WALL",(F167/1000),(F167/1000)*2)),0)</f>
        <v/>
      </c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731" t="inlineStr">
        <is>
          <t>INSTALLATION NORMAL HOURS</t>
        </is>
      </c>
      <c r="C189" s="777" t="n"/>
      <c r="D189" s="1102" t="inlineStr">
        <is>
          <t>2 Pieces = 1 Day, 4 Pieces = 1.5 Days, 6 Pieces = 2 Days, 8 Pieces = 2.5 Days (1 Section up to 3m long equals 2 Pieces) + logistics</t>
        </is>
      </c>
      <c r="J189" s="776" t="n">
        <v>610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S189" s="694" t="n"/>
    </row>
    <row r="190" ht="15" customHeight="1" s="1085">
      <c r="A190" s="666" t="n">
        <v>400</v>
      </c>
      <c r="B190" s="731" t="inlineStr">
        <is>
          <t>INSTALLATION AFTER HOURS</t>
        </is>
      </c>
      <c r="C190" s="777" t="n"/>
      <c r="D190" s="1102" t="inlineStr">
        <is>
          <t>2 Pieces = 1 Day, 4 Pieces = 1.5 Days, 6 Pieces = 2 Days, 8 Pieces = 2.5 Days (1 Section up to 3m long equals 2 Pieces) + logistics</t>
        </is>
      </c>
      <c r="J190" s="776" t="n">
        <v>1220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610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220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15" t="inlineStr">
        <is>
          <t>ONE Engineer,  1 day per 4no UV or W/W Sections of Canopy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9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09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20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2">
    <mergeCell ref="B203:O203"/>
    <mergeCell ref="H91:I91"/>
    <mergeCell ref="D189:I189"/>
    <mergeCell ref="E121:F121"/>
    <mergeCell ref="H38:I38"/>
    <mergeCell ref="H125:I125"/>
    <mergeCell ref="B200:O200"/>
    <mergeCell ref="G186:I186"/>
    <mergeCell ref="D194:F194"/>
    <mergeCell ref="C5:D5"/>
    <mergeCell ref="H141:I141"/>
    <mergeCell ref="E185:F185"/>
    <mergeCell ref="D197:F197"/>
    <mergeCell ref="B182:G182"/>
    <mergeCell ref="B202:O202"/>
    <mergeCell ref="H55:I55"/>
    <mergeCell ref="H40:I40"/>
    <mergeCell ref="H74:I74"/>
    <mergeCell ref="H176:I176"/>
    <mergeCell ref="H56:I56"/>
    <mergeCell ref="P7:R7"/>
    <mergeCell ref="E35:F35"/>
    <mergeCell ref="H39:I39"/>
    <mergeCell ref="E87:F87"/>
    <mergeCell ref="G9:J9"/>
    <mergeCell ref="H21:I21"/>
    <mergeCell ref="H73:I73"/>
    <mergeCell ref="H157:I157"/>
    <mergeCell ref="D195:E195"/>
    <mergeCell ref="D193:F193"/>
    <mergeCell ref="E138:F138"/>
    <mergeCell ref="E19:F19"/>
    <mergeCell ref="H142:I142"/>
    <mergeCell ref="E155:F155"/>
    <mergeCell ref="H89:I89"/>
    <mergeCell ref="H123:I123"/>
    <mergeCell ref="G5:J5"/>
    <mergeCell ref="B1:C1"/>
    <mergeCell ref="E9:F9"/>
    <mergeCell ref="H108:I108"/>
    <mergeCell ref="H106:I106"/>
    <mergeCell ref="E186:F186"/>
    <mergeCell ref="G183:I183"/>
    <mergeCell ref="E104:F104"/>
    <mergeCell ref="H72:I72"/>
    <mergeCell ref="H174:I174"/>
    <mergeCell ref="H90:I90"/>
    <mergeCell ref="B205:O205"/>
    <mergeCell ref="H57:I57"/>
    <mergeCell ref="G7:J7"/>
    <mergeCell ref="H159:I159"/>
    <mergeCell ref="E36:F36"/>
    <mergeCell ref="H22:I22"/>
    <mergeCell ref="E70:F70"/>
    <mergeCell ref="H140:I140"/>
    <mergeCell ref="H158:I158"/>
    <mergeCell ref="D196:E196"/>
    <mergeCell ref="E172:F172"/>
    <mergeCell ref="C7:D7"/>
    <mergeCell ref="D190:I190"/>
    <mergeCell ref="G3:J3"/>
    <mergeCell ref="E183:F183"/>
    <mergeCell ref="H124:I124"/>
    <mergeCell ref="B201:O201"/>
    <mergeCell ref="E184:F184"/>
    <mergeCell ref="H107:I107"/>
    <mergeCell ref="E53:F53"/>
    <mergeCell ref="B204:O204"/>
    <mergeCell ref="H23:I23"/>
    <mergeCell ref="C3:D3"/>
    <mergeCell ref="P5:T5"/>
    <mergeCell ref="H175:I175"/>
  </mergeCells>
  <conditionalFormatting sqref="B9">
    <cfRule type="containsText" priority="663" operator="containsText" dxfId="680" text="SELECT">
      <formula>NOT(ISERROR(SEARCH("SELECT",B9)))</formula>
    </cfRule>
    <cfRule type="expression" priority="664" dxfId="680">
      <formula>B9="CURRENCY"</formula>
    </cfRule>
  </conditionalFormatting>
  <conditionalFormatting sqref="B11">
    <cfRule type="expression" priority="626" dxfId="637">
      <formula>$B11&lt;&gt;""</formula>
    </cfRule>
  </conditionalFormatting>
  <conditionalFormatting sqref="B14:B23">
    <cfRule type="expression" priority="618" dxfId="633">
      <formula>$J14&gt;0</formula>
    </cfRule>
  </conditionalFormatting>
  <conditionalFormatting sqref="B24">
    <cfRule type="expression" priority="615" dxfId="633">
      <formula>ISNUMBER(SEARCH("UV",$D14))</formula>
    </cfRule>
    <cfRule type="expression" priority="616" dxfId="358">
      <formula>($D14="CANOPY TYPE")</formula>
    </cfRule>
  </conditionalFormatting>
  <conditionalFormatting sqref="B25:B27">
    <cfRule type="expression" priority="443" dxfId="633">
      <formula>$J25&gt;0</formula>
    </cfRule>
  </conditionalFormatting>
  <conditionalFormatting sqref="B28">
    <cfRule type="expression" priority="624" dxfId="637">
      <formula>$B28&lt;&gt;""</formula>
    </cfRule>
  </conditionalFormatting>
  <conditionalFormatting sqref="B31:B40">
    <cfRule type="expression" priority="388" dxfId="633">
      <formula>$J31&gt;0</formula>
    </cfRule>
  </conditionalFormatting>
  <conditionalFormatting sqref="B41">
    <cfRule type="expression" priority="583" dxfId="633">
      <formula>ISNUMBER(SEARCH("UV",$D31))</formula>
    </cfRule>
    <cfRule type="expression" priority="584" dxfId="358">
      <formula>($D31="CANOPY TYPE")</formula>
    </cfRule>
  </conditionalFormatting>
  <conditionalFormatting sqref="B42:B44">
    <cfRule type="expression" priority="585" dxfId="633">
      <formula>$J42&gt;0</formula>
    </cfRule>
  </conditionalFormatting>
  <conditionalFormatting sqref="B45">
    <cfRule type="expression" priority="623" dxfId="637">
      <formula>$B45&lt;&gt;""</formula>
    </cfRule>
  </conditionalFormatting>
  <conditionalFormatting sqref="B48:B57">
    <cfRule type="expression" priority="103" dxfId="633">
      <formula>$J48&gt;0</formula>
    </cfRule>
  </conditionalFormatting>
  <conditionalFormatting sqref="B58">
    <cfRule type="expression" priority="557" dxfId="358">
      <formula>($D48="CANOPY TYPE")</formula>
    </cfRule>
    <cfRule type="expression" priority="556" dxfId="633">
      <formula>ISNUMBER(SEARCH("UV",$D48))</formula>
    </cfRule>
  </conditionalFormatting>
  <conditionalFormatting sqref="B59:B61">
    <cfRule type="expression" priority="442" dxfId="633">
      <formula>$J59&gt;0</formula>
    </cfRule>
  </conditionalFormatting>
  <conditionalFormatting sqref="B62">
    <cfRule type="expression" priority="622" dxfId="637">
      <formula>$B62&lt;&gt;""</formula>
    </cfRule>
  </conditionalFormatting>
  <conditionalFormatting sqref="B65:B74">
    <cfRule type="expression" priority="89" dxfId="633">
      <formula>$J65&gt;0</formula>
    </cfRule>
  </conditionalFormatting>
  <conditionalFormatting sqref="B75">
    <cfRule type="expression" priority="528" dxfId="633">
      <formula>ISNUMBER(SEARCH("UV",$D65))</formula>
    </cfRule>
    <cfRule type="expression" priority="529" dxfId="358">
      <formula>($D65="CANOPY TYPE")</formula>
    </cfRule>
  </conditionalFormatting>
  <conditionalFormatting sqref="B76:B78">
    <cfRule type="expression" priority="441" dxfId="633">
      <formula>$J76&gt;0</formula>
    </cfRule>
  </conditionalFormatting>
  <conditionalFormatting sqref="B79">
    <cfRule type="expression" priority="621" dxfId="637">
      <formula>$B79&lt;&gt;""</formula>
    </cfRule>
  </conditionalFormatting>
  <conditionalFormatting sqref="B82:B91">
    <cfRule type="expression" priority="75" dxfId="633">
      <formula>$J82&gt;0</formula>
    </cfRule>
  </conditionalFormatting>
  <conditionalFormatting sqref="B92">
    <cfRule type="expression" priority="499" dxfId="633">
      <formula>ISNUMBER(SEARCH("UV",$D82))</formula>
    </cfRule>
    <cfRule type="expression" priority="500" dxfId="358">
      <formula>($D82="CANOPY TYPE")</formula>
    </cfRule>
  </conditionalFormatting>
  <conditionalFormatting sqref="B93:B95">
    <cfRule type="expression" priority="440" dxfId="633">
      <formula>$J93&gt;0</formula>
    </cfRule>
  </conditionalFormatting>
  <conditionalFormatting sqref="B96">
    <cfRule type="expression" priority="620" dxfId="637">
      <formula>$B96&lt;&gt;""</formula>
    </cfRule>
  </conditionalFormatting>
  <conditionalFormatting sqref="B99:B108">
    <cfRule type="expression" priority="61" dxfId="633">
      <formula>$J99&gt;0</formula>
    </cfRule>
  </conditionalFormatting>
  <conditionalFormatting sqref="B109">
    <cfRule type="expression" priority="472" dxfId="358">
      <formula>($D99="CANOPY TYPE")</formula>
    </cfRule>
    <cfRule type="expression" priority="471" dxfId="633">
      <formula>ISNUMBER(SEARCH("UV",$D99))</formula>
    </cfRule>
  </conditionalFormatting>
  <conditionalFormatting sqref="B110:B112 B127:B129 B144:B146 B161:B163 B178:B180">
    <cfRule type="expression" priority="439" dxfId="633">
      <formula>$J110&gt;0</formula>
    </cfRule>
  </conditionalFormatting>
  <conditionalFormatting sqref="B113">
    <cfRule type="expression" priority="320" dxfId="637">
      <formula>$B113&lt;&gt;""</formula>
    </cfRule>
  </conditionalFormatting>
  <conditionalFormatting sqref="B116:B125">
    <cfRule type="expression" priority="47" dxfId="633">
      <formula>$J116&gt;0</formula>
    </cfRule>
  </conditionalFormatting>
  <conditionalFormatting sqref="B126">
    <cfRule type="expression" priority="295" dxfId="633">
      <formula>ISNUMBER(SEARCH("UV",$D116))</formula>
    </cfRule>
    <cfRule type="expression" priority="296" dxfId="358">
      <formula>($D116="CANOPY TYPE")</formula>
    </cfRule>
  </conditionalFormatting>
  <conditionalFormatting sqref="B130">
    <cfRule type="expression" priority="265" dxfId="637">
      <formula>$B130&lt;&gt;""</formula>
    </cfRule>
  </conditionalFormatting>
  <conditionalFormatting sqref="B133:B142">
    <cfRule type="expression" priority="33" dxfId="633">
      <formula>$J133&gt;0</formula>
    </cfRule>
  </conditionalFormatting>
  <conditionalFormatting sqref="B143">
    <cfRule type="expression" priority="241" dxfId="358">
      <formula>($D133="CANOPY TYPE")</formula>
    </cfRule>
    <cfRule type="expression" priority="240" dxfId="633">
      <formula>ISNUMBER(SEARCH("UV",$D133))</formula>
    </cfRule>
  </conditionalFormatting>
  <conditionalFormatting sqref="B147">
    <cfRule type="expression" priority="214" dxfId="637">
      <formula>$B147&lt;&gt;""</formula>
    </cfRule>
  </conditionalFormatting>
  <conditionalFormatting sqref="B150:B159">
    <cfRule type="expression" priority="19" dxfId="633">
      <formula>$J150&gt;0</formula>
    </cfRule>
  </conditionalFormatting>
  <conditionalFormatting sqref="B160">
    <cfRule type="expression" priority="190" dxfId="358">
      <formula>($D150="CANOPY TYPE")</formula>
    </cfRule>
    <cfRule type="expression" priority="189" dxfId="633">
      <formula>ISNUMBER(SEARCH("UV",$D150))</formula>
    </cfRule>
  </conditionalFormatting>
  <conditionalFormatting sqref="B164">
    <cfRule type="expression" priority="163" dxfId="637">
      <formula>$B164&lt;&gt;""</formula>
    </cfRule>
  </conditionalFormatting>
  <conditionalFormatting sqref="B167:B176">
    <cfRule type="expression" priority="5" dxfId="633">
      <formula>$J167&gt;0</formula>
    </cfRule>
  </conditionalFormatting>
  <conditionalFormatting sqref="B177">
    <cfRule type="expression" priority="138" dxfId="633">
      <formula>ISNUMBER(SEARCH("UV",$D167))</formula>
    </cfRule>
    <cfRule type="expression" priority="139" dxfId="358">
      <formula>($D167="CANOPY TYPE")</formula>
    </cfRule>
  </conditionalFormatting>
  <conditionalFormatting sqref="B183:B197">
    <cfRule type="expression" priority="617" dxfId="633">
      <formula>$C183&gt;0</formula>
    </cfRule>
  </conditionalFormatting>
  <conditionalFormatting sqref="C14">
    <cfRule type="containsText" priority="429" operator="containsText" dxfId="204" text="CONFIG">
      <formula>NOT(ISERROR(SEARCH("CONFIG",C14)))</formula>
    </cfRule>
  </conditionalFormatting>
  <conditionalFormatting sqref="C15">
    <cfRule type="containsText" priority="434" operator="containsText" dxfId="561" text="LIGHT SELECTION">
      <formula>NOT(ISERROR(SEARCH("LIGHT SELECTION",C15)))</formula>
    </cfRule>
  </conditionalFormatting>
  <conditionalFormatting sqref="C20:C21">
    <cfRule type="cellIs" priority="669" operator="lessThan" dxfId="561">
      <formula>1</formula>
    </cfRule>
  </conditionalFormatting>
  <conditionalFormatting sqref="C22:C23">
    <cfRule type="expression" priority="409" dxfId="383">
      <formula>D22="WW PODS"</formula>
    </cfRule>
  </conditionalFormatting>
  <conditionalFormatting sqref="C24">
    <cfRule type="expression" priority="686" dxfId="559">
      <formula>ISNUMBER(SEARCH("UV",D14))</formula>
    </cfRule>
  </conditionalFormatting>
  <conditionalFormatting sqref="C25">
    <cfRule type="expression" priority="651" dxfId="472">
      <formula>(ISNUMBER(SEARCH("CMW",D14)))=TRUE</formula>
    </cfRule>
  </conditionalFormatting>
  <conditionalFormatting sqref="C26">
    <cfRule type="expression" priority="650" dxfId="472">
      <formula>(ISNUMBER(SEARCH("CMW",D14)))=TRUE</formula>
    </cfRule>
  </conditionalFormatting>
  <conditionalFormatting sqref="C27">
    <cfRule type="expression" priority="619" dxfId="472">
      <formula>(ISNUMBER(SEARCH("CMW",$D14)))=TRUE</formula>
    </cfRule>
  </conditionalFormatting>
  <conditionalFormatting sqref="C31">
    <cfRule type="containsText" priority="594" operator="containsText" dxfId="204" text="CONFIG">
      <formula>NOT(ISERROR(SEARCH("CONFIG",C31)))</formula>
    </cfRule>
  </conditionalFormatting>
  <conditionalFormatting sqref="C32">
    <cfRule type="containsText" priority="436" operator="containsText" dxfId="561" text="LIGHT SELECTION">
      <formula>NOT(ISERROR(SEARCH("LIGHT SELECTION",C32)))</formula>
    </cfRule>
  </conditionalFormatting>
  <conditionalFormatting sqref="C37:C38">
    <cfRule type="cellIs" priority="593" operator="lessThan" dxfId="561">
      <formula>1</formula>
    </cfRule>
  </conditionalFormatting>
  <conditionalFormatting sqref="C39:C40">
    <cfRule type="expression" priority="387" dxfId="383">
      <formula>D39="WW PODS"</formula>
    </cfRule>
  </conditionalFormatting>
  <conditionalFormatting sqref="C41">
    <cfRule type="expression" priority="608" dxfId="559">
      <formula>ISNUMBER(SEARCH("UV",D31))</formula>
    </cfRule>
  </conditionalFormatting>
  <conditionalFormatting sqref="C42">
    <cfRule type="expression" priority="591" dxfId="472">
      <formula>(ISNUMBER(SEARCH("CMW",D31)))=TRUE</formula>
    </cfRule>
  </conditionalFormatting>
  <conditionalFormatting sqref="C43">
    <cfRule type="expression" priority="468" dxfId="472">
      <formula>(ISNUMBER(SEARCH("CMW",D31)))=TRUE</formula>
    </cfRule>
  </conditionalFormatting>
  <conditionalFormatting sqref="C44">
    <cfRule type="expression" priority="586" dxfId="472">
      <formula>(ISNUMBER(SEARCH("CMW",$D31)))=TRUE</formula>
    </cfRule>
  </conditionalFormatting>
  <conditionalFormatting sqref="C48">
    <cfRule type="containsText" priority="563" operator="containsText" dxfId="204" text="CONFIG">
      <formula>NOT(ISERROR(SEARCH("CONFIG",C48)))</formula>
    </cfRule>
  </conditionalFormatting>
  <conditionalFormatting sqref="C49">
    <cfRule type="containsText" priority="433" operator="containsText" dxfId="561" text="LIGHT SELECTION">
      <formula>NOT(ISERROR(SEARCH("LIGHT SELECTION",C49)))</formula>
    </cfRule>
  </conditionalFormatting>
  <conditionalFormatting sqref="C54:C55">
    <cfRule type="cellIs" priority="562" operator="lessThan" dxfId="561">
      <formula>1</formula>
    </cfRule>
  </conditionalFormatting>
  <conditionalFormatting sqref="C56:C57">
    <cfRule type="expression" priority="368" dxfId="383">
      <formula>D56="WW PODS"</formula>
    </cfRule>
  </conditionalFormatting>
  <conditionalFormatting sqref="C58">
    <cfRule type="expression" priority="576" dxfId="559">
      <formula>ISNUMBER(SEARCH("UV",D48))</formula>
    </cfRule>
  </conditionalFormatting>
  <conditionalFormatting sqref="C59">
    <cfRule type="expression" priority="560" dxfId="472">
      <formula>(ISNUMBER(SEARCH("CMW",D48)))=TRUE</formula>
    </cfRule>
  </conditionalFormatting>
  <conditionalFormatting sqref="C60">
    <cfRule type="expression" priority="467" dxfId="472">
      <formula>(ISNUMBER(SEARCH("CMW",D48)))=TRUE</formula>
    </cfRule>
  </conditionalFormatting>
  <conditionalFormatting sqref="C61">
    <cfRule type="expression" priority="558" dxfId="472">
      <formula>(ISNUMBER(SEARCH("CMW",$D48)))=TRUE</formula>
    </cfRule>
  </conditionalFormatting>
  <conditionalFormatting sqref="C65">
    <cfRule type="containsText" priority="536" operator="containsText" dxfId="204" text="CONFIG">
      <formula>NOT(ISERROR(SEARCH("CONFIG",C65)))</formula>
    </cfRule>
  </conditionalFormatting>
  <conditionalFormatting sqref="C66">
    <cfRule type="containsText" priority="432" operator="containsText" dxfId="561" text="LIGHT SELECTION">
      <formula>NOT(ISERROR(SEARCH("LIGHT SELECTION",C66)))</formula>
    </cfRule>
  </conditionalFormatting>
  <conditionalFormatting sqref="C71:C72">
    <cfRule type="cellIs" priority="535" operator="lessThan" dxfId="561">
      <formula>1</formula>
    </cfRule>
  </conditionalFormatting>
  <conditionalFormatting sqref="C73:C74">
    <cfRule type="expression" priority="353" dxfId="383">
      <formula>D73="WW PODS"</formula>
    </cfRule>
  </conditionalFormatting>
  <conditionalFormatting sqref="C75">
    <cfRule type="expression" priority="549" dxfId="559">
      <formula>ISNUMBER(SEARCH("UV",D65))</formula>
    </cfRule>
  </conditionalFormatting>
  <conditionalFormatting sqref="C76">
    <cfRule type="expression" priority="532" dxfId="472">
      <formula>(ISNUMBER(SEARCH("CMW",D65)))=TRUE</formula>
    </cfRule>
  </conditionalFormatting>
  <conditionalFormatting sqref="C77">
    <cfRule type="expression" priority="466" dxfId="472">
      <formula>(ISNUMBER(SEARCH("CMW",D65)))=TRUE</formula>
    </cfRule>
  </conditionalFormatting>
  <conditionalFormatting sqref="C78">
    <cfRule type="expression" priority="530" dxfId="472">
      <formula>(ISNUMBER(SEARCH("CMW",$D65)))=TRUE</formula>
    </cfRule>
  </conditionalFormatting>
  <conditionalFormatting sqref="C82">
    <cfRule type="containsText" priority="507" operator="containsText" dxfId="204" text="CONFIG">
      <formula>NOT(ISERROR(SEARCH("CONFIG",C82)))</formula>
    </cfRule>
  </conditionalFormatting>
  <conditionalFormatting sqref="C83">
    <cfRule type="containsText" priority="431" operator="containsText" dxfId="561" text="LIGHT SELECTION">
      <formula>NOT(ISERROR(SEARCH("LIGHT SELECTION",C83)))</formula>
    </cfRule>
  </conditionalFormatting>
  <conditionalFormatting sqref="C88:C89">
    <cfRule type="cellIs" priority="506" operator="lessThan" dxfId="561">
      <formula>1</formula>
    </cfRule>
  </conditionalFormatting>
  <conditionalFormatting sqref="C90:C91">
    <cfRule type="expression" priority="338" dxfId="383">
      <formula>D90="WW PODS"</formula>
    </cfRule>
  </conditionalFormatting>
  <conditionalFormatting sqref="C92">
    <cfRule type="expression" priority="521" dxfId="559">
      <formula>ISNUMBER(SEARCH("UV",D82))</formula>
    </cfRule>
  </conditionalFormatting>
  <conditionalFormatting sqref="C93">
    <cfRule type="expression" priority="503" dxfId="472">
      <formula>(ISNUMBER(SEARCH("CMW",D82)))=TRUE</formula>
    </cfRule>
  </conditionalFormatting>
  <conditionalFormatting sqref="C94">
    <cfRule type="expression" priority="465" dxfId="472">
      <formula>(ISNUMBER(SEARCH("CMW",D82)))=TRUE</formula>
    </cfRule>
  </conditionalFormatting>
  <conditionalFormatting sqref="C95">
    <cfRule type="expression" priority="501" dxfId="472">
      <formula>(ISNUMBER(SEARCH("CMW",$D82)))=TRUE</formula>
    </cfRule>
  </conditionalFormatting>
  <conditionalFormatting sqref="C99">
    <cfRule type="containsText" priority="478" operator="containsText" dxfId="204" text="CONFIG">
      <formula>NOT(ISERROR(SEARCH("CONFIG",C99)))</formula>
    </cfRule>
  </conditionalFormatting>
  <conditionalFormatting sqref="C100">
    <cfRule type="containsText" priority="430" operator="containsText" dxfId="561" text="LIGHT SELECTION">
      <formula>NOT(ISERROR(SEARCH("LIGHT SELECTION",C100)))</formula>
    </cfRule>
  </conditionalFormatting>
  <conditionalFormatting sqref="C105:C106">
    <cfRule type="cellIs" priority="477" operator="lessThan" dxfId="561">
      <formula>1</formula>
    </cfRule>
  </conditionalFormatting>
  <conditionalFormatting sqref="C107:C108">
    <cfRule type="expression" priority="323" dxfId="383">
      <formula>D107="WW PODS"</formula>
    </cfRule>
  </conditionalFormatting>
  <conditionalFormatting sqref="C109">
    <cfRule type="expression" priority="492" dxfId="559">
      <formula>ISNUMBER(SEARCH("UV",D99))</formula>
    </cfRule>
  </conditionalFormatting>
  <conditionalFormatting sqref="C110">
    <cfRule type="expression" priority="475" dxfId="472">
      <formula>(ISNUMBER(SEARCH("CMW",D99)))=TRUE</formula>
    </cfRule>
  </conditionalFormatting>
  <conditionalFormatting sqref="C111">
    <cfRule type="expression" priority="464" dxfId="472">
      <formula>(ISNUMBER(SEARCH("CMW",D99)))=TRUE</formula>
    </cfRule>
  </conditionalFormatting>
  <conditionalFormatting sqref="C112 C129 C146 C163 C180">
    <cfRule type="expression" priority="473" dxfId="472">
      <formula>(ISNUMBER(SEARCH("CMW",$D99)))=TRUE</formula>
    </cfRule>
  </conditionalFormatting>
  <conditionalFormatting sqref="C116">
    <cfRule type="containsText" priority="301" operator="containsText" dxfId="204" text="CONFIG">
      <formula>NOT(ISERROR(SEARCH("CONFIG",C116)))</formula>
    </cfRule>
  </conditionalFormatting>
  <conditionalFormatting sqref="C117">
    <cfRule type="containsText" priority="288" operator="containsText" dxfId="561" text="LIGHT SELECTION">
      <formula>NOT(ISERROR(SEARCH("LIGHT SELECTION",C117)))</formula>
    </cfRule>
  </conditionalFormatting>
  <conditionalFormatting sqref="C122:C123">
    <cfRule type="cellIs" priority="300" operator="lessThan" dxfId="561">
      <formula>1</formula>
    </cfRule>
  </conditionalFormatting>
  <conditionalFormatting sqref="C124:C125">
    <cfRule type="expression" priority="272" dxfId="383">
      <formula>D124="WW PODS"</formula>
    </cfRule>
  </conditionalFormatting>
  <conditionalFormatting sqref="C126">
    <cfRule type="expression" priority="315" dxfId="559">
      <formula>ISNUMBER(SEARCH("UV",D116))</formula>
    </cfRule>
  </conditionalFormatting>
  <conditionalFormatting sqref="C127">
    <cfRule type="expression" priority="298" dxfId="472">
      <formula>(ISNUMBER(SEARCH("CMW",D116)))=TRUE</formula>
    </cfRule>
  </conditionalFormatting>
  <conditionalFormatting sqref="C128">
    <cfRule type="expression" priority="293" dxfId="472">
      <formula>(ISNUMBER(SEARCH("CMW",D116)))=TRUE</formula>
    </cfRule>
  </conditionalFormatting>
  <conditionalFormatting sqref="C133">
    <cfRule type="containsText" priority="246" operator="containsText" dxfId="204" text="CONFIG">
      <formula>NOT(ISERROR(SEARCH("CONFIG",C133)))</formula>
    </cfRule>
  </conditionalFormatting>
  <conditionalFormatting sqref="C134">
    <cfRule type="containsText" priority="233" operator="containsText" dxfId="561" text="LIGHT SELECTION">
      <formula>NOT(ISERROR(SEARCH("LIGHT SELECTION",C134)))</formula>
    </cfRule>
  </conditionalFormatting>
  <conditionalFormatting sqref="C139:C140">
    <cfRule type="cellIs" priority="245" operator="lessThan" dxfId="561">
      <formula>1</formula>
    </cfRule>
  </conditionalFormatting>
  <conditionalFormatting sqref="C141:C142">
    <cfRule type="expression" priority="217" dxfId="383">
      <formula>D141="WW PODS"</formula>
    </cfRule>
  </conditionalFormatting>
  <conditionalFormatting sqref="C143">
    <cfRule type="expression" priority="260" dxfId="559">
      <formula>ISNUMBER(SEARCH("UV",D133))</formula>
    </cfRule>
  </conditionalFormatting>
  <conditionalFormatting sqref="C144">
    <cfRule type="expression" priority="243" dxfId="472">
      <formula>(ISNUMBER(SEARCH("CMW",D133)))=TRUE</formula>
    </cfRule>
  </conditionalFormatting>
  <conditionalFormatting sqref="C145">
    <cfRule type="expression" priority="238" dxfId="472">
      <formula>(ISNUMBER(SEARCH("CMW",D133)))=TRUE</formula>
    </cfRule>
  </conditionalFormatting>
  <conditionalFormatting sqref="C150">
    <cfRule type="containsText" priority="195" operator="containsText" dxfId="204" text="CONFIG">
      <formula>NOT(ISERROR(SEARCH("CONFIG",C150)))</formula>
    </cfRule>
  </conditionalFormatting>
  <conditionalFormatting sqref="C151">
    <cfRule type="containsText" priority="182" operator="containsText" dxfId="561" text="LIGHT SELECTION">
      <formula>NOT(ISERROR(SEARCH("LIGHT SELECTION",C151)))</formula>
    </cfRule>
  </conditionalFormatting>
  <conditionalFormatting sqref="C156:C157">
    <cfRule type="cellIs" priority="194" operator="lessThan" dxfId="561">
      <formula>1</formula>
    </cfRule>
  </conditionalFormatting>
  <conditionalFormatting sqref="C158:C159">
    <cfRule type="expression" priority="166" dxfId="383">
      <formula>D158="WW PODS"</formula>
    </cfRule>
  </conditionalFormatting>
  <conditionalFormatting sqref="C160">
    <cfRule type="expression" priority="209" dxfId="559">
      <formula>ISNUMBER(SEARCH("UV",D150))</formula>
    </cfRule>
  </conditionalFormatting>
  <conditionalFormatting sqref="C161">
    <cfRule type="expression" priority="192" dxfId="472">
      <formula>(ISNUMBER(SEARCH("CMW",D150)))=TRUE</formula>
    </cfRule>
  </conditionalFormatting>
  <conditionalFormatting sqref="C162">
    <cfRule type="expression" priority="187" dxfId="472">
      <formula>(ISNUMBER(SEARCH("CMW",D150)))=TRUE</formula>
    </cfRule>
  </conditionalFormatting>
  <conditionalFormatting sqref="C167">
    <cfRule type="containsText" priority="144" operator="containsText" dxfId="204" text="CONFIG">
      <formula>NOT(ISERROR(SEARCH("CONFIG",C167)))</formula>
    </cfRule>
  </conditionalFormatting>
  <conditionalFormatting sqref="C168">
    <cfRule type="containsText" priority="131" operator="containsText" dxfId="561" text="LIGHT SELECTION">
      <formula>NOT(ISERROR(SEARCH("LIGHT SELECTION",C168)))</formula>
    </cfRule>
  </conditionalFormatting>
  <conditionalFormatting sqref="C173:C174">
    <cfRule type="cellIs" priority="143" operator="lessThan" dxfId="561">
      <formula>1</formula>
    </cfRule>
  </conditionalFormatting>
  <conditionalFormatting sqref="C175:C176">
    <cfRule type="expression" priority="115" dxfId="383">
      <formula>D175="WW PODS"</formula>
    </cfRule>
  </conditionalFormatting>
  <conditionalFormatting sqref="C177">
    <cfRule type="expression" priority="158" dxfId="559">
      <formula>ISNUMBER(SEARCH("UV",D167))</formula>
    </cfRule>
  </conditionalFormatting>
  <conditionalFormatting sqref="C178">
    <cfRule type="expression" priority="141" dxfId="472">
      <formula>(ISNUMBER(SEARCH("CMW",D167)))=TRUE</formula>
    </cfRule>
  </conditionalFormatting>
  <conditionalFormatting sqref="C179">
    <cfRule type="expression" priority="136" dxfId="472">
      <formula>(ISNUMBER(SEARCH("CMW",D167)))=TRUE</formula>
    </cfRule>
  </conditionalFormatting>
  <conditionalFormatting sqref="C183:C184">
    <cfRule type="cellIs" priority="671" operator="lessThan" dxfId="554">
      <formula>1</formula>
    </cfRule>
  </conditionalFormatting>
  <conditionalFormatting sqref="C185">
    <cfRule type="cellIs" priority="660" operator="lessThan" dxfId="164">
      <formula>1</formula>
    </cfRule>
  </conditionalFormatting>
  <conditionalFormatting sqref="C186:C197">
    <cfRule type="cellIs" priority="270" operator="lessThan" dxfId="554">
      <formula>1</formula>
    </cfRule>
  </conditionalFormatting>
  <conditionalFormatting sqref="C9:D9">
    <cfRule type="cellIs" priority="661" operator="lessThan" dxfId="207">
      <formula>0</formula>
    </cfRule>
    <cfRule type="cellIs" priority="662" operator="greaterThan" dxfId="552">
      <formula>0</formula>
    </cfRule>
  </conditionalFormatting>
  <conditionalFormatting sqref="D14">
    <cfRule type="containsText" priority="672" operator="containsText" dxfId="164" text="CANOPY TYPE">
      <formula>NOT(ISERROR(SEARCH("CANOPY TYPE",D14)))</formula>
    </cfRule>
  </conditionalFormatting>
  <conditionalFormatting sqref="D15">
    <cfRule type="expression" priority="425" dxfId="206">
      <formula>(C15="LIGHT SELECTION")</formula>
    </cfRule>
  </conditionalFormatting>
  <conditionalFormatting sqref="D16:D18">
    <cfRule type="expression" priority="627" dxfId="206">
      <formula>($C16="SELECT WORKS")</formula>
    </cfRule>
  </conditionalFormatting>
  <conditionalFormatting sqref="D19">
    <cfRule type="expression" priority="269" dxfId="206">
      <formula>$C19="SELECT CLADDING"</formula>
    </cfRule>
  </conditionalFormatting>
  <conditionalFormatting sqref="D22:D23">
    <cfRule type="expression" priority="408" dxfId="358">
      <formula>($D$14="CANOPY TYPE")</formula>
    </cfRule>
  </conditionalFormatting>
  <conditionalFormatting sqref="D24">
    <cfRule type="expression" priority="685" dxfId="474">
      <formula>ISNUMBER(SEARCH("UV",D14))</formula>
    </cfRule>
  </conditionalFormatting>
  <conditionalFormatting sqref="D25">
    <cfRule type="expression" priority="613" dxfId="358">
      <formula>($D$14="CANOPY TYPE")</formula>
    </cfRule>
  </conditionalFormatting>
  <conditionalFormatting sqref="D26">
    <cfRule type="expression" priority="635" dxfId="472">
      <formula>(ISNUMBER(SEARCH("CMW",D14)))=TRUE</formula>
    </cfRule>
  </conditionalFormatting>
  <conditionalFormatting sqref="D31">
    <cfRule type="containsText" priority="595" operator="containsText" dxfId="164" text="CANOPY TYPE">
      <formula>NOT(ISERROR(SEARCH("CANOPY TYPE",D31)))</formula>
    </cfRule>
  </conditionalFormatting>
  <conditionalFormatting sqref="D32">
    <cfRule type="expression" priority="438" dxfId="206">
      <formula>(C32="LIGHT SELECTION")</formula>
    </cfRule>
  </conditionalFormatting>
  <conditionalFormatting sqref="D33:D35">
    <cfRule type="expression" priority="588" dxfId="206">
      <formula>($C33="SELECT WORKS")</formula>
    </cfRule>
  </conditionalFormatting>
  <conditionalFormatting sqref="D36">
    <cfRule type="expression" priority="417" dxfId="206">
      <formula>$C36="SELECT CLADDING"</formula>
    </cfRule>
  </conditionalFormatting>
  <conditionalFormatting sqref="D39:D40">
    <cfRule type="expression" priority="382" dxfId="358">
      <formula>($D$14="CANOPY TYPE")</formula>
    </cfRule>
  </conditionalFormatting>
  <conditionalFormatting sqref="D41">
    <cfRule type="expression" priority="607" dxfId="474">
      <formula>ISNUMBER(SEARCH("UV",D31))</formula>
    </cfRule>
  </conditionalFormatting>
  <conditionalFormatting sqref="D42">
    <cfRule type="expression" priority="581" dxfId="358">
      <formula>($D$14="CANOPY TYPE")</formula>
    </cfRule>
  </conditionalFormatting>
  <conditionalFormatting sqref="D43">
    <cfRule type="expression" priority="590" dxfId="472">
      <formula>(ISNUMBER(SEARCH("CMW",D31)))=TRUE</formula>
    </cfRule>
  </conditionalFormatting>
  <conditionalFormatting sqref="D48">
    <cfRule type="containsText" priority="420" operator="containsText" dxfId="164" text="CANOPY TYPE">
      <formula>NOT(ISERROR(SEARCH("CANOPY TYPE",D48)))</formula>
    </cfRule>
  </conditionalFormatting>
  <conditionalFormatting sqref="D49">
    <cfRule type="expression" priority="435" dxfId="206">
      <formula>(C15="LIGHT SELECTION")</formula>
    </cfRule>
  </conditionalFormatting>
  <conditionalFormatting sqref="D50:D52">
    <cfRule type="expression" priority="111" dxfId="206">
      <formula>($C50="SELECT WORKS")</formula>
    </cfRule>
  </conditionalFormatting>
  <conditionalFormatting sqref="D53">
    <cfRule type="expression" priority="418" dxfId="206">
      <formula>$C53="SELECT CLADDING"</formula>
    </cfRule>
  </conditionalFormatting>
  <conditionalFormatting sqref="D56:D57">
    <cfRule type="expression" priority="367" dxfId="358">
      <formula>($D$14="CANOPY TYPE")</formula>
    </cfRule>
  </conditionalFormatting>
  <conditionalFormatting sqref="D58">
    <cfRule type="expression" priority="575" dxfId="474">
      <formula>ISNUMBER(SEARCH("UV",D48))</formula>
    </cfRule>
  </conditionalFormatting>
  <conditionalFormatting sqref="D59">
    <cfRule type="expression" priority="554" dxfId="358">
      <formula>($D$14="CANOPY TYPE")</formula>
    </cfRule>
  </conditionalFormatting>
  <conditionalFormatting sqref="D60">
    <cfRule type="expression" priority="559" dxfId="472">
      <formula>(ISNUMBER(SEARCH("CMW",D48)))=TRUE</formula>
    </cfRule>
  </conditionalFormatting>
  <conditionalFormatting sqref="D65">
    <cfRule type="containsText" priority="419" operator="containsText" dxfId="164" text="CANOPY TYPE">
      <formula>NOT(ISERROR(SEARCH("CANOPY TYPE",D65)))</formula>
    </cfRule>
  </conditionalFormatting>
  <conditionalFormatting sqref="D66">
    <cfRule type="expression" priority="428" dxfId="206">
      <formula>(C66="LIGHT SELECTION")</formula>
    </cfRule>
  </conditionalFormatting>
  <conditionalFormatting sqref="D67:D69">
    <cfRule type="expression" priority="97" dxfId="206">
      <formula>($C67="SELECT WORKS")</formula>
    </cfRule>
  </conditionalFormatting>
  <conditionalFormatting sqref="D70">
    <cfRule type="expression" priority="533" dxfId="206">
      <formula>$C70="SELECT CLADDING"</formula>
    </cfRule>
  </conditionalFormatting>
  <conditionalFormatting sqref="D73:D74">
    <cfRule type="expression" priority="352" dxfId="358">
      <formula>($D$14="CANOPY TYPE")</formula>
    </cfRule>
  </conditionalFormatting>
  <conditionalFormatting sqref="D75">
    <cfRule type="expression" priority="548" dxfId="474">
      <formula>ISNUMBER(SEARCH("UV",D65))</formula>
    </cfRule>
  </conditionalFormatting>
  <conditionalFormatting sqref="D76">
    <cfRule type="expression" priority="526" dxfId="358">
      <formula>($D$14="CANOPY TYPE")</formula>
    </cfRule>
  </conditionalFormatting>
  <conditionalFormatting sqref="D77">
    <cfRule type="expression" priority="531" dxfId="472">
      <formula>(ISNUMBER(SEARCH("CMW",D65)))=TRUE</formula>
    </cfRule>
  </conditionalFormatting>
  <conditionalFormatting sqref="D82">
    <cfRule type="containsText" priority="508" operator="containsText" dxfId="164" text="CANOPY TYPE">
      <formula>NOT(ISERROR(SEARCH("CANOPY TYPE",D82)))</formula>
    </cfRule>
  </conditionalFormatting>
  <conditionalFormatting sqref="D83">
    <cfRule type="expression" priority="427" dxfId="206">
      <formula>(C83="LIGHT SELECTION")</formula>
    </cfRule>
  </conditionalFormatting>
  <conditionalFormatting sqref="D84:D86">
    <cfRule type="expression" priority="83" dxfId="206">
      <formula>($C84="SELECT WORKS")</formula>
    </cfRule>
  </conditionalFormatting>
  <conditionalFormatting sqref="D87">
    <cfRule type="expression" priority="504" dxfId="206">
      <formula>$C87="SELECT CLADDING"</formula>
    </cfRule>
  </conditionalFormatting>
  <conditionalFormatting sqref="D90:D91">
    <cfRule type="expression" priority="337" dxfId="358">
      <formula>($D$14="CANOPY TYPE")</formula>
    </cfRule>
  </conditionalFormatting>
  <conditionalFormatting sqref="D92">
    <cfRule type="expression" priority="520" dxfId="474">
      <formula>ISNUMBER(SEARCH("UV",D82))</formula>
    </cfRule>
  </conditionalFormatting>
  <conditionalFormatting sqref="D93">
    <cfRule type="expression" priority="497" dxfId="358">
      <formula>($D$14="CANOPY TYPE")</formula>
    </cfRule>
  </conditionalFormatting>
  <conditionalFormatting sqref="D94">
    <cfRule type="expression" priority="502" dxfId="472">
      <formula>(ISNUMBER(SEARCH("CMW",D82)))=TRUE</formula>
    </cfRule>
  </conditionalFormatting>
  <conditionalFormatting sqref="D99">
    <cfRule type="containsText" priority="479" operator="containsText" dxfId="164" text="CANOPY TYPE">
      <formula>NOT(ISERROR(SEARCH("CANOPY TYPE",D99)))</formula>
    </cfRule>
  </conditionalFormatting>
  <conditionalFormatting sqref="D100">
    <cfRule type="expression" priority="426" dxfId="206">
      <formula>(C100="LIGHT SELECTION")</formula>
    </cfRule>
  </conditionalFormatting>
  <conditionalFormatting sqref="D101:D103">
    <cfRule type="expression" priority="69" dxfId="206">
      <formula>($C101="SELECT WORKS")</formula>
    </cfRule>
  </conditionalFormatting>
  <conditionalFormatting sqref="D104">
    <cfRule type="expression" priority="416" dxfId="206">
      <formula>$C104="SELECT CLADDING"</formula>
    </cfRule>
  </conditionalFormatting>
  <conditionalFormatting sqref="D107:D108">
    <cfRule type="expression" priority="322" dxfId="358">
      <formula>($D$14="CANOPY TYPE")</formula>
    </cfRule>
  </conditionalFormatting>
  <conditionalFormatting sqref="D109">
    <cfRule type="expression" priority="491" dxfId="474">
      <formula>ISNUMBER(SEARCH("UV",D99))</formula>
    </cfRule>
  </conditionalFormatting>
  <conditionalFormatting sqref="D110">
    <cfRule type="expression" priority="469" dxfId="358">
      <formula>($D$14="CANOPY TYPE")</formula>
    </cfRule>
  </conditionalFormatting>
  <conditionalFormatting sqref="D111">
    <cfRule type="expression" priority="474" dxfId="472">
      <formula>(ISNUMBER(SEARCH("CMW",D99)))=TRUE</formula>
    </cfRule>
  </conditionalFormatting>
  <conditionalFormatting sqref="D116">
    <cfRule type="containsText" priority="302" operator="containsText" dxfId="164" text="CANOPY TYPE">
      <formula>NOT(ISERROR(SEARCH("CANOPY TYPE",D116)))</formula>
    </cfRule>
  </conditionalFormatting>
  <conditionalFormatting sqref="D117">
    <cfRule type="expression" priority="287" dxfId="206">
      <formula>(C117="LIGHT SELECTION")</formula>
    </cfRule>
  </conditionalFormatting>
  <conditionalFormatting sqref="D118:D120">
    <cfRule type="expression" priority="55" dxfId="206">
      <formula>($C118="SELECT WORKS")</formula>
    </cfRule>
  </conditionalFormatting>
  <conditionalFormatting sqref="D121">
    <cfRule type="expression" priority="286" dxfId="206">
      <formula>$C121="SELECT CLADDING"</formula>
    </cfRule>
  </conditionalFormatting>
  <conditionalFormatting sqref="D124:D125">
    <cfRule type="expression" priority="271" dxfId="358">
      <formula>($D$14="CANOPY TYPE")</formula>
    </cfRule>
  </conditionalFormatting>
  <conditionalFormatting sqref="D126">
    <cfRule type="expression" priority="314" dxfId="474">
      <formula>ISNUMBER(SEARCH("UV",D116))</formula>
    </cfRule>
  </conditionalFormatting>
  <conditionalFormatting sqref="D127">
    <cfRule type="expression" priority="294" dxfId="358">
      <formula>($D$14="CANOPY TYPE")</formula>
    </cfRule>
  </conditionalFormatting>
  <conditionalFormatting sqref="D128">
    <cfRule type="expression" priority="297" dxfId="472">
      <formula>(ISNUMBER(SEARCH("CMW",D116)))=TRUE</formula>
    </cfRule>
  </conditionalFormatting>
  <conditionalFormatting sqref="D133">
    <cfRule type="containsText" priority="247" operator="containsText" dxfId="164" text="CANOPY TYPE">
      <formula>NOT(ISERROR(SEARCH("CANOPY TYPE",D133)))</formula>
    </cfRule>
  </conditionalFormatting>
  <conditionalFormatting sqref="D134">
    <cfRule type="expression" priority="232" dxfId="206">
      <formula>(C134="LIGHT SELECTION")</formula>
    </cfRule>
  </conditionalFormatting>
  <conditionalFormatting sqref="D135:D137">
    <cfRule type="expression" priority="41" dxfId="206">
      <formula>($C135="SELECT WORKS")</formula>
    </cfRule>
  </conditionalFormatting>
  <conditionalFormatting sqref="D138">
    <cfRule type="expression" priority="231" dxfId="206">
      <formula>$C138="SELECT CLADDING"</formula>
    </cfRule>
  </conditionalFormatting>
  <conditionalFormatting sqref="D141:D142">
    <cfRule type="expression" priority="216" dxfId="358">
      <formula>($D$14="CANOPY TYPE")</formula>
    </cfRule>
  </conditionalFormatting>
  <conditionalFormatting sqref="D143">
    <cfRule type="expression" priority="259" dxfId="474">
      <formula>ISNUMBER(SEARCH("UV",D133))</formula>
    </cfRule>
  </conditionalFormatting>
  <conditionalFormatting sqref="D144">
    <cfRule type="expression" priority="239" dxfId="358">
      <formula>($D$14="CANOPY TYPE")</formula>
    </cfRule>
  </conditionalFormatting>
  <conditionalFormatting sqref="D145">
    <cfRule type="expression" priority="242" dxfId="472">
      <formula>(ISNUMBER(SEARCH("CMW",D133)))=TRUE</formula>
    </cfRule>
  </conditionalFormatting>
  <conditionalFormatting sqref="D150">
    <cfRule type="containsText" priority="196" operator="containsText" dxfId="164" text="CANOPY TYPE">
      <formula>NOT(ISERROR(SEARCH("CANOPY TYPE",D150)))</formula>
    </cfRule>
  </conditionalFormatting>
  <conditionalFormatting sqref="D151">
    <cfRule type="expression" priority="181" dxfId="206">
      <formula>(C151="LIGHT SELECTION")</formula>
    </cfRule>
  </conditionalFormatting>
  <conditionalFormatting sqref="D152:D154">
    <cfRule type="expression" priority="27" dxfId="206">
      <formula>($C152="SELECT WORKS")</formula>
    </cfRule>
  </conditionalFormatting>
  <conditionalFormatting sqref="D155">
    <cfRule type="expression" priority="180" dxfId="206">
      <formula>$C155="SELECT CLADDING"</formula>
    </cfRule>
  </conditionalFormatting>
  <conditionalFormatting sqref="D158:D159">
    <cfRule type="expression" priority="165" dxfId="358">
      <formula>($D$14="CANOPY TYPE")</formula>
    </cfRule>
  </conditionalFormatting>
  <conditionalFormatting sqref="D160">
    <cfRule type="expression" priority="208" dxfId="474">
      <formula>ISNUMBER(SEARCH("UV",D150))</formula>
    </cfRule>
  </conditionalFormatting>
  <conditionalFormatting sqref="D161">
    <cfRule type="expression" priority="188" dxfId="358">
      <formula>($D$14="CANOPY TYPE")</formula>
    </cfRule>
  </conditionalFormatting>
  <conditionalFormatting sqref="D162">
    <cfRule type="expression" priority="191" dxfId="472">
      <formula>(ISNUMBER(SEARCH("CMW",D150)))=TRUE</formula>
    </cfRule>
  </conditionalFormatting>
  <conditionalFormatting sqref="D167">
    <cfRule type="containsText" priority="145" operator="containsText" dxfId="164" text="CANOPY TYPE">
      <formula>NOT(ISERROR(SEARCH("CANOPY TYPE",D167)))</formula>
    </cfRule>
  </conditionalFormatting>
  <conditionalFormatting sqref="D168">
    <cfRule type="expression" priority="130" dxfId="206">
      <formula>(C168="LIGHT SELECTION")</formula>
    </cfRule>
  </conditionalFormatting>
  <conditionalFormatting sqref="D169:D171">
    <cfRule type="expression" priority="13" dxfId="206">
      <formula>($C169="SELECT WORKS")</formula>
    </cfRule>
  </conditionalFormatting>
  <conditionalFormatting sqref="D172">
    <cfRule type="expression" priority="129" dxfId="206">
      <formula>$C172="SELECT CLADDING"</formula>
    </cfRule>
  </conditionalFormatting>
  <conditionalFormatting sqref="D175:D176">
    <cfRule type="expression" priority="114" dxfId="358">
      <formula>($D$14="CANOPY TYPE")</formula>
    </cfRule>
  </conditionalFormatting>
  <conditionalFormatting sqref="D177">
    <cfRule type="expression" priority="157" dxfId="474">
      <formula>ISNUMBER(SEARCH("UV",D167))</formula>
    </cfRule>
  </conditionalFormatting>
  <conditionalFormatting sqref="D178">
    <cfRule type="expression" priority="137" dxfId="358">
      <formula>($D$14="CANOPY TYPE")</formula>
    </cfRule>
  </conditionalFormatting>
  <conditionalFormatting sqref="D179">
    <cfRule type="expression" priority="140" dxfId="472">
      <formula>(ISNUMBER(SEARCH("CMW",D167)))=TRUE</formula>
    </cfRule>
  </conditionalFormatting>
  <conditionalFormatting sqref="E12">
    <cfRule type="cellIs" priority="684" operator="greaterThan" dxfId="204">
      <formula>2000</formula>
    </cfRule>
    <cfRule type="expression" priority="683" dxfId="387">
      <formula>ISNUMBER(SEARCH("I-MUAP",$D$14))</formula>
    </cfRule>
    <cfRule type="expression" priority="682" dxfId="386">
      <formula>AND((ISNUMBER(SEARCH("I-MUAP",$D$14))),E12&lt;2500)</formula>
    </cfRule>
  </conditionalFormatting>
  <conditionalFormatting sqref="E15">
    <cfRule type="expression" priority="423" dxfId="315">
      <formula>(C15="LIGHT SELECTION")</formula>
    </cfRule>
  </conditionalFormatting>
  <conditionalFormatting sqref="E16:E18">
    <cfRule type="expression" priority="113" dxfId="381">
      <formula>$C16="SELECT WORKS"</formula>
    </cfRule>
  </conditionalFormatting>
  <conditionalFormatting sqref="E22:E23">
    <cfRule type="expression" priority="665" dxfId="384">
      <formula>D22="WW PODS"</formula>
    </cfRule>
    <cfRule type="expression" priority="666" dxfId="383">
      <formula>D22="FILTER TYPE"</formula>
    </cfRule>
    <cfRule type="expression" priority="667" dxfId="382">
      <formula>D22="KSA"</formula>
    </cfRule>
    <cfRule type="expression" priority="687" dxfId="381">
      <formula>(D14="CANOPY TYPE")</formula>
    </cfRule>
  </conditionalFormatting>
  <conditionalFormatting sqref="E24">
    <cfRule type="containsText" priority="674" operator="containsText" dxfId="380" text="LONG ">
      <formula>NOT(ISERROR(SEARCH("LONG ",E24)))</formula>
    </cfRule>
  </conditionalFormatting>
  <conditionalFormatting sqref="E29">
    <cfRule type="expression" priority="604" dxfId="386">
      <formula>AND((ISNUMBER(SEARCH("I-MUAP",$D$14))),E29&lt;2500)</formula>
    </cfRule>
    <cfRule type="expression" priority="605" dxfId="387">
      <formula>ISNUMBER(SEARCH("I-MUAP",$D$14))</formula>
    </cfRule>
    <cfRule type="cellIs" priority="606" operator="greaterThan" dxfId="204">
      <formula>2000</formula>
    </cfRule>
  </conditionalFormatting>
  <conditionalFormatting sqref="E33:E34">
    <cfRule type="expression" priority="587" dxfId="381">
      <formula>$C33="SELECT WORKS"</formula>
    </cfRule>
  </conditionalFormatting>
  <conditionalFormatting sqref="E39:E40">
    <cfRule type="expression" priority="397" dxfId="382">
      <formula>D39="KSA"</formula>
    </cfRule>
    <cfRule type="expression" priority="398" dxfId="381">
      <formula>(D31="CANOPY TYPE")</formula>
    </cfRule>
    <cfRule type="expression" priority="396" dxfId="383">
      <formula>D39="FILTER TYPE"</formula>
    </cfRule>
    <cfRule type="expression" priority="395" dxfId="384">
      <formula>D39="WW PODS"</formula>
    </cfRule>
  </conditionalFormatting>
  <conditionalFormatting sqref="E41">
    <cfRule type="containsText" priority="597" operator="containsText" dxfId="380" text="LONG ">
      <formula>NOT(ISERROR(SEARCH("LONG ",E41)))</formula>
    </cfRule>
  </conditionalFormatting>
  <conditionalFormatting sqref="E46">
    <cfRule type="cellIs" priority="574" operator="greaterThan" dxfId="204">
      <formula>2000</formula>
    </cfRule>
    <cfRule type="expression" priority="573" dxfId="387">
      <formula>ISNUMBER(SEARCH("I-MUAP",$D$14))</formula>
    </cfRule>
    <cfRule type="expression" priority="572" dxfId="386">
      <formula>AND((ISNUMBER(SEARCH("I-MUAP",$D$14))),E46&lt;2500)</formula>
    </cfRule>
  </conditionalFormatting>
  <conditionalFormatting sqref="E49">
    <cfRule type="expression" priority="437" dxfId="315">
      <formula>(C49="LIGHT SELECTION")</formula>
    </cfRule>
  </conditionalFormatting>
  <conditionalFormatting sqref="E50:E52">
    <cfRule type="expression" priority="110" dxfId="381">
      <formula>$C50="SELECT WORKS"</formula>
    </cfRule>
  </conditionalFormatting>
  <conditionalFormatting sqref="E56:E57">
    <cfRule type="expression" priority="369" dxfId="384">
      <formula>D56="WW PODS"</formula>
    </cfRule>
    <cfRule type="expression" priority="370" dxfId="383">
      <formula>D56="FILTER TYPE"</formula>
    </cfRule>
    <cfRule type="expression" priority="372" dxfId="381">
      <formula>(D48="CANOPY TYPE")</formula>
    </cfRule>
    <cfRule type="expression" priority="371" dxfId="382">
      <formula>D56="KSA"</formula>
    </cfRule>
  </conditionalFormatting>
  <conditionalFormatting sqref="E58">
    <cfRule type="containsText" priority="565" operator="containsText" dxfId="380" text="LONG ">
      <formula>NOT(ISERROR(SEARCH("LONG ",E58)))</formula>
    </cfRule>
  </conditionalFormatting>
  <conditionalFormatting sqref="E63">
    <cfRule type="cellIs" priority="547" operator="greaterThan" dxfId="204">
      <formula>2000</formula>
    </cfRule>
    <cfRule type="expression" priority="546" dxfId="387">
      <formula>ISNUMBER(SEARCH("I-MUAP",$D$14))</formula>
    </cfRule>
    <cfRule type="expression" priority="545" dxfId="386">
      <formula>AND((ISNUMBER(SEARCH("I-MUAP",$D$14))),E63&lt;2500)</formula>
    </cfRule>
  </conditionalFormatting>
  <conditionalFormatting sqref="E67:E69">
    <cfRule type="expression" priority="96" dxfId="381">
      <formula>$C67="SELECT WORKS"</formula>
    </cfRule>
  </conditionalFormatting>
  <conditionalFormatting sqref="E73:E74">
    <cfRule type="expression" priority="354" dxfId="384">
      <formula>D73="WW PODS"</formula>
    </cfRule>
    <cfRule type="expression" priority="356" dxfId="382">
      <formula>D73="KSA"</formula>
    </cfRule>
    <cfRule type="expression" priority="357" dxfId="381">
      <formula>(D65="CANOPY TYPE")</formula>
    </cfRule>
    <cfRule type="expression" priority="355" dxfId="383">
      <formula>D73="FILTER TYPE"</formula>
    </cfRule>
  </conditionalFormatting>
  <conditionalFormatting sqref="E75">
    <cfRule type="containsText" priority="538" operator="containsText" dxfId="380" text="LONG ">
      <formula>NOT(ISERROR(SEARCH("LONG ",E75)))</formula>
    </cfRule>
  </conditionalFormatting>
  <conditionalFormatting sqref="E80">
    <cfRule type="cellIs" priority="519" operator="greaterThan" dxfId="204">
      <formula>2000</formula>
    </cfRule>
    <cfRule type="expression" priority="517" dxfId="386">
      <formula>AND((ISNUMBER(SEARCH("I-MUAP",$D$14))),E80&lt;2500)</formula>
    </cfRule>
    <cfRule type="expression" priority="518" dxfId="387">
      <formula>ISNUMBER(SEARCH("I-MUAP",$D$14))</formula>
    </cfRule>
  </conditionalFormatting>
  <conditionalFormatting sqref="E84:E86">
    <cfRule type="expression" priority="82" dxfId="381">
      <formula>$C84="SELECT WORKS"</formula>
    </cfRule>
  </conditionalFormatting>
  <conditionalFormatting sqref="E90:E91">
    <cfRule type="expression" priority="342" dxfId="381">
      <formula>(D82="CANOPY TYPE")</formula>
    </cfRule>
    <cfRule type="expression" priority="339" dxfId="384">
      <formula>D90="WW PODS"</formula>
    </cfRule>
    <cfRule type="expression" priority="340" dxfId="383">
      <formula>D90="FILTER TYPE"</formula>
    </cfRule>
    <cfRule type="expression" priority="341" dxfId="382">
      <formula>D90="KSA"</formula>
    </cfRule>
  </conditionalFormatting>
  <conditionalFormatting sqref="E92">
    <cfRule type="containsText" priority="510" operator="containsText" dxfId="380" text="LONG ">
      <formula>NOT(ISERROR(SEARCH("LONG ",E92)))</formula>
    </cfRule>
  </conditionalFormatting>
  <conditionalFormatting sqref="E97">
    <cfRule type="expression" priority="489" dxfId="387">
      <formula>ISNUMBER(SEARCH("I-MUAP",$D$14))</formula>
    </cfRule>
    <cfRule type="cellIs" priority="490" operator="greaterThan" dxfId="204">
      <formula>2000</formula>
    </cfRule>
    <cfRule type="expression" priority="488" dxfId="386">
      <formula>AND((ISNUMBER(SEARCH("I-MUAP",$D$14))),E97&lt;2500)</formula>
    </cfRule>
  </conditionalFormatting>
  <conditionalFormatting sqref="E101:E103">
    <cfRule type="expression" priority="68" dxfId="381">
      <formula>$C101="SELECT WORKS"</formula>
    </cfRule>
  </conditionalFormatting>
  <conditionalFormatting sqref="E107:E108">
    <cfRule type="expression" priority="324" dxfId="384">
      <formula>D107="WW PODS"</formula>
    </cfRule>
    <cfRule type="expression" priority="325" dxfId="383">
      <formula>D107="FILTER TYPE"</formula>
    </cfRule>
    <cfRule type="expression" priority="326" dxfId="382">
      <formula>D107="KSA"</formula>
    </cfRule>
    <cfRule type="expression" priority="327" dxfId="381">
      <formula>(D99="CANOPY TYPE")</formula>
    </cfRule>
  </conditionalFormatting>
  <conditionalFormatting sqref="E109">
    <cfRule type="containsText" priority="481" operator="containsText" dxfId="380" text="LONG ">
      <formula>NOT(ISERROR(SEARCH("LONG ",E109)))</formula>
    </cfRule>
  </conditionalFormatting>
  <conditionalFormatting sqref="E114">
    <cfRule type="cellIs" priority="313" operator="greaterThan" dxfId="204">
      <formula>2000</formula>
    </cfRule>
    <cfRule type="expression" priority="312" dxfId="387">
      <formula>ISNUMBER(SEARCH("I-MUAP",$D$14))</formula>
    </cfRule>
    <cfRule type="expression" priority="311" dxfId="386">
      <formula>AND((ISNUMBER(SEARCH("I-MUAP",$D$14))),E114&lt;2500)</formula>
    </cfRule>
  </conditionalFormatting>
  <conditionalFormatting sqref="E118:E120">
    <cfRule type="expression" priority="54" dxfId="381">
      <formula>$C118="SELECT WORKS"</formula>
    </cfRule>
  </conditionalFormatting>
  <conditionalFormatting sqref="E124:E125">
    <cfRule type="expression" priority="273" dxfId="384">
      <formula>D124="WW PODS"</formula>
    </cfRule>
    <cfRule type="expression" priority="276" dxfId="381">
      <formula>(D116="CANOPY TYPE")</formula>
    </cfRule>
    <cfRule type="expression" priority="275" dxfId="382">
      <formula>D124="KSA"</formula>
    </cfRule>
    <cfRule type="expression" priority="274" dxfId="383">
      <formula>D124="FILTER TYPE"</formula>
    </cfRule>
  </conditionalFormatting>
  <conditionalFormatting sqref="E126">
    <cfRule type="containsText" priority="304" operator="containsText" dxfId="380" text="LONG ">
      <formula>NOT(ISERROR(SEARCH("LONG ",E126)))</formula>
    </cfRule>
  </conditionalFormatting>
  <conditionalFormatting sqref="E131">
    <cfRule type="expression" priority="257" dxfId="387">
      <formula>ISNUMBER(SEARCH("I-MUAP",$D$14))</formula>
    </cfRule>
    <cfRule type="cellIs" priority="258" operator="greaterThan" dxfId="204">
      <formula>2000</formula>
    </cfRule>
    <cfRule type="expression" priority="256" dxfId="386">
      <formula>AND((ISNUMBER(SEARCH("I-MUAP",$D$14))),E131&lt;2500)</formula>
    </cfRule>
  </conditionalFormatting>
  <conditionalFormatting sqref="E135:E137">
    <cfRule type="expression" priority="40" dxfId="381">
      <formula>$C135="SELECT WORKS"</formula>
    </cfRule>
  </conditionalFormatting>
  <conditionalFormatting sqref="E141:E142">
    <cfRule type="expression" priority="221" dxfId="381">
      <formula>(D133="CANOPY TYPE")</formula>
    </cfRule>
    <cfRule type="expression" priority="220" dxfId="382">
      <formula>D141="KSA"</formula>
    </cfRule>
    <cfRule type="expression" priority="218" dxfId="384">
      <formula>D141="WW PODS"</formula>
    </cfRule>
    <cfRule type="expression" priority="219" dxfId="383">
      <formula>D141="FILTER TYPE"</formula>
    </cfRule>
  </conditionalFormatting>
  <conditionalFormatting sqref="E143">
    <cfRule type="containsText" priority="249" operator="containsText" dxfId="380" text="LONG ">
      <formula>NOT(ISERROR(SEARCH("LONG ",E143)))</formula>
    </cfRule>
  </conditionalFormatting>
  <conditionalFormatting sqref="E148">
    <cfRule type="cellIs" priority="207" operator="greaterThan" dxfId="204">
      <formula>2000</formula>
    </cfRule>
    <cfRule type="expression" priority="206" dxfId="387">
      <formula>ISNUMBER(SEARCH("I-MUAP",$D$14))</formula>
    </cfRule>
    <cfRule type="expression" priority="205" dxfId="386">
      <formula>AND((ISNUMBER(SEARCH("I-MUAP",$D$14))),E148&lt;2500)</formula>
    </cfRule>
  </conditionalFormatting>
  <conditionalFormatting sqref="E152:E154">
    <cfRule type="expression" priority="26" dxfId="381">
      <formula>$C152="SELECT WORKS"</formula>
    </cfRule>
  </conditionalFormatting>
  <conditionalFormatting sqref="E158:E159">
    <cfRule type="expression" priority="169" dxfId="382">
      <formula>D158="KSA"</formula>
    </cfRule>
    <cfRule type="expression" priority="167" dxfId="384">
      <formula>D158="WW PODS"</formula>
    </cfRule>
    <cfRule type="expression" priority="168" dxfId="383">
      <formula>D158="FILTER TYPE"</formula>
    </cfRule>
    <cfRule type="expression" priority="170" dxfId="381">
      <formula>(D150="CANOPY TYPE")</formula>
    </cfRule>
  </conditionalFormatting>
  <conditionalFormatting sqref="E160">
    <cfRule type="containsText" priority="198" operator="containsText" dxfId="380" text="LONG ">
      <formula>NOT(ISERROR(SEARCH("LONG ",E160)))</formula>
    </cfRule>
  </conditionalFormatting>
  <conditionalFormatting sqref="E165">
    <cfRule type="cellIs" priority="156" operator="greaterThan" dxfId="204">
      <formula>2000</formula>
    </cfRule>
    <cfRule type="expression" priority="155" dxfId="387">
      <formula>ISNUMBER(SEARCH("I-MUAP",$D$14))</formula>
    </cfRule>
    <cfRule type="expression" priority="154" dxfId="386">
      <formula>AND((ISNUMBER(SEARCH("I-MUAP",$D$14))),E165&lt;2500)</formula>
    </cfRule>
  </conditionalFormatting>
  <conditionalFormatting sqref="E169:E171">
    <cfRule type="expression" priority="12" dxfId="381">
      <formula>$C169="SELECT WORKS"</formula>
    </cfRule>
  </conditionalFormatting>
  <conditionalFormatting sqref="E175:E176">
    <cfRule type="expression" priority="116" dxfId="384">
      <formula>D175="WW PODS"</formula>
    </cfRule>
    <cfRule type="expression" priority="117" dxfId="383">
      <formula>D175="FILTER TYPE"</formula>
    </cfRule>
    <cfRule type="expression" priority="118" dxfId="382">
      <formula>D175="KSA"</formula>
    </cfRule>
    <cfRule type="expression" priority="119" dxfId="381">
      <formula>(D167="CANOPY TYPE")</formula>
    </cfRule>
  </conditionalFormatting>
  <conditionalFormatting sqref="E177">
    <cfRule type="containsText" priority="147" operator="containsText" dxfId="380" text="LONG ">
      <formula>NOT(ISERROR(SEARCH("LONG ",E177)))</formula>
    </cfRule>
  </conditionalFormatting>
  <conditionalFormatting sqref="E12:F12">
    <cfRule type="cellIs" priority="678" operator="lessThan" dxfId="204">
      <formula>1000</formula>
    </cfRule>
  </conditionalFormatting>
  <conditionalFormatting sqref="E14:F14">
    <cfRule type="cellIs" priority="675" operator="lessThan" dxfId="164">
      <formula>1000</formula>
    </cfRule>
  </conditionalFormatting>
  <conditionalFormatting sqref="E25:F27">
    <cfRule type="expression" priority="614" dxfId="358">
      <formula>($D$14="CANOPY TYPE")</formula>
    </cfRule>
  </conditionalFormatting>
  <conditionalFormatting sqref="E29:F29">
    <cfRule type="cellIs" priority="601" operator="lessThan" dxfId="204">
      <formula>1000</formula>
    </cfRule>
  </conditionalFormatting>
  <conditionalFormatting sqref="E31:F31">
    <cfRule type="cellIs" priority="598" operator="lessThan" dxfId="164">
      <formula>1000</formula>
    </cfRule>
  </conditionalFormatting>
  <conditionalFormatting sqref="E32:F32">
    <cfRule type="expression" priority="461" dxfId="315">
      <formula>(C32="LIGHT SELECTION")</formula>
    </cfRule>
  </conditionalFormatting>
  <conditionalFormatting sqref="E42:F44">
    <cfRule type="expression" priority="582" dxfId="358">
      <formula>($D$14="CANOPY TYPE")</formula>
    </cfRule>
  </conditionalFormatting>
  <conditionalFormatting sqref="E46:F46">
    <cfRule type="cellIs" priority="569" operator="lessThan" dxfId="204">
      <formula>1000</formula>
    </cfRule>
  </conditionalFormatting>
  <conditionalFormatting sqref="E48:F48">
    <cfRule type="cellIs" priority="566" operator="lessThan" dxfId="164">
      <formula>1000</formula>
    </cfRule>
  </conditionalFormatting>
  <conditionalFormatting sqref="E59:F61">
    <cfRule type="expression" priority="555" dxfId="358">
      <formula>($D$14="CANOPY TYPE")</formula>
    </cfRule>
  </conditionalFormatting>
  <conditionalFormatting sqref="E63:F63">
    <cfRule type="cellIs" priority="542" operator="lessThan" dxfId="204">
      <formula>1000</formula>
    </cfRule>
  </conditionalFormatting>
  <conditionalFormatting sqref="E65:F65">
    <cfRule type="cellIs" priority="539" operator="lessThan" dxfId="164">
      <formula>1000</formula>
    </cfRule>
  </conditionalFormatting>
  <conditionalFormatting sqref="E66:F66">
    <cfRule type="expression" priority="454" dxfId="315">
      <formula>(C66="LIGHT SELECTION")</formula>
    </cfRule>
  </conditionalFormatting>
  <conditionalFormatting sqref="E76:F78">
    <cfRule type="expression" priority="527" dxfId="358">
      <formula>($D$14="CANOPY TYPE")</formula>
    </cfRule>
  </conditionalFormatting>
  <conditionalFormatting sqref="E80:F80">
    <cfRule type="cellIs" priority="514" operator="lessThan" dxfId="204">
      <formula>1000</formula>
    </cfRule>
  </conditionalFormatting>
  <conditionalFormatting sqref="E82:F82">
    <cfRule type="cellIs" priority="511" operator="lessThan" dxfId="164">
      <formula>1000</formula>
    </cfRule>
  </conditionalFormatting>
  <conditionalFormatting sqref="E83:F83">
    <cfRule type="expression" priority="450" dxfId="315">
      <formula>(C83="LIGHT SELECTION")</formula>
    </cfRule>
  </conditionalFormatting>
  <conditionalFormatting sqref="E93:F95">
    <cfRule type="expression" priority="498" dxfId="358">
      <formula>($D$14="CANOPY TYPE")</formula>
    </cfRule>
  </conditionalFormatting>
  <conditionalFormatting sqref="E97:F97">
    <cfRule type="cellIs" priority="485" operator="lessThan" dxfId="204">
      <formula>1000</formula>
    </cfRule>
  </conditionalFormatting>
  <conditionalFormatting sqref="E99:F99">
    <cfRule type="cellIs" priority="482" operator="lessThan" dxfId="164">
      <formula>1000</formula>
    </cfRule>
  </conditionalFormatting>
  <conditionalFormatting sqref="E100:F100">
    <cfRule type="expression" priority="446" dxfId="315">
      <formula>(C100="LIGHT SELECTION")</formula>
    </cfRule>
  </conditionalFormatting>
  <conditionalFormatting sqref="E110:F112 E127:F129 E144:F146 E161:F163 E178:F180">
    <cfRule type="expression" priority="470" dxfId="358">
      <formula>($D$14="CANOPY TYPE")</formula>
    </cfRule>
  </conditionalFormatting>
  <conditionalFormatting sqref="E114:F114">
    <cfRule type="cellIs" priority="308" operator="lessThan" dxfId="204">
      <formula>1000</formula>
    </cfRule>
  </conditionalFormatting>
  <conditionalFormatting sqref="E116:F116">
    <cfRule type="cellIs" priority="305" operator="lessThan" dxfId="164">
      <formula>1000</formula>
    </cfRule>
  </conditionalFormatting>
  <conditionalFormatting sqref="E117:F117">
    <cfRule type="expression" priority="291" dxfId="315">
      <formula>(C117="LIGHT SELECTION")</formula>
    </cfRule>
  </conditionalFormatting>
  <conditionalFormatting sqref="E131:F131">
    <cfRule type="cellIs" priority="253" operator="lessThan" dxfId="204">
      <formula>1000</formula>
    </cfRule>
  </conditionalFormatting>
  <conditionalFormatting sqref="E133:F133">
    <cfRule type="cellIs" priority="250" operator="lessThan" dxfId="164">
      <formula>1000</formula>
    </cfRule>
  </conditionalFormatting>
  <conditionalFormatting sqref="E134:F134">
    <cfRule type="expression" priority="236" dxfId="315">
      <formula>(C134="LIGHT SELECTION")</formula>
    </cfRule>
  </conditionalFormatting>
  <conditionalFormatting sqref="E148:F148">
    <cfRule type="cellIs" priority="202" operator="lessThan" dxfId="204">
      <formula>1000</formula>
    </cfRule>
  </conditionalFormatting>
  <conditionalFormatting sqref="E150:F150">
    <cfRule type="cellIs" priority="199" operator="lessThan" dxfId="164">
      <formula>1000</formula>
    </cfRule>
  </conditionalFormatting>
  <conditionalFormatting sqref="E151:F151">
    <cfRule type="expression" priority="185" dxfId="315">
      <formula>(C151="LIGHT SELECTION")</formula>
    </cfRule>
  </conditionalFormatting>
  <conditionalFormatting sqref="E165:F165">
    <cfRule type="cellIs" priority="151" operator="lessThan" dxfId="204">
      <formula>1000</formula>
    </cfRule>
  </conditionalFormatting>
  <conditionalFormatting sqref="E167:F167">
    <cfRule type="cellIs" priority="148" operator="lessThan" dxfId="164">
      <formula>1000</formula>
    </cfRule>
  </conditionalFormatting>
  <conditionalFormatting sqref="E168:F168">
    <cfRule type="expression" priority="134" dxfId="315">
      <formula>(C168="LIGHT SELECTION")</formula>
    </cfRule>
  </conditionalFormatting>
  <conditionalFormatting sqref="F12">
    <cfRule type="cellIs" priority="679" operator="greaterThan" dxfId="204">
      <formula>3001</formula>
    </cfRule>
  </conditionalFormatting>
  <conditionalFormatting sqref="F15">
    <cfRule type="expression" priority="668" dxfId="215">
      <formula>(C15="LIGHT SELECTION")</formula>
    </cfRule>
    <cfRule type="expression" priority="670" dxfId="216">
      <formula>(C15="FLO")</formula>
    </cfRule>
    <cfRule type="expression" priority="463" dxfId="214">
      <formula>(C15="LED STRIP")</formula>
    </cfRule>
    <cfRule type="expression" priority="701" dxfId="315">
      <formula>(D49="LIGHT SELECTION")</formula>
    </cfRule>
  </conditionalFormatting>
  <conditionalFormatting sqref="F22:F23">
    <cfRule type="expression" priority="700" dxfId="205">
      <formula>D22="KSA"</formula>
    </cfRule>
    <cfRule type="expression" priority="692" dxfId="206">
      <formula>D22="NF"</formula>
    </cfRule>
    <cfRule type="expression" priority="693" dxfId="208">
      <formula>D22="WW PODS"</formula>
    </cfRule>
    <cfRule type="expression" priority="694" dxfId="206">
      <formula>D22="GRILLE"</formula>
    </cfRule>
    <cfRule type="expression" priority="695" dxfId="206">
      <formula>D22="CENTREX"</formula>
    </cfRule>
    <cfRule type="expression" priority="696" dxfId="206" stopIfTrue="1">
      <formula>D14="canopy type"</formula>
    </cfRule>
    <cfRule type="expression" priority="697" dxfId="207">
      <formula>(((I14*3600)/(C22*I11))^2+20)&gt;300</formula>
    </cfRule>
    <cfRule type="expression" priority="698" dxfId="205" stopIfTrue="1">
      <formula>(ISNUMBER(SEARCH("UV",D14)))</formula>
    </cfRule>
    <cfRule type="expression" priority="699" dxfId="207">
      <formula>(((I14*3600)/(C22*I11))^2+20)&gt;180</formula>
    </cfRule>
  </conditionalFormatting>
  <conditionalFormatting sqref="F24">
    <cfRule type="cellIs" priority="673" operator="lessThan" dxfId="204">
      <formula>2100</formula>
    </cfRule>
  </conditionalFormatting>
  <conditionalFormatting sqref="F29">
    <cfRule type="cellIs" priority="602" operator="greaterThan" dxfId="204">
      <formula>3001</formula>
    </cfRule>
  </conditionalFormatting>
  <conditionalFormatting sqref="F32">
    <cfRule type="expression" priority="462" dxfId="216">
      <formula>(C32="FLO")</formula>
    </cfRule>
    <cfRule type="expression" priority="460" dxfId="215">
      <formula>(C32="LIGHT SELECTION")</formula>
    </cfRule>
    <cfRule type="expression" priority="459" dxfId="214">
      <formula>(C32="LED STRIP")</formula>
    </cfRule>
  </conditionalFormatting>
  <conditionalFormatting sqref="F39:F40">
    <cfRule type="expression" priority="406" dxfId="207">
      <formula>(((I31*3600)/(C39*I28))^2+20)&gt;180</formula>
    </cfRule>
    <cfRule type="expression" priority="407" dxfId="205">
      <formula>D39="KSA"</formula>
    </cfRule>
    <cfRule type="expression" priority="399" dxfId="206">
      <formula>D39="NF"</formula>
    </cfRule>
    <cfRule type="expression" priority="400" dxfId="208">
      <formula>D39="WW PODS"</formula>
    </cfRule>
    <cfRule type="expression" priority="401" dxfId="206">
      <formula>D39="GRILLE"</formula>
    </cfRule>
    <cfRule type="expression" priority="402" dxfId="206">
      <formula>D39="CENTREX"</formula>
    </cfRule>
    <cfRule type="expression" priority="403" dxfId="206" stopIfTrue="1">
      <formula>D31="canopy type"</formula>
    </cfRule>
    <cfRule type="expression" priority="404" dxfId="207">
      <formula>(((I31*3600)/(C39*I28))^2+20)&gt;300</formula>
    </cfRule>
    <cfRule type="expression" priority="405" dxfId="205" stopIfTrue="1">
      <formula>(ISNUMBER(SEARCH("UV",D31)))</formula>
    </cfRule>
  </conditionalFormatting>
  <conditionalFormatting sqref="F41">
    <cfRule type="cellIs" priority="596" operator="lessThan" dxfId="204">
      <formula>2100</formula>
    </cfRule>
  </conditionalFormatting>
  <conditionalFormatting sqref="F46">
    <cfRule type="cellIs" priority="570" operator="greaterThan" dxfId="204">
      <formula>3001</formula>
    </cfRule>
  </conditionalFormatting>
  <conditionalFormatting sqref="F49">
    <cfRule type="expression" priority="702" dxfId="315">
      <formula>(#REF!="LIGHT SELECTION")</formula>
    </cfRule>
    <cfRule type="expression" priority="458" dxfId="216">
      <formula>(C49="FLO")</formula>
    </cfRule>
    <cfRule type="expression" priority="457" dxfId="215">
      <formula>(C49="LIGHT SELECTION")</formula>
    </cfRule>
    <cfRule type="expression" priority="456" dxfId="214">
      <formula>(C49="LED STRIP")</formula>
    </cfRule>
  </conditionalFormatting>
  <conditionalFormatting sqref="F56:F57">
    <cfRule type="expression" priority="379" dxfId="205" stopIfTrue="1">
      <formula>(ISNUMBER(SEARCH("UV",D48)))</formula>
    </cfRule>
    <cfRule type="expression" priority="380" dxfId="207">
      <formula>(((I48*3600)/(C56*I45))^2+20)&gt;180</formula>
    </cfRule>
    <cfRule type="expression" priority="378" dxfId="207">
      <formula>(((I48*3600)/(C56*I45))^2+20)&gt;300</formula>
    </cfRule>
    <cfRule type="expression" priority="377" dxfId="206" stopIfTrue="1">
      <formula>D48="canopy type"</formula>
    </cfRule>
    <cfRule type="expression" priority="376" dxfId="206">
      <formula>D56="CENTREX"</formula>
    </cfRule>
    <cfRule type="expression" priority="375" dxfId="206">
      <formula>D56="GRILLE"</formula>
    </cfRule>
    <cfRule type="expression" priority="374" dxfId="208">
      <formula>D56="WW PODS"</formula>
    </cfRule>
    <cfRule type="expression" priority="373" dxfId="206">
      <formula>D56="NF"</formula>
    </cfRule>
    <cfRule type="expression" priority="381" dxfId="205">
      <formula>D56="KSA"</formula>
    </cfRule>
  </conditionalFormatting>
  <conditionalFormatting sqref="F58">
    <cfRule type="cellIs" priority="564" operator="lessThan" dxfId="204">
      <formula>2100</formula>
    </cfRule>
  </conditionalFormatting>
  <conditionalFormatting sqref="F63">
    <cfRule type="cellIs" priority="543" operator="greaterThan" dxfId="204">
      <formula>3001</formula>
    </cfRule>
  </conditionalFormatting>
  <conditionalFormatting sqref="F66">
    <cfRule type="expression" priority="452" dxfId="214">
      <formula>(C66="LED STRIP")</formula>
    </cfRule>
    <cfRule type="expression" priority="453" dxfId="215">
      <formula>(C66="LIGHT SELECTION")</formula>
    </cfRule>
    <cfRule type="expression" priority="455" dxfId="216">
      <formula>(C66="FLO")</formula>
    </cfRule>
  </conditionalFormatting>
  <conditionalFormatting sqref="F73:F74">
    <cfRule type="expression" priority="358" dxfId="206">
      <formula>D73="NF"</formula>
    </cfRule>
    <cfRule type="expression" priority="359" dxfId="208">
      <formula>D73="WW PODS"</formula>
    </cfRule>
    <cfRule type="expression" priority="360" dxfId="206">
      <formula>D73="GRILLE"</formula>
    </cfRule>
    <cfRule type="expression" priority="361" dxfId="206">
      <formula>D73="CENTREX"</formula>
    </cfRule>
    <cfRule type="expression" priority="362" dxfId="206" stopIfTrue="1">
      <formula>D65="canopy type"</formula>
    </cfRule>
    <cfRule type="expression" priority="363" dxfId="207">
      <formula>(((I65*3600)/(C73*I62))^2+20)&gt;300</formula>
    </cfRule>
    <cfRule type="expression" priority="364" dxfId="205" stopIfTrue="1">
      <formula>(ISNUMBER(SEARCH("UV",D65)))</formula>
    </cfRule>
    <cfRule type="expression" priority="365" dxfId="207">
      <formula>(((I65*3600)/(C73*I62))^2+20)&gt;180</formula>
    </cfRule>
    <cfRule type="expression" priority="366" dxfId="205">
      <formula>D73="KSA"</formula>
    </cfRule>
  </conditionalFormatting>
  <conditionalFormatting sqref="F75">
    <cfRule type="cellIs" priority="537" operator="lessThan" dxfId="204">
      <formula>2100</formula>
    </cfRule>
  </conditionalFormatting>
  <conditionalFormatting sqref="F80">
    <cfRule type="cellIs" priority="515" operator="greaterThan" dxfId="204">
      <formula>3001</formula>
    </cfRule>
  </conditionalFormatting>
  <conditionalFormatting sqref="F83">
    <cfRule type="expression" priority="448" dxfId="214">
      <formula>(C83="LED STRIP")</formula>
    </cfRule>
    <cfRule type="expression" priority="451" dxfId="216">
      <formula>(C83="FLO")</formula>
    </cfRule>
    <cfRule type="expression" priority="449" dxfId="215">
      <formula>(C83="LIGHT SELECTION")</formula>
    </cfRule>
  </conditionalFormatting>
  <conditionalFormatting sqref="F90:F91">
    <cfRule type="expression" priority="343" dxfId="206">
      <formula>D90="NF"</formula>
    </cfRule>
    <cfRule type="expression" priority="344" dxfId="208">
      <formula>D90="WW PODS"</formula>
    </cfRule>
    <cfRule type="expression" priority="345" dxfId="206">
      <formula>D90="GRILLE"</formula>
    </cfRule>
    <cfRule type="expression" priority="346" dxfId="206">
      <formula>D90="CENTREX"</formula>
    </cfRule>
    <cfRule type="expression" priority="347" dxfId="206" stopIfTrue="1">
      <formula>D82="canopy type"</formula>
    </cfRule>
    <cfRule type="expression" priority="348" dxfId="207">
      <formula>(((I82*3600)/(C90*I79))^2+20)&gt;300</formula>
    </cfRule>
    <cfRule type="expression" priority="349" dxfId="205" stopIfTrue="1">
      <formula>(ISNUMBER(SEARCH("UV",D82)))</formula>
    </cfRule>
    <cfRule type="expression" priority="351" dxfId="205">
      <formula>D90="KSA"</formula>
    </cfRule>
    <cfRule type="expression" priority="350" dxfId="207">
      <formula>(((I82*3600)/(C90*I79))^2+20)&gt;180</formula>
    </cfRule>
  </conditionalFormatting>
  <conditionalFormatting sqref="F92">
    <cfRule type="cellIs" priority="509" operator="lessThan" dxfId="204">
      <formula>2100</formula>
    </cfRule>
  </conditionalFormatting>
  <conditionalFormatting sqref="F97">
    <cfRule type="cellIs" priority="486" operator="greaterThan" dxfId="204">
      <formula>3001</formula>
    </cfRule>
  </conditionalFormatting>
  <conditionalFormatting sqref="F100">
    <cfRule type="expression" priority="447" dxfId="216">
      <formula>(C100="FLO")</formula>
    </cfRule>
    <cfRule type="expression" priority="444" dxfId="214">
      <formula>(C100="LED STRIP")</formula>
    </cfRule>
    <cfRule type="expression" priority="445" dxfId="215">
      <formula>(C100="LIGHT SELECTION")</formula>
    </cfRule>
  </conditionalFormatting>
  <conditionalFormatting sqref="F107:F108">
    <cfRule type="expression" priority="329" dxfId="208">
      <formula>D107="WW PODS"</formula>
    </cfRule>
    <cfRule type="expression" priority="330" dxfId="206">
      <formula>D107="GRILLE"</formula>
    </cfRule>
    <cfRule type="expression" priority="334" dxfId="205" stopIfTrue="1">
      <formula>(ISNUMBER(SEARCH("UV",D99)))</formula>
    </cfRule>
    <cfRule type="expression" priority="333" dxfId="207">
      <formula>(((I99*3600)/(C107*I96))^2+20)&gt;300</formula>
    </cfRule>
    <cfRule type="expression" priority="335" dxfId="207">
      <formula>(((I99*3600)/(C107*I96))^2+20)&gt;180</formula>
    </cfRule>
    <cfRule type="expression" priority="332" dxfId="206" stopIfTrue="1">
      <formula>D99="canopy type"</formula>
    </cfRule>
    <cfRule type="expression" priority="331" dxfId="206">
      <formula>D107="CENTREX"</formula>
    </cfRule>
    <cfRule type="expression" priority="336" dxfId="205">
      <formula>D107="KSA"</formula>
    </cfRule>
    <cfRule type="expression" priority="328" dxfId="206">
      <formula>D107="NF"</formula>
    </cfRule>
  </conditionalFormatting>
  <conditionalFormatting sqref="F109">
    <cfRule type="cellIs" priority="480" operator="lessThan" dxfId="204">
      <formula>2100</formula>
    </cfRule>
  </conditionalFormatting>
  <conditionalFormatting sqref="F114">
    <cfRule type="cellIs" priority="309" operator="greaterThan" dxfId="204">
      <formula>3001</formula>
    </cfRule>
  </conditionalFormatting>
  <conditionalFormatting sqref="F117">
    <cfRule type="expression" priority="292" dxfId="216">
      <formula>(C117="FLO")</formula>
    </cfRule>
    <cfRule type="expression" priority="290" dxfId="215">
      <formula>(C117="LIGHT SELECTION")</formula>
    </cfRule>
    <cfRule type="expression" priority="289" dxfId="214">
      <formula>(C117="LED STRIP")</formula>
    </cfRule>
  </conditionalFormatting>
  <conditionalFormatting sqref="F124:F125">
    <cfRule type="expression" priority="279" dxfId="206">
      <formula>D124="GRILLE"</formula>
    </cfRule>
    <cfRule type="expression" priority="278" dxfId="208">
      <formula>D124="WW PODS"</formula>
    </cfRule>
    <cfRule type="expression" priority="277" dxfId="206">
      <formula>D124="NF"</formula>
    </cfRule>
    <cfRule type="expression" priority="281" dxfId="206" stopIfTrue="1">
      <formula>D116="canopy type"</formula>
    </cfRule>
    <cfRule type="expression" priority="282" dxfId="207">
      <formula>(((I116*3600)/(C124*I113))^2+20)&gt;300</formula>
    </cfRule>
    <cfRule type="expression" priority="283" dxfId="205" stopIfTrue="1">
      <formula>(ISNUMBER(SEARCH("UV",D116)))</formula>
    </cfRule>
    <cfRule type="expression" priority="284" dxfId="207">
      <formula>(((I116*3600)/(C124*I113))^2+20)&gt;180</formula>
    </cfRule>
    <cfRule type="expression" priority="285" dxfId="205">
      <formula>D124="KSA"</formula>
    </cfRule>
    <cfRule type="expression" priority="280" dxfId="206">
      <formula>D124="CENTREX"</formula>
    </cfRule>
  </conditionalFormatting>
  <conditionalFormatting sqref="F126">
    <cfRule type="cellIs" priority="303" operator="lessThan" dxfId="204">
      <formula>2100</formula>
    </cfRule>
  </conditionalFormatting>
  <conditionalFormatting sqref="F131">
    <cfRule type="cellIs" priority="254" operator="greaterThan" dxfId="204">
      <formula>3001</formula>
    </cfRule>
  </conditionalFormatting>
  <conditionalFormatting sqref="F134">
    <cfRule type="expression" priority="234" dxfId="214">
      <formula>(C134="LED STRIP")</formula>
    </cfRule>
    <cfRule type="expression" priority="237" dxfId="216">
      <formula>(C134="FLO")</formula>
    </cfRule>
    <cfRule type="expression" priority="235" dxfId="215">
      <formula>(C134="LIGHT SELECTION")</formula>
    </cfRule>
  </conditionalFormatting>
  <conditionalFormatting sqref="F141:F142">
    <cfRule type="expression" priority="223" dxfId="208">
      <formula>D141="WW PODS"</formula>
    </cfRule>
    <cfRule type="expression" priority="224" dxfId="206">
      <formula>D141="GRILLE"</formula>
    </cfRule>
    <cfRule type="expression" priority="225" dxfId="206">
      <formula>D141="CENTREX"</formula>
    </cfRule>
    <cfRule type="expression" priority="222" dxfId="206">
      <formula>D141="NF"</formula>
    </cfRule>
    <cfRule type="expression" priority="226" dxfId="206" stopIfTrue="1">
      <formula>D133="canopy type"</formula>
    </cfRule>
    <cfRule type="expression" priority="227" dxfId="207">
      <formula>(((I133*3600)/(C141*I130))^2+20)&gt;300</formula>
    </cfRule>
    <cfRule type="expression" priority="228" dxfId="205" stopIfTrue="1">
      <formula>(ISNUMBER(SEARCH("UV",D133)))</formula>
    </cfRule>
    <cfRule type="expression" priority="229" dxfId="207">
      <formula>(((I133*3600)/(C141*I130))^2+20)&gt;180</formula>
    </cfRule>
    <cfRule type="expression" priority="230" dxfId="205">
      <formula>D141="KSA"</formula>
    </cfRule>
  </conditionalFormatting>
  <conditionalFormatting sqref="F143">
    <cfRule type="cellIs" priority="248" operator="lessThan" dxfId="204">
      <formula>2100</formula>
    </cfRule>
  </conditionalFormatting>
  <conditionalFormatting sqref="F148">
    <cfRule type="cellIs" priority="203" operator="greaterThan" dxfId="204">
      <formula>3001</formula>
    </cfRule>
  </conditionalFormatting>
  <conditionalFormatting sqref="F151">
    <cfRule type="expression" priority="183" dxfId="214">
      <formula>(C151="LED STRIP")</formula>
    </cfRule>
    <cfRule type="expression" priority="184" dxfId="215">
      <formula>(C151="LIGHT SELECTION")</formula>
    </cfRule>
    <cfRule type="expression" priority="186" dxfId="216">
      <formula>(C151="FLO")</formula>
    </cfRule>
  </conditionalFormatting>
  <conditionalFormatting sqref="F158:F159">
    <cfRule type="expression" priority="178" dxfId="207">
      <formula>(((I150*3600)/(C158*I147))^2+20)&gt;180</formula>
    </cfRule>
    <cfRule type="expression" priority="171" dxfId="206">
      <formula>D158="NF"</formula>
    </cfRule>
    <cfRule type="expression" priority="172" dxfId="208">
      <formula>D158="WW PODS"</formula>
    </cfRule>
    <cfRule type="expression" priority="173" dxfId="206">
      <formula>D158="GRILLE"</formula>
    </cfRule>
    <cfRule type="expression" priority="174" dxfId="206">
      <formula>D158="CENTREX"</formula>
    </cfRule>
    <cfRule type="expression" priority="175" dxfId="206" stopIfTrue="1">
      <formula>D150="canopy type"</formula>
    </cfRule>
    <cfRule type="expression" priority="176" dxfId="207">
      <formula>(((I150*3600)/(C158*I147))^2+20)&gt;300</formula>
    </cfRule>
    <cfRule type="expression" priority="179" dxfId="205">
      <formula>D158="KSA"</formula>
    </cfRule>
    <cfRule type="expression" priority="177" dxfId="205" stopIfTrue="1">
      <formula>(ISNUMBER(SEARCH("UV",D150)))</formula>
    </cfRule>
  </conditionalFormatting>
  <conditionalFormatting sqref="F160">
    <cfRule type="cellIs" priority="197" operator="lessThan" dxfId="204">
      <formula>2100</formula>
    </cfRule>
  </conditionalFormatting>
  <conditionalFormatting sqref="F165">
    <cfRule type="cellIs" priority="152" operator="greaterThan" dxfId="204">
      <formula>3001</formula>
    </cfRule>
  </conditionalFormatting>
  <conditionalFormatting sqref="F168">
    <cfRule type="expression" priority="135" dxfId="216">
      <formula>(C168="FLO")</formula>
    </cfRule>
    <cfRule type="expression" priority="133" dxfId="215">
      <formula>(C168="LIGHT SELECTION")</formula>
    </cfRule>
    <cfRule type="expression" priority="132" dxfId="214">
      <formula>(C168="LED STRIP")</formula>
    </cfRule>
  </conditionalFormatting>
  <conditionalFormatting sqref="F175:F176">
    <cfRule type="expression" priority="126" dxfId="205" stopIfTrue="1">
      <formula>(ISNUMBER(SEARCH("UV",D167)))</formula>
    </cfRule>
    <cfRule type="expression" priority="125" dxfId="207">
      <formula>(((I167*3600)/(C175*I164))^2+20)&gt;300</formula>
    </cfRule>
    <cfRule type="expression" priority="124" dxfId="206" stopIfTrue="1">
      <formula>D167="canopy type"</formula>
    </cfRule>
    <cfRule type="expression" priority="123" dxfId="206">
      <formula>D175="CENTREX"</formula>
    </cfRule>
    <cfRule type="expression" priority="122" dxfId="206">
      <formula>D175="GRILLE"</formula>
    </cfRule>
    <cfRule type="expression" priority="121" dxfId="208">
      <formula>D175="WW PODS"</formula>
    </cfRule>
    <cfRule type="expression" priority="127" dxfId="207">
      <formula>(((I167*3600)/(C175*I164))^2+20)&gt;180</formula>
    </cfRule>
    <cfRule type="expression" priority="120" dxfId="206">
      <formula>D175="NF"</formula>
    </cfRule>
    <cfRule type="expression" priority="128" dxfId="205">
      <formula>D175="KSA"</formula>
    </cfRule>
  </conditionalFormatting>
  <conditionalFormatting sqref="F177">
    <cfRule type="cellIs" priority="146" operator="lessThan" dxfId="204">
      <formula>2100</formula>
    </cfRule>
  </conditionalFormatting>
  <conditionalFormatting sqref="G11">
    <cfRule type="expression" priority="681" dxfId="176">
      <formula>((F14-50)/H14)&lt;950</formula>
    </cfRule>
  </conditionalFormatting>
  <conditionalFormatting sqref="G12">
    <cfRule type="expression" priority="680" dxfId="175">
      <formula>((F14-50)/H14)&lt;950</formula>
    </cfRule>
  </conditionalFormatting>
  <conditionalFormatting sqref="G14">
    <cfRule type="cellIs" priority="676" operator="lessThan" dxfId="164">
      <formula>400</formula>
    </cfRule>
  </conditionalFormatting>
  <conditionalFormatting sqref="G28">
    <cfRule type="expression" priority="625" dxfId="176">
      <formula>((F31-50)/H31)&lt;950</formula>
    </cfRule>
  </conditionalFormatting>
  <conditionalFormatting sqref="G29">
    <cfRule type="expression" priority="603" dxfId="175">
      <formula>((F31-50)/H31)&lt;950</formula>
    </cfRule>
  </conditionalFormatting>
  <conditionalFormatting sqref="G31">
    <cfRule type="cellIs" priority="599" operator="lessThan" dxfId="164">
      <formula>400</formula>
    </cfRule>
  </conditionalFormatting>
  <conditionalFormatting sqref="G45">
    <cfRule type="expression" priority="641" dxfId="176">
      <formula>((F48-50)/H48)&lt;950</formula>
    </cfRule>
  </conditionalFormatting>
  <conditionalFormatting sqref="G46">
    <cfRule type="expression" priority="571" dxfId="175">
      <formula>((F48-50)/H48)&lt;950</formula>
    </cfRule>
  </conditionalFormatting>
  <conditionalFormatting sqref="G48">
    <cfRule type="cellIs" priority="567" operator="lessThan" dxfId="164">
      <formula>400</formula>
    </cfRule>
  </conditionalFormatting>
  <conditionalFormatting sqref="G62">
    <cfRule type="expression" priority="642" dxfId="176">
      <formula>((F65-50)/H65)&lt;950</formula>
    </cfRule>
  </conditionalFormatting>
  <conditionalFormatting sqref="G63">
    <cfRule type="expression" priority="544" dxfId="175">
      <formula>((F65-50)/H65)&lt;950</formula>
    </cfRule>
  </conditionalFormatting>
  <conditionalFormatting sqref="G65">
    <cfRule type="cellIs" priority="540" operator="lessThan" dxfId="164">
      <formula>400</formula>
    </cfRule>
  </conditionalFormatting>
  <conditionalFormatting sqref="G79">
    <cfRule type="expression" priority="643" dxfId="176">
      <formula>((F82-50)/H82)&lt;950</formula>
    </cfRule>
  </conditionalFormatting>
  <conditionalFormatting sqref="G80">
    <cfRule type="expression" priority="516" dxfId="175">
      <formula>((F82-50)/H82)&lt;950</formula>
    </cfRule>
  </conditionalFormatting>
  <conditionalFormatting sqref="G82">
    <cfRule type="cellIs" priority="512" operator="lessThan" dxfId="164">
      <formula>400</formula>
    </cfRule>
  </conditionalFormatting>
  <conditionalFormatting sqref="G96">
    <cfRule type="expression" priority="653" dxfId="176">
      <formula>((F99-50)/H99)&lt;950</formula>
    </cfRule>
  </conditionalFormatting>
  <conditionalFormatting sqref="G97">
    <cfRule type="expression" priority="487" dxfId="175">
      <formula>((F99-50)/H99)&lt;950</formula>
    </cfRule>
  </conditionalFormatting>
  <conditionalFormatting sqref="G99">
    <cfRule type="cellIs" priority="483" operator="lessThan" dxfId="164">
      <formula>400</formula>
    </cfRule>
  </conditionalFormatting>
  <conditionalFormatting sqref="G113">
    <cfRule type="expression" priority="321" dxfId="176">
      <formula>((F116-50)/H116)&lt;950</formula>
    </cfRule>
  </conditionalFormatting>
  <conditionalFormatting sqref="G114">
    <cfRule type="expression" priority="310" dxfId="175">
      <formula>((F116-50)/H116)&lt;950</formula>
    </cfRule>
  </conditionalFormatting>
  <conditionalFormatting sqref="G116">
    <cfRule type="cellIs" priority="306" operator="lessThan" dxfId="164">
      <formula>400</formula>
    </cfRule>
  </conditionalFormatting>
  <conditionalFormatting sqref="G130">
    <cfRule type="expression" priority="266" dxfId="176">
      <formula>((F133-50)/H133)&lt;950</formula>
    </cfRule>
  </conditionalFormatting>
  <conditionalFormatting sqref="G131">
    <cfRule type="expression" priority="255" dxfId="175">
      <formula>((F133-50)/H133)&lt;950</formula>
    </cfRule>
  </conditionalFormatting>
  <conditionalFormatting sqref="G133">
    <cfRule type="cellIs" priority="251" operator="lessThan" dxfId="164">
      <formula>400</formula>
    </cfRule>
  </conditionalFormatting>
  <conditionalFormatting sqref="G147">
    <cfRule type="expression" priority="215" dxfId="176">
      <formula>((F150-50)/H150)&lt;950</formula>
    </cfRule>
  </conditionalFormatting>
  <conditionalFormatting sqref="G148">
    <cfRule type="expression" priority="204" dxfId="175">
      <formula>((F150-50)/H150)&lt;950</formula>
    </cfRule>
  </conditionalFormatting>
  <conditionalFormatting sqref="G150">
    <cfRule type="cellIs" priority="200" operator="lessThan" dxfId="164">
      <formula>400</formula>
    </cfRule>
  </conditionalFormatting>
  <conditionalFormatting sqref="G164">
    <cfRule type="expression" priority="164" dxfId="176">
      <formula>((F167-50)/H167)&lt;950</formula>
    </cfRule>
  </conditionalFormatting>
  <conditionalFormatting sqref="G165">
    <cfRule type="expression" priority="153" dxfId="175">
      <formula>((F167-50)/H167)&lt;950</formula>
    </cfRule>
  </conditionalFormatting>
  <conditionalFormatting sqref="G167">
    <cfRule type="cellIs" priority="149" operator="lessThan" dxfId="164">
      <formula>400</formula>
    </cfRule>
  </conditionalFormatting>
  <conditionalFormatting sqref="I14">
    <cfRule type="cellIs" priority="677" operator="lessThan" dxfId="164">
      <formula>0.1</formula>
    </cfRule>
  </conditionalFormatting>
  <conditionalFormatting sqref="I31">
    <cfRule type="cellIs" priority="600" operator="lessThan" dxfId="164">
      <formula>0.1</formula>
    </cfRule>
  </conditionalFormatting>
  <conditionalFormatting sqref="I48">
    <cfRule type="cellIs" priority="568" operator="lessThan" dxfId="164">
      <formula>0.1</formula>
    </cfRule>
  </conditionalFormatting>
  <conditionalFormatting sqref="I65">
    <cfRule type="cellIs" priority="541" operator="lessThan" dxfId="164">
      <formula>0.1</formula>
    </cfRule>
  </conditionalFormatting>
  <conditionalFormatting sqref="I82">
    <cfRule type="cellIs" priority="513" operator="lessThan" dxfId="164">
      <formula>0.1</formula>
    </cfRule>
  </conditionalFormatting>
  <conditionalFormatting sqref="I99">
    <cfRule type="cellIs" priority="484" operator="lessThan" dxfId="164">
      <formula>0.1</formula>
    </cfRule>
  </conditionalFormatting>
  <conditionalFormatting sqref="I116">
    <cfRule type="cellIs" priority="307" operator="lessThan" dxfId="164">
      <formula>0.1</formula>
    </cfRule>
  </conditionalFormatting>
  <conditionalFormatting sqref="I133">
    <cfRule type="cellIs" priority="252" operator="lessThan" dxfId="164">
      <formula>0.1</formula>
    </cfRule>
  </conditionalFormatting>
  <conditionalFormatting sqref="I150">
    <cfRule type="cellIs" priority="201" operator="lessThan" dxfId="164">
      <formula>0.1</formula>
    </cfRule>
  </conditionalFormatting>
  <conditionalFormatting sqref="I167">
    <cfRule type="cellIs" priority="150" operator="lessThan" dxfId="164">
      <formula>0.1</formula>
    </cfRule>
  </conditionalFormatting>
  <conditionalFormatting sqref="J14:J27">
    <cfRule type="cellIs" priority="410" operator="greaterThan" dxfId="153">
      <formula>0</formula>
    </cfRule>
  </conditionalFormatting>
  <conditionalFormatting sqref="J31:J44">
    <cfRule type="cellIs" priority="383" operator="greaterThan" dxfId="153">
      <formula>0</formula>
    </cfRule>
  </conditionalFormatting>
  <conditionalFormatting sqref="J48:J61">
    <cfRule type="cellIs" priority="99" operator="greaterThan" dxfId="153">
      <formula>0</formula>
    </cfRule>
  </conditionalFormatting>
  <conditionalFormatting sqref="J65:J78">
    <cfRule type="cellIs" priority="85" operator="greaterThan" dxfId="153">
      <formula>0</formula>
    </cfRule>
  </conditionalFormatting>
  <conditionalFormatting sqref="J82:J95">
    <cfRule type="cellIs" priority="71" operator="greaterThan" dxfId="153">
      <formula>0</formula>
    </cfRule>
  </conditionalFormatting>
  <conditionalFormatting sqref="J99:J112">
    <cfRule type="cellIs" priority="57" operator="greaterThan" dxfId="153">
      <formula>0</formula>
    </cfRule>
  </conditionalFormatting>
  <conditionalFormatting sqref="J116:J129">
    <cfRule type="cellIs" priority="43" operator="greaterThan" dxfId="153">
      <formula>0</formula>
    </cfRule>
  </conditionalFormatting>
  <conditionalFormatting sqref="J133:J146">
    <cfRule type="cellIs" priority="29" operator="greaterThan" dxfId="153">
      <formula>0</formula>
    </cfRule>
  </conditionalFormatting>
  <conditionalFormatting sqref="J150:J163">
    <cfRule type="cellIs" priority="15" operator="greaterThan" dxfId="153">
      <formula>0</formula>
    </cfRule>
  </conditionalFormatting>
  <conditionalFormatting sqref="J167:J180">
    <cfRule type="cellIs" priority="1" operator="greaterThan" dxfId="153">
      <formula>0</formula>
    </cfRule>
  </conditionalFormatting>
  <conditionalFormatting sqref="J183:J197">
    <cfRule type="expression" priority="267" dxfId="153">
      <formula>C183&gt;0</formula>
    </cfRule>
  </conditionalFormatting>
  <conditionalFormatting sqref="J199">
    <cfRule type="expression" priority="658" dxfId="2">
      <formula>#REF!="EURO"</formula>
    </cfRule>
  </conditionalFormatting>
  <conditionalFormatting sqref="K14:K27">
    <cfRule type="cellIs" priority="424" operator="greaterThan" dxfId="141">
      <formula>0</formula>
    </cfRule>
  </conditionalFormatting>
  <conditionalFormatting sqref="K31:K44">
    <cfRule type="cellIs" priority="386" operator="greaterThan" dxfId="141">
      <formula>0</formula>
    </cfRule>
  </conditionalFormatting>
  <conditionalFormatting sqref="K48:K61">
    <cfRule type="cellIs" priority="102" operator="greaterThan" dxfId="141">
      <formula>0</formula>
    </cfRule>
  </conditionalFormatting>
  <conditionalFormatting sqref="K65:K78">
    <cfRule type="cellIs" priority="88" operator="greaterThan" dxfId="141">
      <formula>0</formula>
    </cfRule>
  </conditionalFormatting>
  <conditionalFormatting sqref="K82:K95">
    <cfRule type="cellIs" priority="74" operator="greaterThan" dxfId="141">
      <formula>0</formula>
    </cfRule>
  </conditionalFormatting>
  <conditionalFormatting sqref="K99:K112">
    <cfRule type="cellIs" priority="60" operator="greaterThan" dxfId="141">
      <formula>0</formula>
    </cfRule>
  </conditionalFormatting>
  <conditionalFormatting sqref="K116:K129">
    <cfRule type="cellIs" priority="46" operator="greaterThan" dxfId="141">
      <formula>0</formula>
    </cfRule>
  </conditionalFormatting>
  <conditionalFormatting sqref="K133:K146">
    <cfRule type="cellIs" priority="32" operator="greaterThan" dxfId="141">
      <formula>0</formula>
    </cfRule>
  </conditionalFormatting>
  <conditionalFormatting sqref="K150:K163">
    <cfRule type="cellIs" priority="18" operator="greaterThan" dxfId="141">
      <formula>0</formula>
    </cfRule>
  </conditionalFormatting>
  <conditionalFormatting sqref="K167:K180">
    <cfRule type="cellIs" priority="4" operator="greaterThan" dxfId="141">
      <formula>0</formula>
    </cfRule>
  </conditionalFormatting>
  <conditionalFormatting sqref="K183:K197">
    <cfRule type="cellIs" priority="268" operator="greaterThan" dxfId="141">
      <formula>0</formula>
    </cfRule>
  </conditionalFormatting>
  <conditionalFormatting sqref="K199">
    <cfRule type="expression" priority="657" dxfId="2">
      <formula>$B$9="EURO"</formula>
    </cfRule>
    <cfRule type="expression" priority="656" dxfId="3">
      <formula>$B$9="USD"</formula>
    </cfRule>
    <cfRule type="expression" priority="655" dxfId="0">
      <formula>$B$9="CZK"</formula>
    </cfRule>
    <cfRule type="expression" priority="654" dxfId="4">
      <formula>$B$9="PLN"</formula>
    </cfRule>
  </conditionalFormatting>
  <conditionalFormatting sqref="L14:L27">
    <cfRule type="expression" priority="421" dxfId="116">
      <formula>$C$9&lt;0</formula>
    </cfRule>
    <cfRule type="expression" priority="422" dxfId="115">
      <formula>$C$9&gt;0</formula>
    </cfRule>
  </conditionalFormatting>
  <conditionalFormatting sqref="L31:L44">
    <cfRule type="expression" priority="385" dxfId="115">
      <formula>$C$9&gt;0</formula>
    </cfRule>
    <cfRule type="expression" priority="384" dxfId="116">
      <formula>$C$9&lt;0</formula>
    </cfRule>
  </conditionalFormatting>
  <conditionalFormatting sqref="L48:L61">
    <cfRule type="expression" priority="100" dxfId="116">
      <formula>$C$9&lt;0</formula>
    </cfRule>
    <cfRule type="expression" priority="101" dxfId="115">
      <formula>$C$9&gt;0</formula>
    </cfRule>
  </conditionalFormatting>
  <conditionalFormatting sqref="L65:L78">
    <cfRule type="expression" priority="86" dxfId="116">
      <formula>$C$9&lt;0</formula>
    </cfRule>
    <cfRule type="expression" priority="87" dxfId="115">
      <formula>$C$9&gt;0</formula>
    </cfRule>
  </conditionalFormatting>
  <conditionalFormatting sqref="L82:L95">
    <cfRule type="expression" priority="72" dxfId="116">
      <formula>$C$9&lt;0</formula>
    </cfRule>
    <cfRule type="expression" priority="73" dxfId="115">
      <formula>$C$9&gt;0</formula>
    </cfRule>
  </conditionalFormatting>
  <conditionalFormatting sqref="L99:L112">
    <cfRule type="expression" priority="58" dxfId="116">
      <formula>$C$9&lt;0</formula>
    </cfRule>
    <cfRule type="expression" priority="59" dxfId="115">
      <formula>$C$9&gt;0</formula>
    </cfRule>
  </conditionalFormatting>
  <conditionalFormatting sqref="L116:L129">
    <cfRule type="expression" priority="44" dxfId="116">
      <formula>$C$9&lt;0</formula>
    </cfRule>
    <cfRule type="expression" priority="45" dxfId="115">
      <formula>$C$9&gt;0</formula>
    </cfRule>
  </conditionalFormatting>
  <conditionalFormatting sqref="L133:L146">
    <cfRule type="expression" priority="31" dxfId="115">
      <formula>$C$9&gt;0</formula>
    </cfRule>
    <cfRule type="expression" priority="30" dxfId="116">
      <formula>$C$9&lt;0</formula>
    </cfRule>
  </conditionalFormatting>
  <conditionalFormatting sqref="L150:L163">
    <cfRule type="expression" priority="17" dxfId="115">
      <formula>$C$9&gt;0</formula>
    </cfRule>
    <cfRule type="expression" priority="16" dxfId="116">
      <formula>$C$9&lt;0</formula>
    </cfRule>
  </conditionalFormatting>
  <conditionalFormatting sqref="L167:L180">
    <cfRule type="expression" priority="3" dxfId="115">
      <formula>$C$9&gt;0</formula>
    </cfRule>
    <cfRule type="expression" priority="2" dxfId="116">
      <formula>$C$9&lt;0</formula>
    </cfRule>
  </conditionalFormatting>
  <conditionalFormatting sqref="L183:L197">
    <cfRule type="expression" priority="644" dxfId="116">
      <formula>$C$9&lt;0</formula>
    </cfRule>
    <cfRule type="expression" priority="645" dxfId="115">
      <formula>$C$9&gt;0</formula>
    </cfRule>
  </conditionalFormatting>
  <conditionalFormatting sqref="N9 N12">
    <cfRule type="expression" priority="688" dxfId="4">
      <formula>$B$9="PLN"</formula>
    </cfRule>
    <cfRule type="expression" priority="689" dxfId="0">
      <formula>$B$9="CZK"</formula>
    </cfRule>
    <cfRule type="expression" priority="690" dxfId="3">
      <formula>$B$9="USD"</formula>
    </cfRule>
    <cfRule type="expression" priority="691" dxfId="2">
      <formula>$B$9="EURO"</formula>
    </cfRule>
  </conditionalFormatting>
  <conditionalFormatting sqref="N14:N27">
    <cfRule type="expression" priority="630" dxfId="3">
      <formula>$B$9="USD"</formula>
    </cfRule>
    <cfRule type="expression" priority="629" dxfId="2">
      <formula>$B$9="EURO"</formula>
    </cfRule>
    <cfRule type="cellIs" priority="628" operator="greaterThan" dxfId="1">
      <formula>0</formula>
    </cfRule>
    <cfRule type="expression" priority="632" dxfId="0">
      <formula>$B$9="CZK"</formula>
    </cfRule>
    <cfRule type="expression" priority="631" dxfId="4">
      <formula>$B$9="PLN"</formula>
    </cfRule>
  </conditionalFormatting>
  <conditionalFormatting sqref="N29">
    <cfRule type="expression" priority="609" dxfId="4">
      <formula>$B$9="PLN"</formula>
    </cfRule>
    <cfRule type="expression" priority="612" dxfId="2">
      <formula>$B$9="EURO"</formula>
    </cfRule>
    <cfRule type="expression" priority="611" dxfId="3">
      <formula>$B$9="USD"</formula>
    </cfRule>
    <cfRule type="expression" priority="610" dxfId="0">
      <formula>$B$9="CZK"</formula>
    </cfRule>
  </conditionalFormatting>
  <conditionalFormatting sqref="N31:N44">
    <cfRule type="cellIs" priority="389" operator="greaterThan" dxfId="1">
      <formula>0</formula>
    </cfRule>
    <cfRule type="expression" priority="390" dxfId="2">
      <formula>$B$9="EURO"</formula>
    </cfRule>
    <cfRule type="expression" priority="391" dxfId="3">
      <formula>$B$9="USD"</formula>
    </cfRule>
    <cfRule type="expression" priority="392" dxfId="4">
      <formula>$B$9="PLN"</formula>
    </cfRule>
    <cfRule type="expression" priority="393" dxfId="0">
      <formula>$B$9="CZK"</formula>
    </cfRule>
  </conditionalFormatting>
  <conditionalFormatting sqref="N46">
    <cfRule type="expression" priority="577" dxfId="4">
      <formula>$B$9="PLN"</formula>
    </cfRule>
    <cfRule type="expression" priority="579" dxfId="3">
      <formula>$B$9="USD"</formula>
    </cfRule>
    <cfRule type="expression" priority="580" dxfId="2">
      <formula>$B$9="EURO"</formula>
    </cfRule>
    <cfRule type="expression" priority="578" dxfId="0">
      <formula>$B$9="CZK"</formula>
    </cfRule>
  </conditionalFormatting>
  <conditionalFormatting sqref="N48:N61">
    <cfRule type="expression" priority="105" dxfId="2">
      <formula>$B$9="EURO"</formula>
    </cfRule>
    <cfRule type="cellIs" priority="104" operator="greaterThan" dxfId="1">
      <formula>0</formula>
    </cfRule>
    <cfRule type="expression" priority="108" dxfId="0">
      <formula>$B$9="CZK"</formula>
    </cfRule>
    <cfRule type="expression" priority="107" dxfId="4">
      <formula>$B$9="PLN"</formula>
    </cfRule>
    <cfRule type="expression" priority="106" dxfId="3">
      <formula>$B$9="USD"</formula>
    </cfRule>
  </conditionalFormatting>
  <conditionalFormatting sqref="N63">
    <cfRule type="expression" priority="550" dxfId="4">
      <formula>$B$9="PLN"</formula>
    </cfRule>
    <cfRule type="expression" priority="551" dxfId="0">
      <formula>$B$9="CZK"</formula>
    </cfRule>
    <cfRule type="expression" priority="552" dxfId="3">
      <formula>$B$9="USD"</formula>
    </cfRule>
    <cfRule type="expression" priority="553" dxfId="2">
      <formula>$B$9="EURO"</formula>
    </cfRule>
  </conditionalFormatting>
  <conditionalFormatting sqref="N65:N78">
    <cfRule type="expression" priority="93" dxfId="4">
      <formula>$B$9="PLN"</formula>
    </cfRule>
    <cfRule type="expression" priority="94" dxfId="0">
      <formula>$B$9="CZK"</formula>
    </cfRule>
    <cfRule type="expression" priority="92" dxfId="3">
      <formula>$B$9="USD"</formula>
    </cfRule>
    <cfRule type="expression" priority="91" dxfId="2">
      <formula>$B$9="EURO"</formula>
    </cfRule>
    <cfRule type="cellIs" priority="90" operator="greaterThan" dxfId="1">
      <formula>0</formula>
    </cfRule>
  </conditionalFormatting>
  <conditionalFormatting sqref="N80">
    <cfRule type="expression" priority="523" dxfId="0">
      <formula>$B$9="CZK"</formula>
    </cfRule>
    <cfRule type="expression" priority="524" dxfId="3">
      <formula>$B$9="USD"</formula>
    </cfRule>
    <cfRule type="expression" priority="522" dxfId="4">
      <formula>$B$9="PLN"</formula>
    </cfRule>
    <cfRule type="expression" priority="525" dxfId="2">
      <formula>$B$9="EURO"</formula>
    </cfRule>
  </conditionalFormatting>
  <conditionalFormatting sqref="N82:N95">
    <cfRule type="expression" priority="79" dxfId="4">
      <formula>$B$9="PLN"</formula>
    </cfRule>
    <cfRule type="expression" priority="78" dxfId="3">
      <formula>$B$9="USD"</formula>
    </cfRule>
    <cfRule type="expression" priority="80" dxfId="0">
      <formula>$B$9="CZK"</formula>
    </cfRule>
    <cfRule type="cellIs" priority="76" operator="greaterThan" dxfId="1">
      <formula>0</formula>
    </cfRule>
    <cfRule type="expression" priority="77" dxfId="2">
      <formula>$B$9="EURO"</formula>
    </cfRule>
  </conditionalFormatting>
  <conditionalFormatting sqref="N97">
    <cfRule type="expression" priority="494" dxfId="0">
      <formula>$B$9="CZK"</formula>
    </cfRule>
    <cfRule type="expression" priority="493" dxfId="4">
      <formula>$B$9="PLN"</formula>
    </cfRule>
    <cfRule type="expression" priority="496" dxfId="2">
      <formula>$B$9="EURO"</formula>
    </cfRule>
    <cfRule type="expression" priority="495" dxfId="3">
      <formula>$B$9="USD"</formula>
    </cfRule>
  </conditionalFormatting>
  <conditionalFormatting sqref="N99:N112">
    <cfRule type="cellIs" priority="62" operator="greaterThan" dxfId="1">
      <formula>0</formula>
    </cfRule>
    <cfRule type="expression" priority="63" dxfId="2">
      <formula>$B$9="EURO"</formula>
    </cfRule>
    <cfRule type="expression" priority="64" dxfId="3">
      <formula>$B$9="USD"</formula>
    </cfRule>
    <cfRule type="expression" priority="65" dxfId="4">
      <formula>$B$9="PLN"</formula>
    </cfRule>
    <cfRule type="expression" priority="66" dxfId="0">
      <formula>$B$9="CZK"</formula>
    </cfRule>
  </conditionalFormatting>
  <conditionalFormatting sqref="N114">
    <cfRule type="expression" priority="317" dxfId="0">
      <formula>$B$9="CZK"</formula>
    </cfRule>
    <cfRule type="expression" priority="318" dxfId="3">
      <formula>$B$9="USD"</formula>
    </cfRule>
    <cfRule type="expression" priority="319" dxfId="2">
      <formula>$B$9="EURO"</formula>
    </cfRule>
    <cfRule type="expression" priority="316" dxfId="4">
      <formula>$B$9="PLN"</formula>
    </cfRule>
  </conditionalFormatting>
  <conditionalFormatting sqref="N116:N129">
    <cfRule type="cellIs" priority="48" operator="greaterThan" dxfId="1">
      <formula>0</formula>
    </cfRule>
    <cfRule type="expression" priority="52" dxfId="0">
      <formula>$B$9="CZK"</formula>
    </cfRule>
    <cfRule type="expression" priority="51" dxfId="4">
      <formula>$B$9="PLN"</formula>
    </cfRule>
    <cfRule type="expression" priority="50" dxfId="3">
      <formula>$B$9="USD"</formula>
    </cfRule>
    <cfRule type="expression" priority="49" dxfId="2">
      <formula>$B$9="EURO"</formula>
    </cfRule>
  </conditionalFormatting>
  <conditionalFormatting sqref="N131">
    <cfRule type="expression" priority="261" dxfId="4">
      <formula>$B$9="PLN"</formula>
    </cfRule>
    <cfRule type="expression" priority="262" dxfId="0">
      <formula>$B$9="CZK"</formula>
    </cfRule>
    <cfRule type="expression" priority="263" dxfId="3">
      <formula>$B$9="USD"</formula>
    </cfRule>
    <cfRule type="expression" priority="264" dxfId="2">
      <formula>$B$9="EURO"</formula>
    </cfRule>
  </conditionalFormatting>
  <conditionalFormatting sqref="N133:N146">
    <cfRule type="expression" priority="37" dxfId="4">
      <formula>$B$9="PLN"</formula>
    </cfRule>
    <cfRule type="expression" priority="36" dxfId="3">
      <formula>$B$9="USD"</formula>
    </cfRule>
    <cfRule type="expression" priority="38" dxfId="0">
      <formula>$B$9="CZK"</formula>
    </cfRule>
    <cfRule type="expression" priority="35" dxfId="2">
      <formula>$B$9="EURO"</formula>
    </cfRule>
    <cfRule type="cellIs" priority="34" operator="greaterThan" dxfId="1">
      <formula>0</formula>
    </cfRule>
  </conditionalFormatting>
  <conditionalFormatting sqref="N148">
    <cfRule type="expression" priority="213" dxfId="2">
      <formula>$B$9="EURO"</formula>
    </cfRule>
    <cfRule type="expression" priority="211" dxfId="0">
      <formula>$B$9="CZK"</formula>
    </cfRule>
    <cfRule type="expression" priority="210" dxfId="4">
      <formula>$B$9="PLN"</formula>
    </cfRule>
    <cfRule type="expression" priority="212" dxfId="3">
      <formula>$B$9="USD"</formula>
    </cfRule>
  </conditionalFormatting>
  <conditionalFormatting sqref="N150:N163">
    <cfRule type="expression" priority="22" dxfId="3">
      <formula>$B$9="USD"</formula>
    </cfRule>
    <cfRule type="cellIs" priority="20" operator="greaterThan" dxfId="1">
      <formula>0</formula>
    </cfRule>
    <cfRule type="expression" priority="21" dxfId="2">
      <formula>$B$9="EURO"</formula>
    </cfRule>
    <cfRule type="expression" priority="24" dxfId="0">
      <formula>$B$9="CZK"</formula>
    </cfRule>
    <cfRule type="expression" priority="23" dxfId="4">
      <formula>$B$9="PLN"</formula>
    </cfRule>
  </conditionalFormatting>
  <conditionalFormatting sqref="N165">
    <cfRule type="expression" priority="161" dxfId="3">
      <formula>$B$9="USD"</formula>
    </cfRule>
    <cfRule type="expression" priority="160" dxfId="0">
      <formula>$B$9="CZK"</formula>
    </cfRule>
    <cfRule type="expression" priority="162" dxfId="2">
      <formula>$B$9="EURO"</formula>
    </cfRule>
    <cfRule type="expression" priority="159" dxfId="4">
      <formula>$B$9="PLN"</formula>
    </cfRule>
  </conditionalFormatting>
  <conditionalFormatting sqref="N167:N180">
    <cfRule type="expression" priority="10" dxfId="0">
      <formula>$B$9="CZK"</formula>
    </cfRule>
    <cfRule type="expression" priority="7" dxfId="2">
      <formula>$B$9="EURO"</formula>
    </cfRule>
    <cfRule type="cellIs" priority="6" operator="greaterThan" dxfId="1">
      <formula>0</formula>
    </cfRule>
    <cfRule type="expression" priority="8" dxfId="3">
      <formula>$B$9="USD"</formula>
    </cfRule>
    <cfRule type="expression" priority="9" dxfId="4">
      <formula>$B$9="PLN"</formula>
    </cfRule>
  </conditionalFormatting>
  <conditionalFormatting sqref="N183:N197">
    <cfRule type="expression" priority="640" dxfId="0">
      <formula>$B$9="CZK"</formula>
    </cfRule>
    <cfRule type="expression" priority="639" dxfId="4">
      <formula>$B$9="PLN"</formula>
    </cfRule>
    <cfRule type="expression" priority="638" dxfId="3">
      <formula>$B$9="USD"</formula>
    </cfRule>
    <cfRule type="expression" priority="637" dxfId="2">
      <formula>$B$9="EURO"</formula>
    </cfRule>
    <cfRule type="cellIs" priority="636" operator="greaterThan" dxfId="1">
      <formula>0</formula>
    </cfRule>
  </conditionalFormatting>
  <conditionalFormatting sqref="N182:O182">
    <cfRule type="expression" priority="647" dxfId="0">
      <formula>$B$9="CZK"</formula>
    </cfRule>
    <cfRule type="expression" priority="646" dxfId="4">
      <formula>$B$9="PLN"</formula>
    </cfRule>
    <cfRule type="expression" priority="649" dxfId="2">
      <formula>$B$9="EURO"</formula>
    </cfRule>
    <cfRule type="expression" priority="648" dxfId="3">
      <formula>$B$9="USD"</formula>
    </cfRule>
  </conditionalFormatting>
  <conditionalFormatting sqref="O14:O27">
    <cfRule type="cellIs" priority="633" operator="greaterThan" dxfId="5">
      <formula>0</formula>
    </cfRule>
  </conditionalFormatting>
  <conditionalFormatting sqref="O31:O44">
    <cfRule type="cellIs" priority="394" operator="greaterThan" dxfId="5">
      <formula>0</formula>
    </cfRule>
  </conditionalFormatting>
  <conditionalFormatting sqref="O48:O61">
    <cfRule type="cellIs" priority="109" operator="greaterThan" dxfId="5">
      <formula>0</formula>
    </cfRule>
  </conditionalFormatting>
  <conditionalFormatting sqref="O65:O78">
    <cfRule type="cellIs" priority="95" operator="greaterThan" dxfId="5">
      <formula>0</formula>
    </cfRule>
  </conditionalFormatting>
  <conditionalFormatting sqref="O82:O95">
    <cfRule type="cellIs" priority="81" operator="greaterThan" dxfId="5">
      <formula>0</formula>
    </cfRule>
  </conditionalFormatting>
  <conditionalFormatting sqref="O99:O112">
    <cfRule type="cellIs" priority="67" operator="greaterThan" dxfId="5">
      <formula>0</formula>
    </cfRule>
  </conditionalFormatting>
  <conditionalFormatting sqref="O116:O129">
    <cfRule type="cellIs" priority="53" operator="greaterThan" dxfId="5">
      <formula>0</formula>
    </cfRule>
  </conditionalFormatting>
  <conditionalFormatting sqref="O133:O146">
    <cfRule type="cellIs" priority="39" operator="greaterThan" dxfId="5">
      <formula>0</formula>
    </cfRule>
  </conditionalFormatting>
  <conditionalFormatting sqref="O150:O163">
    <cfRule type="cellIs" priority="25" operator="greaterThan" dxfId="5">
      <formula>0</formula>
    </cfRule>
  </conditionalFormatting>
  <conditionalFormatting sqref="O167:O180">
    <cfRule type="cellIs" priority="11" operator="greaterThan" dxfId="5">
      <formula>0</formula>
    </cfRule>
  </conditionalFormatting>
  <conditionalFormatting sqref="O183:O197">
    <cfRule type="cellIs" priority="659" operator="greaterThan" dxfId="5">
      <formula>0</formula>
    </cfRule>
  </conditionalFormatting>
  <conditionalFormatting sqref="Q16">
    <cfRule type="expression" priority="414" dxfId="4">
      <formula>$B$9="PLN"</formula>
    </cfRule>
    <cfRule type="expression" priority="413" dxfId="3">
      <formula>$B$9="USD"</formula>
    </cfRule>
    <cfRule type="expression" priority="412" dxfId="2">
      <formula>$B$9="EURO"</formula>
    </cfRule>
    <cfRule type="cellIs" priority="411" operator="greaterThan" dxfId="1">
      <formula>0</formula>
    </cfRule>
    <cfRule type="expression" priority="415" dxfId="0">
      <formula>$B$9="CZK"</formula>
    </cfRule>
  </conditionalFormatting>
  <dataValidations count="16">
    <dataValidation sqref="C27 C44 C61 C78 C95 C112 C129 C146 C163 C180" showDropDown="0" showInputMessage="1" showErrorMessage="1" allowBlank="1" type="list">
      <formula1>"0,0.5,1,1.5,2,2.5,3,3.5,4,4.5,5"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0:C21 C37:C38 C54:C55 C71:C72 C88:C89 C105:C106 C122:C123 C139:C140 C156:C157 C173:C174" showDropDown="0" showInputMessage="1" showErrorMessage="1" allowBlank="1" type="list">
      <formula1>"0,1,2,3,4,5,6,7,8,9,10,11,12,13,14,15,16,17,18,19,20"</formula1>
    </dataValidation>
    <dataValidation sqref="E14 E31 E48 E65 E82 E99 E116 E133 E150 E167" showDropDown="0" showInputMessage="1" showErrorMessage="1" allowBlank="1" operator="greaterThan"/>
    <dataValidation sqref="C14 C31 C48 C65 C82 C99 C116 C133 C150 C167" showDropDown="0" showInputMessage="1" showErrorMessage="1" allowBlank="1" type="list">
      <formula1>"WALL, ISLAND"</formula1>
    </dataValidation>
    <dataValidation sqref="G181" showDropDown="0" showInputMessage="1" showErrorMessage="1" allowBlank="1" type="list">
      <formula1>#REF!</formula1>
    </dataValidation>
    <dataValidation sqref="D26 D43 D60 D77 D94 D111 D128 D145 D162 D179" showDropDown="0" showInputMessage="1" showErrorMessage="1" allowBlank="1" type="list">
      <formula1>"0,1,2,3,4,5,6,7,8,9,10"</formula1>
    </dataValidation>
    <dataValidation sqref="C15 C32 C49 C66 C83 C100 C117 C134 C151 C168 C185 C202 C219 C236 C253 C270 C287 C304" showDropDown="0" showInputMessage="0" showErrorMessage="0" allowBlank="1" type="list">
      <formula1>Lists!$A$1:$A$5</formula1>
    </dataValidation>
    <dataValidation sqref="C16 C33 C50 C67 C84 C101 C118 C135 C152 C169 C186 C203 C220 C237 C254 C271 C288 C305" showDropDown="0" showInputMessage="0" showErrorMessage="0" allowBlank="1" type="list">
      <formula1>Lists!$B$1:$B$17</formula1>
    </dataValidation>
    <dataValidation sqref="C17 C34 C51 C68 C85 C102 C119 C136 C153 C170 C187 C204 C221 C238 C255 C272 C289 C306" showDropDown="0" showInputMessage="0" showErrorMessage="0" allowBlank="1" type="list">
      <formula1>Lists!$B$1:$B$18</formula1>
    </dataValidation>
    <dataValidation sqref="C19 C36 C53 C70 C87 C104 C121 C138 C155 C172 C189 C206 C223 C240 C257 C274 C291 C308" showDropDown="0" showInputMessage="0" showErrorMessage="0" allowBlank="1" type="list">
      <formula1>Lists!$C$1:$C$2</formula1>
    </dataValidation>
    <dataValidation sqref="C25 C42 C59 C76 C93 C110 C127 C144 C161 C178 C195 C212 C229 C246 C263 C280 C297" showDropDown="0" showInputMessage="0" showErrorMessage="0" allowBlank="1" type="list">
      <formula1>Lists!$D$1:$D$4</formula1>
    </dataValidation>
    <dataValidation sqref="C26 C43 C60 C77 C94 C111 C128 C145 C162 C179 C196 C213 C230 C247 C264 C281 C298" showDropDown="0" showInputMessage="0" showErrorMessage="0" allowBlank="1" type="list">
      <formula1>Lists!$E$1:$E$10</formula1>
    </dataValidation>
    <dataValidation sqref="D183" showDropDown="0" showInputMessage="0" showErrorMessage="0" allowBlank="1" type="list">
      <formula1>Lists!$F$1:$F$193</formula1>
    </dataValidation>
    <dataValidation sqref="D184" showDropDown="0" showInputMessage="0" showErrorMessage="0" allowBlank="1" type="list">
      <formula1>Lists!$G$1:$G$12</formula1>
    </dataValidation>
    <dataValidation sqref="D185" showDropDown="0" showInputMessage="0" showErrorMessage="0" allowBlank="1" type="list">
      <formula1>Lists!$G$1:$G$12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1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Ian.Horton</dc:creator>
  <dc:title xmlns:dc="http://purl.org/dc/elements/1.1/">Cost Sheet 2015</dc:title>
  <dc:subject xmlns:dc="http://purl.org/dc/elements/1.1/">Costings</dc:subject>
  <dc:language xmlns:dc="http://purl.org/dc/elements/1.1/">English</dc:language>
  <dcterms:created xmlns:dcterms="http://purl.org/dc/terms/" xmlns:xsi="http://www.w3.org/2001/XMLSchema-instance" xsi:type="dcterms:W3CDTF">2003-10-29T13:39:35Z</dcterms:created>
  <dcterms:modified xmlns:dcterms="http://purl.org/dc/terms/" xmlns:xsi="http://www.w3.org/2001/XMLSchema-instance" xsi:type="dcterms:W3CDTF">2025-04-02T14:35:43Z</dcterms:modified>
  <cp:lastModifiedBy>Yazan Hunjul</cp:lastModifiedBy>
  <cp:version>2015</cp:version>
  <cp:lastPrinted>2025-01-17T13:05:00Z</cp:lastPrinted>
</cp:coreProperties>
</file>